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humika 4-5\"/>
    </mc:Choice>
  </mc:AlternateContent>
  <xr:revisionPtr revIDLastSave="0" documentId="13_ncr:1_{1D092E62-E81B-4C8E-AD46-00670296CD0B}" xr6:coauthVersionLast="47" xr6:coauthVersionMax="47" xr10:uidLastSave="{00000000-0000-0000-0000-000000000000}"/>
  <bookViews>
    <workbookView xWindow="-110" yWindow="-110" windowWidth="19420" windowHeight="10420" firstSheet="3" activeTab="8" xr2:uid="{8FB668A3-7A25-4572-BA59-53C17C06AA54}"/>
  </bookViews>
  <sheets>
    <sheet name="marksheet" sheetId="1" r:id="rId1"/>
    <sheet name="practice" sheetId="2" r:id="rId2"/>
    <sheet name="salary sheet" sheetId="3" r:id="rId3"/>
    <sheet name="vlookup" sheetId="4" r:id="rId4"/>
    <sheet name="Sheet2" sheetId="5" r:id="rId5"/>
    <sheet name="EMP DATA" sheetId="6" r:id="rId6"/>
    <sheet name="CASH MEMO" sheetId="7" r:id="rId7"/>
    <sheet name="SALESDATA" sheetId="8" r:id="rId8"/>
    <sheet name="1emp" sheetId="9" r:id="rId9"/>
  </sheet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1" i="9" l="1"/>
  <c r="V17" i="9"/>
  <c r="V23" i="9"/>
  <c r="V22" i="9"/>
  <c r="V20" i="9"/>
  <c r="V19" i="9"/>
  <c r="V18" i="9"/>
  <c r="V16" i="9"/>
  <c r="V15" i="9"/>
  <c r="V14" i="9"/>
  <c r="V13" i="9"/>
  <c r="V12" i="9"/>
  <c r="V11" i="9"/>
  <c r="V10" i="9"/>
  <c r="V9" i="9"/>
  <c r="V8" i="9"/>
  <c r="V7" i="9"/>
  <c r="V6" i="9"/>
  <c r="V5" i="9"/>
  <c r="G65" i="8"/>
  <c r="G64" i="8"/>
  <c r="G63" i="8"/>
  <c r="G62" i="8"/>
  <c r="G61" i="8"/>
  <c r="G60" i="8"/>
  <c r="G59" i="8"/>
  <c r="G58" i="8"/>
  <c r="G57" i="8"/>
  <c r="G56" i="8"/>
  <c r="G55" i="8"/>
  <c r="G54" i="8"/>
  <c r="E18" i="7"/>
  <c r="E10" i="7"/>
  <c r="E11" i="7"/>
  <c r="E12" i="7"/>
  <c r="E13" i="7"/>
  <c r="E14" i="7"/>
  <c r="E15" i="7"/>
  <c r="E16" i="7"/>
  <c r="E17" i="7"/>
  <c r="E9" i="7"/>
  <c r="J50" i="6"/>
  <c r="K56" i="6"/>
  <c r="J65" i="6"/>
  <c r="J64" i="6"/>
  <c r="J63" i="6"/>
  <c r="J49" i="6"/>
  <c r="J43" i="6"/>
  <c r="J42" i="6"/>
  <c r="J41" i="6"/>
  <c r="J35" i="6"/>
  <c r="J34" i="6"/>
  <c r="J33" i="6"/>
  <c r="J27" i="6"/>
  <c r="J26" i="6"/>
  <c r="J25" i="6"/>
  <c r="G73" i="4"/>
  <c r="G72" i="4"/>
  <c r="G71" i="4"/>
  <c r="G70" i="4"/>
  <c r="G69" i="4"/>
  <c r="K63" i="4"/>
  <c r="K62" i="4"/>
  <c r="K59" i="4"/>
  <c r="K58" i="4"/>
  <c r="K57" i="4"/>
  <c r="K56" i="4"/>
  <c r="K55" i="4"/>
  <c r="N37" i="4"/>
  <c r="N49" i="4" s="1"/>
  <c r="N38" i="4"/>
  <c r="N43" i="4"/>
  <c r="N41" i="4"/>
  <c r="N48" i="4"/>
  <c r="N47" i="4"/>
  <c r="N46" i="4"/>
  <c r="N45" i="4"/>
  <c r="N44" i="4"/>
  <c r="N42" i="4"/>
  <c r="N40" i="4"/>
  <c r="N39" i="4"/>
  <c r="O7" i="3" a="1"/>
  <c r="O7" i="3" s="1"/>
  <c r="O8" i="3" a="1"/>
  <c r="O8" i="3" s="1"/>
  <c r="O9" i="3" a="1"/>
  <c r="O9" i="3"/>
  <c r="O10" i="3" a="1"/>
  <c r="O10" i="3"/>
  <c r="O11" i="3" a="1"/>
  <c r="O11" i="3" s="1"/>
  <c r="O12" i="3" a="1"/>
  <c r="O12" i="3" s="1"/>
  <c r="O13" i="3" a="1"/>
  <c r="O13" i="3"/>
  <c r="O14" i="3" a="1"/>
  <c r="O14" i="3"/>
  <c r="O15" i="3" a="1"/>
  <c r="O15" i="3" s="1"/>
  <c r="O16" i="3" a="1"/>
  <c r="O16" i="3" s="1"/>
  <c r="O17" i="3" a="1"/>
  <c r="O17" i="3"/>
  <c r="O18" i="3" a="1"/>
  <c r="O18" i="3"/>
  <c r="O19" i="3" a="1"/>
  <c r="O19" i="3" s="1"/>
  <c r="O20" i="3" a="1"/>
  <c r="O20" i="3" s="1"/>
  <c r="O6" i="3" a="1"/>
  <c r="O6" i="3" s="1"/>
  <c r="K53" i="3"/>
  <c r="K51" i="3"/>
  <c r="K49" i="3"/>
  <c r="K47" i="3"/>
  <c r="K45" i="3"/>
  <c r="K43" i="3"/>
  <c r="K40" i="3"/>
  <c r="K39" i="3"/>
  <c r="K41" i="3"/>
  <c r="K37" i="3"/>
  <c r="K35" i="3"/>
  <c r="K33" i="3"/>
  <c r="K31" i="3"/>
  <c r="K27" i="3"/>
  <c r="K29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N6" i="3"/>
  <c r="M6" i="3"/>
  <c r="L6" i="3"/>
  <c r="K6" i="3"/>
  <c r="J6" i="3"/>
  <c r="H6" i="3"/>
  <c r="G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6" i="3"/>
  <c r="K11" i="2"/>
  <c r="K12" i="2"/>
  <c r="K13" i="2"/>
  <c r="K14" i="2"/>
  <c r="K15" i="2"/>
  <c r="K16" i="2"/>
  <c r="K17" i="2"/>
  <c r="K18" i="2"/>
  <c r="K19" i="2"/>
  <c r="K10" i="2"/>
  <c r="K9" i="2"/>
  <c r="L11" i="2"/>
  <c r="L12" i="2"/>
  <c r="L13" i="2"/>
  <c r="L14" i="2"/>
  <c r="L15" i="2"/>
  <c r="L16" i="2"/>
  <c r="L17" i="2"/>
  <c r="L18" i="2"/>
  <c r="L19" i="2"/>
  <c r="L10" i="2"/>
  <c r="J8" i="2"/>
  <c r="J9" i="2"/>
  <c r="J10" i="2"/>
  <c r="J11" i="2"/>
  <c r="J12" i="2"/>
  <c r="J13" i="2"/>
  <c r="J14" i="2"/>
  <c r="J15" i="2"/>
  <c r="J16" i="2"/>
  <c r="J17" i="2"/>
  <c r="J18" i="2"/>
  <c r="J19" i="2"/>
  <c r="J7" i="2"/>
  <c r="N8" i="2"/>
  <c r="N9" i="2"/>
  <c r="N10" i="2"/>
  <c r="N11" i="2"/>
  <c r="N12" i="2"/>
  <c r="N13" i="2"/>
  <c r="N14" i="2"/>
  <c r="N15" i="2"/>
  <c r="N16" i="2"/>
  <c r="N17" i="2"/>
  <c r="N18" i="2"/>
  <c r="N19" i="2"/>
  <c r="N7" i="2"/>
  <c r="O10" i="2"/>
  <c r="O11" i="2"/>
  <c r="O12" i="2"/>
  <c r="O13" i="2"/>
  <c r="O14" i="2"/>
  <c r="O15" i="2"/>
  <c r="O16" i="2"/>
  <c r="O17" i="2"/>
  <c r="O18" i="2"/>
  <c r="O19" i="2"/>
  <c r="O9" i="2"/>
  <c r="O8" i="2"/>
  <c r="O7" i="2"/>
  <c r="P8" i="2"/>
  <c r="P9" i="2"/>
  <c r="P10" i="2"/>
  <c r="P11" i="2"/>
  <c r="P12" i="2"/>
  <c r="P13" i="2"/>
  <c r="P14" i="2"/>
  <c r="P15" i="2"/>
  <c r="P16" i="2"/>
  <c r="P17" i="2"/>
  <c r="P18" i="2"/>
  <c r="P19" i="2"/>
  <c r="P7" i="2"/>
  <c r="I8" i="2"/>
  <c r="I9" i="2"/>
  <c r="I10" i="2"/>
  <c r="I11" i="2"/>
  <c r="I12" i="2"/>
  <c r="I13" i="2"/>
  <c r="I14" i="2"/>
  <c r="I15" i="2"/>
  <c r="I16" i="2"/>
  <c r="I17" i="2"/>
  <c r="I18" i="2"/>
  <c r="I19" i="2"/>
  <c r="I7" i="2"/>
  <c r="M8" i="2"/>
  <c r="M9" i="2"/>
  <c r="M10" i="2"/>
  <c r="M11" i="2"/>
  <c r="M12" i="2"/>
  <c r="M13" i="2"/>
  <c r="M14" i="2"/>
  <c r="M15" i="2"/>
  <c r="M16" i="2"/>
  <c r="M17" i="2"/>
  <c r="M18" i="2"/>
  <c r="M19" i="2"/>
  <c r="M7" i="2"/>
  <c r="L9" i="2"/>
  <c r="L8" i="2"/>
  <c r="L7" i="2"/>
  <c r="K8" i="2"/>
  <c r="K7" i="2"/>
  <c r="H8" i="2"/>
  <c r="H9" i="2"/>
  <c r="H10" i="2"/>
  <c r="H11" i="2"/>
  <c r="H12" i="2"/>
  <c r="H13" i="2"/>
  <c r="H14" i="2"/>
  <c r="H15" i="2"/>
  <c r="H16" i="2"/>
  <c r="H17" i="2"/>
  <c r="H18" i="2"/>
  <c r="H19" i="2"/>
  <c r="H7" i="2"/>
  <c r="G8" i="2"/>
  <c r="G9" i="2"/>
  <c r="G10" i="2"/>
  <c r="G11" i="2"/>
  <c r="G12" i="2"/>
  <c r="G13" i="2"/>
  <c r="G14" i="2"/>
  <c r="G15" i="2"/>
  <c r="G16" i="2"/>
  <c r="G17" i="2"/>
  <c r="G18" i="2"/>
  <c r="G19" i="2"/>
  <c r="G7" i="2"/>
  <c r="F8" i="2"/>
  <c r="F9" i="2"/>
  <c r="F10" i="2"/>
  <c r="F11" i="2"/>
  <c r="F12" i="2"/>
  <c r="F13" i="2"/>
  <c r="F14" i="2"/>
  <c r="F15" i="2"/>
  <c r="F16" i="2"/>
  <c r="F17" i="2"/>
  <c r="F18" i="2"/>
  <c r="F19" i="2"/>
  <c r="F7" i="2"/>
  <c r="J6" i="1"/>
  <c r="L7" i="1"/>
  <c r="L8" i="1"/>
  <c r="L9" i="1"/>
  <c r="L10" i="1"/>
  <c r="L11" i="1"/>
  <c r="L12" i="1"/>
  <c r="L13" i="1"/>
  <c r="L14" i="1"/>
  <c r="L15" i="1"/>
  <c r="L16" i="1"/>
  <c r="L17" i="1"/>
  <c r="L6" i="1"/>
  <c r="K7" i="1"/>
  <c r="K8" i="1"/>
  <c r="M8" i="1" s="1"/>
  <c r="K9" i="1"/>
  <c r="K10" i="1"/>
  <c r="K11" i="1"/>
  <c r="K12" i="1"/>
  <c r="K13" i="1"/>
  <c r="K14" i="1"/>
  <c r="K15" i="1"/>
  <c r="K16" i="1"/>
  <c r="M16" i="1" s="1"/>
  <c r="K17" i="1"/>
  <c r="K6" i="1"/>
  <c r="J7" i="1"/>
  <c r="J8" i="1"/>
  <c r="N8" i="1" s="1"/>
  <c r="O8" i="1" s="1"/>
  <c r="J9" i="1"/>
  <c r="J10" i="1"/>
  <c r="J11" i="1"/>
  <c r="M11" i="1" s="1"/>
  <c r="J12" i="1"/>
  <c r="M12" i="1" s="1"/>
  <c r="J13" i="1"/>
  <c r="J14" i="1"/>
  <c r="N14" i="1" s="1"/>
  <c r="O14" i="1" s="1"/>
  <c r="J15" i="1"/>
  <c r="N15" i="1" s="1"/>
  <c r="O15" i="1" s="1"/>
  <c r="J16" i="1"/>
  <c r="N16" i="1" s="1"/>
  <c r="O16" i="1" s="1"/>
  <c r="J17" i="1"/>
  <c r="N50" i="4" l="1"/>
  <c r="M10" i="1"/>
  <c r="M14" i="1"/>
  <c r="M9" i="1"/>
  <c r="M17" i="1"/>
  <c r="M7" i="1"/>
  <c r="M6" i="1"/>
  <c r="N7" i="1"/>
  <c r="O7" i="1" s="1"/>
  <c r="M15" i="1"/>
  <c r="M13" i="1"/>
  <c r="N13" i="1"/>
  <c r="O13" i="1" s="1"/>
  <c r="N6" i="1"/>
  <c r="O6" i="1" s="1"/>
  <c r="N12" i="1"/>
  <c r="O12" i="1" s="1"/>
  <c r="N11" i="1"/>
  <c r="O11" i="1" s="1"/>
  <c r="N10" i="1"/>
  <c r="O10" i="1" s="1"/>
  <c r="N17" i="1"/>
  <c r="O17" i="1" s="1"/>
  <c r="N9" i="1"/>
  <c r="O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<sst xmlns="http://schemas.openxmlformats.org/spreadsheetml/2006/main" count="885" uniqueCount="516">
  <si>
    <t>Marksheet</t>
  </si>
  <si>
    <t>S NO.</t>
  </si>
  <si>
    <t>NAME</t>
  </si>
  <si>
    <t>CLASS</t>
  </si>
  <si>
    <t>ROLL NO.</t>
  </si>
  <si>
    <t>HINDI</t>
  </si>
  <si>
    <t>English</t>
  </si>
  <si>
    <t>Maths</t>
  </si>
  <si>
    <t>Science</t>
  </si>
  <si>
    <t>Social Sdudies</t>
  </si>
  <si>
    <t>Jayesh</t>
  </si>
  <si>
    <t>aman</t>
  </si>
  <si>
    <t>sumit</t>
  </si>
  <si>
    <t>riya</t>
  </si>
  <si>
    <t>deepak</t>
  </si>
  <si>
    <t>muskan</t>
  </si>
  <si>
    <t>anuradha</t>
  </si>
  <si>
    <t>ankit</t>
  </si>
  <si>
    <t>piyush</t>
  </si>
  <si>
    <t>abc</t>
  </si>
  <si>
    <t>def</t>
  </si>
  <si>
    <t>ijk</t>
  </si>
  <si>
    <t>XI</t>
  </si>
  <si>
    <t>TOTAL</t>
  </si>
  <si>
    <t>MINIMUM</t>
  </si>
  <si>
    <t>MAXIMUM</t>
  </si>
  <si>
    <t>COUNT</t>
  </si>
  <si>
    <t>PERCENTAGE</t>
  </si>
  <si>
    <t>GRADE</t>
  </si>
  <si>
    <t>practice</t>
  </si>
  <si>
    <t>sno.</t>
  </si>
  <si>
    <t>no1</t>
  </si>
  <si>
    <t>no2</t>
  </si>
  <si>
    <t>no3</t>
  </si>
  <si>
    <t>no 4</t>
  </si>
  <si>
    <t>sum</t>
  </si>
  <si>
    <t>product</t>
  </si>
  <si>
    <t>average</t>
  </si>
  <si>
    <t>division</t>
  </si>
  <si>
    <t>mode</t>
  </si>
  <si>
    <t>round</t>
  </si>
  <si>
    <t>sqrt</t>
  </si>
  <si>
    <t>substraction</t>
  </si>
  <si>
    <t>power</t>
  </si>
  <si>
    <t>sign</t>
  </si>
  <si>
    <t>rand</t>
  </si>
  <si>
    <t>salary sheet</t>
  </si>
  <si>
    <t>S no.</t>
  </si>
  <si>
    <t>EMPLOYEE NAME</t>
  </si>
  <si>
    <t>EMP ID</t>
  </si>
  <si>
    <t>DESIGNATION</t>
  </si>
  <si>
    <t>BASIC  SALARY</t>
  </si>
  <si>
    <t>H.R.A</t>
  </si>
  <si>
    <t>T.A</t>
  </si>
  <si>
    <t>OTHER ALLOWANCE</t>
  </si>
  <si>
    <t>OVERTIME HOURS</t>
  </si>
  <si>
    <t>OVERTIME AMOUNT</t>
  </si>
  <si>
    <t>TOTAL ALLOWANCE</t>
  </si>
  <si>
    <t>GROSS SALARY</t>
  </si>
  <si>
    <t>P.F</t>
  </si>
  <si>
    <t>IN HAND SALARY</t>
  </si>
  <si>
    <t>JAYESH KUMAR</t>
  </si>
  <si>
    <t>MANJEET SINGH</t>
  </si>
  <si>
    <t>AMAN YADAV</t>
  </si>
  <si>
    <t xml:space="preserve">ANURADHA </t>
  </si>
  <si>
    <t>ANKIT JATAV</t>
  </si>
  <si>
    <t>RIYA THAPLIYAL</t>
  </si>
  <si>
    <t>MUSKAN PAL</t>
  </si>
  <si>
    <t>PIYUSH PAL</t>
  </si>
  <si>
    <t>SUMMIT</t>
  </si>
  <si>
    <t>ADITYA</t>
  </si>
  <si>
    <t>DEEPAK GUPTA</t>
  </si>
  <si>
    <t>PURNIMA</t>
  </si>
  <si>
    <t>KANAK</t>
  </si>
  <si>
    <t>DOLLY</t>
  </si>
  <si>
    <t>ANJUL</t>
  </si>
  <si>
    <t>101A</t>
  </si>
  <si>
    <t>101B</t>
  </si>
  <si>
    <t>101C</t>
  </si>
  <si>
    <t>101D</t>
  </si>
  <si>
    <t>101E</t>
  </si>
  <si>
    <t>101F</t>
  </si>
  <si>
    <t>101G</t>
  </si>
  <si>
    <t>101H</t>
  </si>
  <si>
    <t>101I</t>
  </si>
  <si>
    <t>101J</t>
  </si>
  <si>
    <t>101K</t>
  </si>
  <si>
    <t>101L</t>
  </si>
  <si>
    <t>101M</t>
  </si>
  <si>
    <t>101N</t>
  </si>
  <si>
    <t>101O</t>
  </si>
  <si>
    <t>STORE MANAGER</t>
  </si>
  <si>
    <t>MANAGER</t>
  </si>
  <si>
    <t>WORKER</t>
  </si>
  <si>
    <t>DIRECTOR</t>
  </si>
  <si>
    <t>MD</t>
  </si>
  <si>
    <t>PLANTMANAGER</t>
  </si>
  <si>
    <t>AREA MANAGER</t>
  </si>
  <si>
    <t>BRANCH MANAGER</t>
  </si>
  <si>
    <t>SUPERVISOR</t>
  </si>
  <si>
    <t>ASSISTANT MANAGER</t>
  </si>
  <si>
    <t xml:space="preserve">SECTION HEAD </t>
  </si>
  <si>
    <t>TEAM LEAD</t>
  </si>
  <si>
    <t>MACHINE OPERATOR</t>
  </si>
  <si>
    <t>GENERAL MANAGER</t>
  </si>
  <si>
    <t>H.R</t>
  </si>
  <si>
    <t>Q1</t>
  </si>
  <si>
    <t>What is the highest gross salary?</t>
  </si>
  <si>
    <t>Q2</t>
  </si>
  <si>
    <t>maximum amount generated by overtime?</t>
  </si>
  <si>
    <t>Q3</t>
  </si>
  <si>
    <t>Avg salary of all the employee?</t>
  </si>
  <si>
    <t>Q4</t>
  </si>
  <si>
    <t>difference of gross salary and basic salary of fifth employee in sheet?</t>
  </si>
  <si>
    <t>Q5</t>
  </si>
  <si>
    <t>find sum of in hand salary of all emp?</t>
  </si>
  <si>
    <t>Q6</t>
  </si>
  <si>
    <t>avg overtime hours of all emp?</t>
  </si>
  <si>
    <t>Q7</t>
  </si>
  <si>
    <t>find what percent of in hand salary of 6th and 8th emp generated by overtime work?</t>
  </si>
  <si>
    <t>Q8</t>
  </si>
  <si>
    <t>find the sum of gross salay of biggest and lowest earning emp?</t>
  </si>
  <si>
    <t>answers</t>
  </si>
  <si>
    <t>Q9</t>
  </si>
  <si>
    <t>COUNT THE NO. OF EMPLOYEES whose in hand salary is more than 30000?</t>
  </si>
  <si>
    <t>Q10</t>
  </si>
  <si>
    <t>find the sum of in hand salary of emp whose overtime hours are more than 10?</t>
  </si>
  <si>
    <t>Q11</t>
  </si>
  <si>
    <t>find the avg gross salary of emp whose salary is less than 80000?</t>
  </si>
  <si>
    <t>q12</t>
  </si>
  <si>
    <t>find the no of emp whose Basic salart is greater than 40000 and more than 8 hours of overtime?</t>
  </si>
  <si>
    <t>Q13</t>
  </si>
  <si>
    <t>find the sum of gross salary of emp whose gross salary is greater than 100000 and more than 8 hours of worktime?</t>
  </si>
  <si>
    <t>Q14</t>
  </si>
  <si>
    <t>find the avg of basic salaryof emp whose in hand salary is more than 40000and more than 10 hours of overtime?</t>
  </si>
  <si>
    <t>category</t>
  </si>
  <si>
    <t>Population</t>
  </si>
  <si>
    <t>Male Population</t>
  </si>
  <si>
    <t>Female Population</t>
  </si>
  <si>
    <t>Gender Ratio</t>
  </si>
  <si>
    <t>Andaman &amp; Nicobar</t>
  </si>
  <si>
    <t>Andhra Pradesh</t>
  </si>
  <si>
    <t>Arunachal Pradesh</t>
  </si>
  <si>
    <t>Assam</t>
  </si>
  <si>
    <t>Bihar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</si>
  <si>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</si>
  <si>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</si>
  <si>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</si>
  <si>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</si>
  <si>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</si>
  <si>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</si>
  <si>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</si>
  <si>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</si>
  <si>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</si>
  <si>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</si>
  <si>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</si>
  <si>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</si>
  <si>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</si>
  <si>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</si>
  <si>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</si>
  <si>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</si>
  <si>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</si>
  <si>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</si>
  <si>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</si>
  <si>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</si>
  <si>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</si>
  <si>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</si>
  <si>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</si>
  <si>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</si>
  <si>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</si>
  <si>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</si>
  <si>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</si>
  <si>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</si>
  <si>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Calculate the total population of all states and union territories.</t>
  </si>
  <si>
    <t>Count the total number of states and union territories in the table.</t>
  </si>
  <si>
    <t>Find the average population of all states and union territories.</t>
  </si>
  <si>
    <t>Calculate the total population of states with a Gender ratio greater than 950.</t>
  </si>
  <si>
    <t>Count the number of states and union territories with a population exceeding 50000000</t>
  </si>
  <si>
    <t>Find the average population of states with a Gender ratio less than 950.</t>
  </si>
  <si>
    <t>Calculate the total population of states where the Gender ratio is greater than 950 and the population is less than 50000000</t>
  </si>
  <si>
    <t>Count the number of states with a male population greater than 20000000 and a female population greater than 20000000</t>
  </si>
  <si>
    <t>Find the average population of states where the male population is greater than 10000000 and the Gender ratio is less than 950.</t>
  </si>
  <si>
    <t>Find maximum gender ratio from above table</t>
  </si>
  <si>
    <t>Find minimum gender ratio from above list</t>
  </si>
  <si>
    <t>How many states/UT's have population less than 60000000</t>
  </si>
  <si>
    <r>
      <t xml:space="preserve">Find what Percentage of total population belongs to </t>
    </r>
    <r>
      <rPr>
        <b/>
        <sz val="11"/>
        <color theme="1"/>
        <rFont val="Calibri"/>
        <family val="2"/>
        <scheme val="minor"/>
      </rPr>
      <t>Uttar Pradesh.</t>
    </r>
  </si>
  <si>
    <t>Find what Percentage of total population is Male population.</t>
  </si>
  <si>
    <t>Vlookup  question</t>
  </si>
  <si>
    <t>Answer</t>
  </si>
  <si>
    <r>
      <t xml:space="preserve">Find the population of </t>
    </r>
    <r>
      <rPr>
        <b/>
        <sz val="11"/>
        <color theme="1"/>
        <rFont val="Calibri"/>
        <family val="2"/>
        <scheme val="minor"/>
      </rPr>
      <t>Kerala</t>
    </r>
    <r>
      <rPr>
        <sz val="11"/>
        <color theme="1"/>
        <rFont val="Calibri"/>
        <family val="2"/>
        <scheme val="minor"/>
      </rPr>
      <t xml:space="preserve"> using VLOOKUP.</t>
    </r>
  </si>
  <si>
    <r>
      <t xml:space="preserve">Retrieve the male population of </t>
    </r>
    <r>
      <rPr>
        <b/>
        <sz val="11"/>
        <color theme="1"/>
        <rFont val="Calibri"/>
        <family val="2"/>
        <scheme val="minor"/>
      </rPr>
      <t>Maharashtra</t>
    </r>
    <r>
      <rPr>
        <sz val="11"/>
        <color theme="1"/>
        <rFont val="Calibri"/>
        <family val="2"/>
        <scheme val="minor"/>
      </rPr>
      <t>.</t>
    </r>
  </si>
  <si>
    <r>
      <t xml:space="preserve">Find the female population of </t>
    </r>
    <r>
      <rPr>
        <b/>
        <sz val="11"/>
        <color theme="1"/>
        <rFont val="Calibri"/>
        <family val="2"/>
        <scheme val="minor"/>
      </rPr>
      <t>Tamil Nadu</t>
    </r>
    <r>
      <rPr>
        <sz val="11"/>
        <color theme="1"/>
        <rFont val="Calibri"/>
        <family val="2"/>
        <scheme val="minor"/>
      </rPr>
      <t>.</t>
    </r>
  </si>
  <si>
    <r>
      <t xml:space="preserve">What is the sex ratio of </t>
    </r>
    <r>
      <rPr>
        <b/>
        <sz val="11"/>
        <color theme="1"/>
        <rFont val="Calibri"/>
        <family val="2"/>
        <scheme val="minor"/>
      </rPr>
      <t>Rajasthan</t>
    </r>
    <r>
      <rPr>
        <sz val="11"/>
        <color theme="1"/>
        <rFont val="Calibri"/>
        <family val="2"/>
        <scheme val="minor"/>
      </rPr>
      <t>?</t>
    </r>
  </si>
  <si>
    <t>Find the sex ratio of the state with the maximum population.</t>
  </si>
  <si>
    <r>
      <t xml:space="preserve">Verify if VLOOKUP treats </t>
    </r>
    <r>
      <rPr>
        <b/>
        <sz val="11"/>
        <color theme="1"/>
        <rFont val="Calibri"/>
        <family val="2"/>
        <scheme val="minor"/>
      </rPr>
      <t>"Kerala"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"KERALA"</t>
    </r>
    <r>
      <rPr>
        <sz val="11"/>
        <color theme="1"/>
        <rFont val="Calibri"/>
        <family val="2"/>
        <scheme val="minor"/>
      </rPr>
      <t xml:space="preserve"> as the same for population lookup.</t>
    </r>
  </si>
  <si>
    <t>KERALA</t>
  </si>
  <si>
    <t>TAMIL NADU</t>
  </si>
  <si>
    <t>RAJASTHAN</t>
  </si>
  <si>
    <t>UTTAR PRADESH</t>
  </si>
  <si>
    <t>MAHARASHTRA</t>
  </si>
  <si>
    <t>kerala</t>
  </si>
  <si>
    <t>HLOOKUP QUESTIONS</t>
  </si>
  <si>
    <t>Q1 using hlookup, retrive the population of the states listed in the 5th row?</t>
  </si>
  <si>
    <t>q2 find the male population for the state listed in the 12th row ?</t>
  </si>
  <si>
    <t>3  retrive the female population of state 8th  row</t>
  </si>
  <si>
    <t>4   get gender ratio for 3rd row?</t>
  </si>
  <si>
    <t>5  find the population of state in 10th row?</t>
  </si>
  <si>
    <t>state/ut</t>
  </si>
  <si>
    <t>ID</t>
  </si>
  <si>
    <t>Name</t>
  </si>
  <si>
    <t>Department</t>
  </si>
  <si>
    <t>Salary</t>
  </si>
  <si>
    <t>Age</t>
  </si>
  <si>
    <t>Location</t>
  </si>
  <si>
    <t>Bonus</t>
  </si>
  <si>
    <t>Joining Date</t>
  </si>
  <si>
    <t>Gender</t>
  </si>
  <si>
    <t>John</t>
  </si>
  <si>
    <t>HR</t>
  </si>
  <si>
    <t>New York</t>
  </si>
  <si>
    <t>Male</t>
  </si>
  <si>
    <t>Sarah</t>
  </si>
  <si>
    <t>Marketing</t>
  </si>
  <si>
    <t>Chicago</t>
  </si>
  <si>
    <t>Female</t>
  </si>
  <si>
    <t>Mike</t>
  </si>
  <si>
    <t>IT</t>
  </si>
  <si>
    <t>San Francisco</t>
  </si>
  <si>
    <t>03/22/2017</t>
  </si>
  <si>
    <t>Emma</t>
  </si>
  <si>
    <t>David</t>
  </si>
  <si>
    <t>Sales</t>
  </si>
  <si>
    <t>05/14/2020</t>
  </si>
  <si>
    <t>Olivia</t>
  </si>
  <si>
    <t>09/30/2018</t>
  </si>
  <si>
    <t>Jack</t>
  </si>
  <si>
    <t>06/15/2017</t>
  </si>
  <si>
    <t>Sophia</t>
  </si>
  <si>
    <t>Daniel</t>
  </si>
  <si>
    <t>02/14/2021</t>
  </si>
  <si>
    <t>Ava</t>
  </si>
  <si>
    <t>10/25/2020</t>
  </si>
  <si>
    <t>Leo</t>
  </si>
  <si>
    <t>04/17/2018</t>
  </si>
  <si>
    <t>Lily</t>
  </si>
  <si>
    <t>James</t>
  </si>
  <si>
    <t>01/21/2021</t>
  </si>
  <si>
    <t>Chloe</t>
  </si>
  <si>
    <t>06/19/2020</t>
  </si>
  <si>
    <t>Ethan</t>
  </si>
  <si>
    <t>Mia</t>
  </si>
  <si>
    <t>William</t>
  </si>
  <si>
    <t>Isabella</t>
  </si>
  <si>
    <t>05/25/2019</t>
  </si>
  <si>
    <t>Ben</t>
  </si>
  <si>
    <t>09/15/2021</t>
  </si>
  <si>
    <t>COUNT and COUNTIF Practice</t>
  </si>
  <si>
    <r>
      <t>1. COUNT</t>
    </r>
    <r>
      <rPr>
        <sz val="11"/>
        <color theme="1"/>
        <rFont val="Calibri"/>
        <family val="2"/>
        <scheme val="minor"/>
      </rPr>
      <t>: Count the total number of employees in the dataset.</t>
    </r>
  </si>
  <si>
    <r>
      <t>2. COUNTIF</t>
    </r>
    <r>
      <rPr>
        <sz val="11"/>
        <color theme="1"/>
        <rFont val="Calibri"/>
        <family val="2"/>
        <scheme val="minor"/>
      </rPr>
      <t>: Count the number of employees in the "HR" department.</t>
    </r>
  </si>
  <si>
    <r>
      <t>3. COUNTIF</t>
    </r>
    <r>
      <rPr>
        <sz val="11"/>
        <color theme="1"/>
        <rFont val="Calibri"/>
        <family val="2"/>
        <scheme val="minor"/>
      </rPr>
      <t>: Count the number of employees whose location is "New York".</t>
    </r>
  </si>
  <si>
    <t>AVERAGE and AVERAGEIF Practice</t>
  </si>
  <si>
    <r>
      <t>4. AVERAGE</t>
    </r>
    <r>
      <rPr>
        <sz val="11"/>
        <color theme="1"/>
        <rFont val="Calibri"/>
        <family val="2"/>
        <scheme val="minor"/>
      </rPr>
      <t>: Calculate the average salary of all employees.</t>
    </r>
  </si>
  <si>
    <r>
      <t>5. AVERAGEIF</t>
    </r>
    <r>
      <rPr>
        <sz val="11"/>
        <color theme="1"/>
        <rFont val="Calibri"/>
        <family val="2"/>
        <scheme val="minor"/>
      </rPr>
      <t>: Calculate the average salary of employees in the "Marketing" department.</t>
    </r>
  </si>
  <si>
    <r>
      <t>6. AVERAGEIF</t>
    </r>
    <r>
      <rPr>
        <sz val="11"/>
        <color theme="1"/>
        <rFont val="Calibri"/>
        <family val="2"/>
        <scheme val="minor"/>
      </rPr>
      <t>: Find the average bonus of employees whose age is greater than 30.</t>
    </r>
  </si>
  <si>
    <t>SUM and SUMIF Practice</t>
  </si>
  <si>
    <r>
      <t>7. SUM</t>
    </r>
    <r>
      <rPr>
        <sz val="11"/>
        <color theme="1"/>
        <rFont val="Calibri"/>
        <family val="2"/>
        <scheme val="minor"/>
      </rPr>
      <t>: Calculate the total bonus for all employees.</t>
    </r>
  </si>
  <si>
    <r>
      <t>8. SUMIF</t>
    </r>
    <r>
      <rPr>
        <sz val="11"/>
        <color theme="1"/>
        <rFont val="Calibri"/>
        <family val="2"/>
        <scheme val="minor"/>
      </rPr>
      <t>: Calculate the total salary of employees in the "Sales" department.</t>
    </r>
  </si>
  <si>
    <r>
      <t>9. SUMIF</t>
    </r>
    <r>
      <rPr>
        <sz val="11"/>
        <color theme="1"/>
        <rFont val="Calibri"/>
        <family val="2"/>
        <scheme val="minor"/>
      </rPr>
      <t>: Calculate the total salary of employees whose age is less than 30.</t>
    </r>
  </si>
  <si>
    <t>VLOOKUP Practice</t>
  </si>
  <si>
    <r>
      <t>10. VLOOKUP</t>
    </r>
    <r>
      <rPr>
        <sz val="11"/>
        <color theme="1"/>
        <rFont val="Calibri"/>
        <family val="2"/>
        <scheme val="minor"/>
      </rPr>
      <t>: Find the department of the employee with ID "1003".</t>
    </r>
  </si>
  <si>
    <r>
      <t>11. VLOOKUP</t>
    </r>
    <r>
      <rPr>
        <sz val="11"/>
        <color theme="1"/>
        <rFont val="Calibri"/>
        <family val="2"/>
        <scheme val="minor"/>
      </rPr>
      <t>: Find the joining date of the employee named "Sophia".</t>
    </r>
  </si>
  <si>
    <t>HLOOKUP Practice</t>
  </si>
  <si>
    <r>
      <t>12. HLOOKUP</t>
    </r>
    <r>
      <rPr>
        <sz val="11"/>
        <color theme="1"/>
        <rFont val="Calibri"/>
        <family val="2"/>
        <scheme val="minor"/>
      </rPr>
      <t>: Use HLOOKUP to find the age of employees when their IDs are arranged horizontally.</t>
    </r>
  </si>
  <si>
    <t>(You can transpose the IDs into a horizontal row to simulate this scenario.)</t>
  </si>
  <si>
    <t>Advanced and Combined Questions</t>
  </si>
  <si>
    <r>
      <t>13. COUNTIFS</t>
    </r>
    <r>
      <rPr>
        <sz val="11"/>
        <color theme="1"/>
        <rFont val="Calibri"/>
        <family val="2"/>
        <scheme val="minor"/>
      </rPr>
      <t>: Count the number of employees in "New York" who are in the "HR" department.</t>
    </r>
  </si>
  <si>
    <r>
      <t>14. AVERAGEIFS</t>
    </r>
    <r>
      <rPr>
        <sz val="11"/>
        <color theme="1"/>
        <rFont val="Calibri"/>
        <family val="2"/>
        <scheme val="minor"/>
      </rPr>
      <t>: Calculate the average salary of male employees in "Chicago".</t>
    </r>
  </si>
  <si>
    <r>
      <t>15. SUMIFS</t>
    </r>
    <r>
      <rPr>
        <sz val="11"/>
        <color theme="1"/>
        <rFont val="Calibri"/>
        <family val="2"/>
        <scheme val="minor"/>
      </rPr>
      <t>: Calculate the total bonus of employees in "San Francisco" who are in the "IT" department.</t>
    </r>
  </si>
  <si>
    <t>CASH MEMO</t>
  </si>
  <si>
    <t>BUYER'S NAME:</t>
  </si>
  <si>
    <t>ADDERESS:</t>
  </si>
  <si>
    <t>NO.                                              ADDERESS OF THE SELLER AND CO.                                                                                                DATE:</t>
  </si>
  <si>
    <t>SNO.</t>
  </si>
  <si>
    <t>DESCRIPTION</t>
  </si>
  <si>
    <t>QUANTITY</t>
  </si>
  <si>
    <t>RATE</t>
  </si>
  <si>
    <t>AMOUNT</t>
  </si>
  <si>
    <t>TERMS AND CONDITIONS - IF ANY</t>
  </si>
  <si>
    <t>NOTEBOOK</t>
  </si>
  <si>
    <t xml:space="preserve">PENCILS </t>
  </si>
  <si>
    <t>PENS</t>
  </si>
  <si>
    <t>SKETCH PENS</t>
  </si>
  <si>
    <t>WATER COLORS</t>
  </si>
  <si>
    <t>GLITTER</t>
  </si>
  <si>
    <t>HIGHLIGHTER</t>
  </si>
  <si>
    <t>COVER</t>
  </si>
  <si>
    <t>KEY CHAINS</t>
  </si>
  <si>
    <t>SHARMA STATIONARY</t>
  </si>
  <si>
    <t>Order ID</t>
  </si>
  <si>
    <t>Amount (INR)</t>
  </si>
  <si>
    <t>Profit (INR)</t>
  </si>
  <si>
    <t>Quantity</t>
  </si>
  <si>
    <t>Category</t>
  </si>
  <si>
    <t>Sub-category</t>
  </si>
  <si>
    <t>Mode of Payment</t>
  </si>
  <si>
    <t>B-12001</t>
  </si>
  <si>
    <t>Electronics</t>
  </si>
  <si>
    <t>Mobile Phones</t>
  </si>
  <si>
    <t>Credit Card</t>
  </si>
  <si>
    <t>B-12002</t>
  </si>
  <si>
    <t>Furniture</t>
  </si>
  <si>
    <t>Office Chairs</t>
  </si>
  <si>
    <t>Debit Card</t>
  </si>
  <si>
    <t>B-12003</t>
  </si>
  <si>
    <t>Appliances</t>
  </si>
  <si>
    <t>Air Conditioners</t>
  </si>
  <si>
    <t>UPI</t>
  </si>
  <si>
    <t>B-12004</t>
  </si>
  <si>
    <t>Home Decor</t>
  </si>
  <si>
    <t>Wall Art</t>
  </si>
  <si>
    <t>Cash on Delivery</t>
  </si>
  <si>
    <t>B-12005</t>
  </si>
  <si>
    <t>Stationery</t>
  </si>
  <si>
    <t>Notebooks</t>
  </si>
  <si>
    <t>B-12006</t>
  </si>
  <si>
    <t>Laptops</t>
  </si>
  <si>
    <t>Net Banking</t>
  </si>
  <si>
    <t>B-12007</t>
  </si>
  <si>
    <t>Fashion</t>
  </si>
  <si>
    <t>Footwear</t>
  </si>
  <si>
    <t>B-12008</t>
  </si>
  <si>
    <t>Refrigerators</t>
  </si>
  <si>
    <t>B-12009</t>
  </si>
  <si>
    <t>Pens</t>
  </si>
  <si>
    <t>B-12010</t>
  </si>
  <si>
    <t>Tablets</t>
  </si>
  <si>
    <t>B-12011</t>
  </si>
  <si>
    <t>Study Tables</t>
  </si>
  <si>
    <t>B-12012</t>
  </si>
  <si>
    <t>Handbags</t>
  </si>
  <si>
    <t>B-12013</t>
  </si>
  <si>
    <t>Smart Watches</t>
  </si>
  <si>
    <t>B-12014</t>
  </si>
  <si>
    <t>Washing Machines</t>
  </si>
  <si>
    <t>B-12015</t>
  </si>
  <si>
    <t>Lamps</t>
  </si>
  <si>
    <t>B-12016</t>
  </si>
  <si>
    <t>Folders</t>
  </si>
  <si>
    <t>B-12017</t>
  </si>
  <si>
    <t>Headphones</t>
  </si>
  <si>
    <t>B-12018</t>
  </si>
  <si>
    <t>Sofas</t>
  </si>
  <si>
    <t>B-12019</t>
  </si>
  <si>
    <t>Microwave Ovens</t>
  </si>
  <si>
    <t>B-12020</t>
  </si>
  <si>
    <t>Sunglasses</t>
  </si>
  <si>
    <t>B-12021</t>
  </si>
  <si>
    <t>Speakers</t>
  </si>
  <si>
    <t>B-12022</t>
  </si>
  <si>
    <t>Diaries</t>
  </si>
  <si>
    <t>B-12023</t>
  </si>
  <si>
    <t>Cameras</t>
  </si>
  <si>
    <t>B-12024</t>
  </si>
  <si>
    <t>Curtains</t>
  </si>
  <si>
    <t>B-12025</t>
  </si>
  <si>
    <t>Water Purifiers</t>
  </si>
  <si>
    <t>B-12026</t>
  </si>
  <si>
    <t>Smart TVs</t>
  </si>
  <si>
    <t>B-12027</t>
  </si>
  <si>
    <t>Markers</t>
  </si>
  <si>
    <t>B-12028</t>
  </si>
  <si>
    <t>Bookshelves</t>
  </si>
  <si>
    <t>B-12029</t>
  </si>
  <si>
    <t>T-shirts</t>
  </si>
  <si>
    <t>B-12030</t>
  </si>
  <si>
    <t>Dishwashers</t>
  </si>
  <si>
    <t>B-12031</t>
  </si>
  <si>
    <t>Clocks</t>
  </si>
  <si>
    <t>B-12032</t>
  </si>
  <si>
    <t>B-12033</t>
  </si>
  <si>
    <t>Calendars</t>
  </si>
  <si>
    <t>B-12034</t>
  </si>
  <si>
    <t>Cabinets</t>
  </si>
  <si>
    <t>B-12035</t>
  </si>
  <si>
    <t>Watches</t>
  </si>
  <si>
    <t>B-12036</t>
  </si>
  <si>
    <t>Vacuum Cleaners</t>
  </si>
  <si>
    <t>B-12037</t>
  </si>
  <si>
    <t>Photo Frames</t>
  </si>
  <si>
    <t>B-12038</t>
  </si>
  <si>
    <t>Jackets</t>
  </si>
  <si>
    <t>B-12039</t>
  </si>
  <si>
    <t>Gaming Consoles</t>
  </si>
  <si>
    <t>B-12040</t>
  </si>
  <si>
    <t>Sticky Notes</t>
  </si>
  <si>
    <t>B-12041</t>
  </si>
  <si>
    <t>Geysers</t>
  </si>
  <si>
    <t>B-12042</t>
  </si>
  <si>
    <t>Rugs</t>
  </si>
  <si>
    <t>B-12043</t>
  </si>
  <si>
    <t>B-12044</t>
  </si>
  <si>
    <t>Highlighters</t>
  </si>
  <si>
    <t>B-12045</t>
  </si>
  <si>
    <t>Dining Chairs</t>
  </si>
  <si>
    <t>B-12046</t>
  </si>
  <si>
    <t>Belts</t>
  </si>
  <si>
    <t>B-12047</t>
  </si>
  <si>
    <t>Soundbars</t>
  </si>
  <si>
    <t>B-12048</t>
  </si>
  <si>
    <t>Vases</t>
  </si>
  <si>
    <t>B-12049</t>
  </si>
  <si>
    <t>Water Heaters</t>
  </si>
  <si>
    <t>B-12050</t>
  </si>
  <si>
    <t>Tape Dispensers</t>
  </si>
  <si>
    <t>Row Labels</t>
  </si>
  <si>
    <t>Grand Total</t>
  </si>
  <si>
    <t>Column Labels</t>
  </si>
  <si>
    <t>Sum of Amount (INR)</t>
  </si>
  <si>
    <t>Q12</t>
  </si>
  <si>
    <t>TOTAL SALES AMOUNT FOR ELECTRONICS CATEGORY?</t>
  </si>
  <si>
    <t>TOTAL SALES AMOUNT FOR PAYMENTS MADE USING CREDIT CARDS?</t>
  </si>
  <si>
    <t>Total sales amount for the electronics category made using credit card?</t>
  </si>
  <si>
    <t>total sales amount for appliances sold with quantity &gt; than 2?</t>
  </si>
  <si>
    <t>how many orders are there in fashion category?</t>
  </si>
  <si>
    <t>how many orders was paid using upi?</t>
  </si>
  <si>
    <t>how many furniture items were purchased with quantity of 3?</t>
  </si>
  <si>
    <t>how Many stationary items were purchased using cosh on delivery?</t>
  </si>
  <si>
    <t>what is the avg sales amount for home décor category?</t>
  </si>
  <si>
    <t>cal avg quantity of orders paid using debit card?</t>
  </si>
  <si>
    <t>what is the avg sales amount for appliances sold with quantity &gt; than 1?</t>
  </si>
  <si>
    <t>what is the avg discount for electronics items sold using credit card?</t>
  </si>
  <si>
    <t>Employee ID</t>
  </si>
  <si>
    <t>Position</t>
  </si>
  <si>
    <t>Hire Date</t>
  </si>
  <si>
    <t>John Smith</t>
  </si>
  <si>
    <t>Sales Manager</t>
  </si>
  <si>
    <t>Jane Doe</t>
  </si>
  <si>
    <t>Marketing Specialist</t>
  </si>
  <si>
    <t>Sam Johnson</t>
  </si>
  <si>
    <t>HR Director</t>
  </si>
  <si>
    <t>Lisa Wong</t>
  </si>
  <si>
    <t>Software Engineer</t>
  </si>
  <si>
    <t>Michael Brown</t>
  </si>
  <si>
    <t>Finance</t>
  </si>
  <si>
    <t>Accountant</t>
  </si>
  <si>
    <t>Karen Davis</t>
  </si>
  <si>
    <t>Sales Associate</t>
  </si>
  <si>
    <t>Chris Wilson</t>
  </si>
  <si>
    <t>Marketing Manager</t>
  </si>
  <si>
    <t>Angela Martinez</t>
  </si>
  <si>
    <t>HR Specialist</t>
  </si>
  <si>
    <t>Robert Lee</t>
  </si>
  <si>
    <t>Network Administrator</t>
  </si>
  <si>
    <t>Emily Clark</t>
  </si>
  <si>
    <t>Financial Analyst</t>
  </si>
  <si>
    <t>Matthew Turner</t>
  </si>
  <si>
    <t>Sales Executive</t>
  </si>
  <si>
    <t>Laura Baker</t>
  </si>
  <si>
    <t>Content Creator</t>
  </si>
  <si>
    <t>Kevin Adams</t>
  </si>
  <si>
    <t>HR Manager</t>
  </si>
  <si>
    <t>Sara Nelson</t>
  </si>
  <si>
    <t>Systems Analyst</t>
  </si>
  <si>
    <t>Daniel Carter</t>
  </si>
  <si>
    <t>Financial Planner</t>
  </si>
  <si>
    <t>Megan Young</t>
  </si>
  <si>
    <t>Sales Representative</t>
  </si>
  <si>
    <t>Paul Allen</t>
  </si>
  <si>
    <t>SEO Specialist</t>
  </si>
  <si>
    <t>Jessica Scott</t>
  </si>
  <si>
    <t>HR Coordinator</t>
  </si>
  <si>
    <t>Eric Hill</t>
  </si>
  <si>
    <t>IT Manager</t>
  </si>
  <si>
    <t>Amanda Green</t>
  </si>
  <si>
    <t>Auditor</t>
  </si>
  <si>
    <t>Brandon Parker</t>
  </si>
  <si>
    <t>Sales Coordinator</t>
  </si>
  <si>
    <t>Natalie Evans</t>
  </si>
  <si>
    <t>Digital Marketer</t>
  </si>
  <si>
    <t>Joshua Turner</t>
  </si>
  <si>
    <t>Recruitment Officer</t>
  </si>
  <si>
    <t>Stephanie Ross</t>
  </si>
  <si>
    <t>Database Administrator</t>
  </si>
  <si>
    <t>Benjamin Collins</t>
  </si>
  <si>
    <t>Budget Analyst</t>
  </si>
  <si>
    <t>Kimberly Lewis</t>
  </si>
  <si>
    <t>Sales Consultant</t>
  </si>
  <si>
    <t>Jonathan White</t>
  </si>
  <si>
    <t>Brand Manager</t>
  </si>
  <si>
    <t>Rebecca Harris</t>
  </si>
  <si>
    <t>Compensation Analyst</t>
  </si>
  <si>
    <t>Patrick Cooper</t>
  </si>
  <si>
    <t>Security Specialist</t>
  </si>
  <si>
    <t>Monica Rivera</t>
  </si>
  <si>
    <t>Credit Analyst</t>
  </si>
  <si>
    <t>First convert the data in table</t>
  </si>
  <si>
    <t>1. What is the total salary of all employees in the "Marketing" department?</t>
  </si>
  <si>
    <t>2. Calculate the total salary of employees who are younger than 30.</t>
  </si>
  <si>
    <t>3. How many employees work in the "Sales" department?</t>
  </si>
  <si>
    <t>4. Count the number of employees whose salary is greater than 70,000.</t>
  </si>
  <si>
    <t>5. What is the average salary of employees in the "IT" department?</t>
  </si>
  <si>
    <t>6. Find the average salary of employees whose age is greater than 30.</t>
  </si>
  <si>
    <t>7. What is the total salary of employees in the "HR" department who earn more than 65,000?</t>
  </si>
  <si>
    <t>8. Calculate the total salary of employees who are older than 35 and work in the "Finance" department.</t>
  </si>
  <si>
    <t>9. How many employees are in the "Sales" department and have a salary less than 60,000?</t>
  </si>
  <si>
    <t>10. Count the number of employees whose age is greater than 32, and whose salary exceeds 75,000.</t>
  </si>
  <si>
    <t>11. Find the average salary of employees in the "Marketing" department and  salary exceeds 60000.</t>
  </si>
  <si>
    <t>12. Calculate the average salary of employees in the "Finance" department who are younger than 35.</t>
  </si>
  <si>
    <t>13. Use VLOOKUP to find the "Position" of "Laura Baker."</t>
  </si>
  <si>
    <t>14. Use VLOOKUP to get the "Hire Date" of the employee with Employee ID 19.</t>
  </si>
  <si>
    <t xml:space="preserve">   15. Use VLOOKUP to find the "Department" of "Jessica Scott."</t>
  </si>
  <si>
    <t xml:space="preserve">   16. Find the "Salary" of the employee with Employee ID 10.</t>
  </si>
  <si>
    <t xml:space="preserve">   17.Use VLOOKUP to get the "Position" of the employee named "Eric Hill."</t>
  </si>
  <si>
    <t xml:space="preserve">   18. Find the "Age" of the employee with Employee ID 25.</t>
  </si>
  <si>
    <t xml:space="preserve">   19. Use VLOOKUP to retrieve the "Hire Date" of the employee named "Karen Davis."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</si>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</sst>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36"/>
      <color theme="3" tint="0.39997558519241921"/>
      <name val="Algerian"/>
      <family val="5"/>
    </font>
    <font>
      <sz val="48"/>
      <color theme="1"/>
      <name val="Calibri"/>
      <family val="2"/>
      <scheme val="minor"/>
    </font>
    <font>
      <sz val="48"/>
      <color theme="1"/>
      <name val="Algerian"/>
      <family val="5"/>
    </font>
    <font>
      <sz val="11"/>
      <color rgb="FF1F1F1F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 style="medium">
        <color indexed="64"/>
      </left>
      <right/>
      <top/>
      <bottom style="thick">
        <color theme="1"/>
      </bottom>
      <diagonal/>
    </border>
    <border>
      <left style="medium">
        <color theme="1"/>
      </left>
      <right/>
      <top/>
      <bottom style="thick">
        <color theme="1"/>
      </bottom>
      <diagonal/>
    </border>
    <border>
      <left/>
      <right style="medium">
        <color theme="1"/>
      </right>
      <top/>
      <bottom style="thick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3" fontId="0" fillId="0" borderId="15" xfId="0" applyNumberFormat="1" applyBorder="1"/>
    <xf numFmtId="3" fontId="0" fillId="0" borderId="16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0" borderId="18" xfId="0" applyFont="1" applyBorder="1"/>
    <xf numFmtId="3" fontId="0" fillId="0" borderId="18" xfId="0" applyNumberFormat="1" applyBorder="1"/>
    <xf numFmtId="3" fontId="0" fillId="0" borderId="18" xfId="0" applyNumberFormat="1" applyBorder="1" applyAlignment="1">
      <alignment horizontal="right"/>
    </xf>
    <xf numFmtId="3" fontId="0" fillId="0" borderId="19" xfId="0" applyNumberFormat="1" applyBorder="1"/>
    <xf numFmtId="0" fontId="6" fillId="0" borderId="0" xfId="0" applyFont="1"/>
    <xf numFmtId="0" fontId="5" fillId="0" borderId="0" xfId="0" applyFont="1"/>
    <xf numFmtId="0" fontId="7" fillId="0" borderId="0" xfId="0" applyFont="1"/>
    <xf numFmtId="3" fontId="0" fillId="0" borderId="0" xfId="0" applyNumberFormat="1"/>
    <xf numFmtId="164" fontId="0" fillId="0" borderId="0" xfId="0" applyNumberFormat="1"/>
    <xf numFmtId="0" fontId="5" fillId="0" borderId="17" xfId="0" applyFont="1" applyBorder="1"/>
    <xf numFmtId="0" fontId="0" fillId="0" borderId="20" xfId="0" applyBorder="1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8" fillId="0" borderId="32" xfId="0" applyFont="1" applyBorder="1"/>
    <xf numFmtId="0" fontId="0" fillId="0" borderId="36" xfId="0" applyBorder="1"/>
    <xf numFmtId="2" fontId="0" fillId="0" borderId="37" xfId="0" applyNumberFormat="1" applyBorder="1"/>
    <xf numFmtId="0" fontId="0" fillId="0" borderId="37" xfId="0" applyBorder="1"/>
    <xf numFmtId="0" fontId="0" fillId="0" borderId="38" xfId="0" applyBorder="1"/>
    <xf numFmtId="0" fontId="0" fillId="0" borderId="15" xfId="0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0" fillId="3" borderId="39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3" borderId="40" xfId="0" applyFill="1" applyBorder="1" applyAlignment="1">
      <alignment vertical="center" wrapText="1"/>
    </xf>
    <xf numFmtId="0" fontId="0" fillId="0" borderId="40" xfId="0" applyBorder="1" applyAlignment="1">
      <alignment vertical="center" wrapText="1"/>
    </xf>
    <xf numFmtId="14" fontId="0" fillId="3" borderId="40" xfId="0" applyNumberFormat="1" applyFill="1" applyBorder="1" applyAlignment="1">
      <alignment vertical="center" wrapText="1"/>
    </xf>
    <xf numFmtId="14" fontId="0" fillId="0" borderId="40" xfId="0" applyNumberFormat="1" applyBorder="1" applyAlignment="1">
      <alignment vertical="center" wrapText="1"/>
    </xf>
    <xf numFmtId="0" fontId="0" fillId="3" borderId="41" xfId="0" applyFill="1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0" xfId="0" applyFont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0" fillId="0" borderId="25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19" xfId="0" applyBorder="1"/>
    <xf numFmtId="0" fontId="0" fillId="0" borderId="28" xfId="0" applyBorder="1"/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8" fillId="0" borderId="22" xfId="0" applyFont="1" applyBorder="1" applyAlignment="1">
      <alignment horizontal="right"/>
    </xf>
    <xf numFmtId="0" fontId="8" fillId="0" borderId="21" xfId="0" applyFont="1" applyBorder="1" applyAlignment="1">
      <alignment horizontal="right"/>
    </xf>
    <xf numFmtId="0" fontId="8" fillId="0" borderId="25" xfId="0" applyFont="1" applyBorder="1" applyAlignment="1">
      <alignment horizontal="right"/>
    </xf>
    <xf numFmtId="0" fontId="8" fillId="0" borderId="23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0" fontId="8" fillId="0" borderId="26" xfId="0" applyFont="1" applyBorder="1" applyAlignment="1">
      <alignment horizontal="right"/>
    </xf>
    <xf numFmtId="0" fontId="0" fillId="6" borderId="13" xfId="0" applyFill="1" applyBorder="1"/>
    <xf numFmtId="0" fontId="7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25" xfId="0" applyFill="1" applyBorder="1"/>
    <xf numFmtId="0" fontId="0" fillId="5" borderId="42" xfId="0" applyFill="1" applyBorder="1"/>
    <xf numFmtId="0" fontId="0" fillId="5" borderId="43" xfId="0" applyFill="1" applyBorder="1"/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0" xfId="0" applyBorder="1"/>
    <xf numFmtId="0" fontId="0" fillId="0" borderId="22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47" xfId="0" applyBorder="1" applyAlignment="1">
      <alignment horizontal="left" vertical="center" indent="1"/>
    </xf>
    <xf numFmtId="0" fontId="0" fillId="0" borderId="48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4" xfId="0" applyBorder="1" applyAlignment="1">
      <alignment horizontal="left" vertical="center" indent="1"/>
    </xf>
    <xf numFmtId="0" fontId="0" fillId="0" borderId="45" xfId="0" applyBorder="1" applyAlignment="1">
      <alignment horizontal="left" vertical="center" indent="1"/>
    </xf>
    <xf numFmtId="0" fontId="0" fillId="0" borderId="46" xfId="0" applyBorder="1" applyAlignment="1">
      <alignment horizontal="left" vertical="center" indent="1"/>
    </xf>
  </cellXfs>
  <cellStyles count="1">
    <cellStyle name="Normal" xfId="0" builtinId="0"/>
  </cellStyles>
  <dxfs count="23"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19" formatCode="dd/mm/yyyy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2082239720035"/>
          <c:y val="0.17171296296296298"/>
          <c:w val="0.87753018372703417"/>
          <c:h val="0.67003098571011954"/>
        </c:manualLayout>
      </c:layout>
      <c:pieChart>
        <c:varyColors val="1"/>
        <c:ser>
          <c:idx val="0"/>
          <c:order val="0"/>
          <c:tx>
            <c:strRef>
              <c:f>Sheet2!$E$1</c:f>
              <c:strCache>
                <c:ptCount val="1"/>
                <c:pt idx="0">
                  <c:v>Gender Ratio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50C-449D-A208-43B358565E2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50C-449D-A208-43B358565E2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50C-449D-A208-43B358565E2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50C-449D-A208-43B358565E2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50C-449D-A208-43B358565E2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50C-449D-A208-43B358565E2C}"/>
              </c:ext>
            </c:extLst>
          </c:dPt>
          <c:cat>
            <c:strRef>
              <c:f>Sheet2!$A$2:$A$7</c:f>
              <c:strCache>
                <c:ptCount val="6"/>
                <c:pt idx="0">
                  <c:v>Andaman &amp; Nicobar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Chhattisgarh</c:v>
                </c:pt>
              </c:strCache>
            </c:strRef>
          </c:cat>
          <c:val>
            <c:numRef>
              <c:f>Sheet2!$E$2:$E$7</c:f>
              <c:numCache>
                <c:formatCode>General</c:formatCode>
                <c:ptCount val="6"/>
                <c:pt idx="0">
                  <c:v>876</c:v>
                </c:pt>
                <c:pt idx="1">
                  <c:v>989</c:v>
                </c:pt>
                <c:pt idx="2">
                  <c:v>938</c:v>
                </c:pt>
                <c:pt idx="3">
                  <c:v>958</c:v>
                </c:pt>
                <c:pt idx="4">
                  <c:v>919</c:v>
                </c:pt>
                <c:pt idx="5">
                  <c:v>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5-4C5B-875D-73316B7C5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154616</xdr:colOff>
      <xdr:row>0</xdr:row>
      <xdr:rowOff>534718</xdr:rowOff>
    </xdr:from>
    <xdr:to>
      <xdr:col>14</xdr:col>
      <xdr:colOff>460854</xdr:colOff>
      <xdr:row>7</xdr:row>
      <xdr:rowOff>516986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88BE68-7118-F347-8618-C9C5D39CD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63.692309722224" createdVersion="8" refreshedVersion="8" minRefreshableVersion="3" recordCount="50" xr:uid="{B7D477A6-1E1D-4A7A-AB07-48FA0B61C881}">
  <cacheSource type="worksheet">
    <worksheetSource ref="A1:G51" sheet="SALESDATA"/>
  </cacheSource>
  <cacheFields count="7">
    <cacheField name="Order ID" numFmtId="0">
      <sharedItems count="50">
        <s v="B-12001"/>
        <s v="B-12002"/>
        <s v="B-12003"/>
        <s v="B-12004"/>
        <s v="B-12005"/>
        <s v="B-12006"/>
        <s v="B-12007"/>
        <s v="B-12008"/>
        <s v="B-12009"/>
        <s v="B-12010"/>
        <s v="B-12011"/>
        <s v="B-12012"/>
        <s v="B-12013"/>
        <s v="B-12014"/>
        <s v="B-12015"/>
        <s v="B-12016"/>
        <s v="B-12017"/>
        <s v="B-12018"/>
        <s v="B-12019"/>
        <s v="B-12020"/>
        <s v="B-12021"/>
        <s v="B-12022"/>
        <s v="B-12023"/>
        <s v="B-12024"/>
        <s v="B-12025"/>
        <s v="B-12026"/>
        <s v="B-12027"/>
        <s v="B-12028"/>
        <s v="B-12029"/>
        <s v="B-12030"/>
        <s v="B-12031"/>
        <s v="B-12032"/>
        <s v="B-12033"/>
        <s v="B-12034"/>
        <s v="B-12035"/>
        <s v="B-12036"/>
        <s v="B-12037"/>
        <s v="B-12038"/>
        <s v="B-12039"/>
        <s v="B-12040"/>
        <s v="B-12041"/>
        <s v="B-12042"/>
        <s v="B-12043"/>
        <s v="B-12044"/>
        <s v="B-12045"/>
        <s v="B-12046"/>
        <s v="B-12047"/>
        <s v="B-12048"/>
        <s v="B-12049"/>
        <s v="B-12050"/>
      </sharedItems>
    </cacheField>
    <cacheField name="Amount (INR)" numFmtId="0">
      <sharedItems containsSemiMixedTypes="0" containsString="0" containsNumber="1" containsInteger="1" minValue="1200" maxValue="35000"/>
    </cacheField>
    <cacheField name="Profit (INR)" numFmtId="0">
      <sharedItems containsSemiMixedTypes="0" containsString="0" containsNumber="1" containsInteger="1" minValue="180" maxValue="5250" count="49">
        <n v="2500"/>
        <n v="1080"/>
        <n v="1575"/>
        <n v="570"/>
        <n v="900"/>
        <n v="1200"/>
        <n v="1275"/>
        <n v="1800"/>
        <n v="180"/>
        <n v="2700"/>
        <n v="1350"/>
        <n v="1125"/>
        <n v="2025"/>
        <n v="3300"/>
        <n v="675"/>
        <n v="405"/>
        <n v="2100"/>
        <n v="1470"/>
        <n v="2400"/>
        <n v="750"/>
        <n v="1725"/>
        <n v="450"/>
        <n v="3000"/>
        <n v="720"/>
        <n v="1875"/>
        <n v="5250"/>
        <n v="330"/>
        <n v="810"/>
        <n v="4200"/>
        <n v="975"/>
        <n v="2775"/>
        <n v="480"/>
        <n v="1050"/>
        <n v="1485"/>
        <n v="1980"/>
        <n v="630"/>
        <n v="1170"/>
        <n v="3600"/>
        <n v="525"/>
        <n v="2175"/>
        <n v="795"/>
        <n v="2850"/>
        <n v="540"/>
        <n v="1680"/>
        <n v="1020"/>
        <n v="3225"/>
        <n v="1260"/>
        <n v="4050"/>
        <n v="585"/>
      </sharedItems>
    </cacheField>
    <cacheField name="Quantity" numFmtId="0">
      <sharedItems containsSemiMixedTypes="0" containsString="0" containsNumber="1" containsInteger="1" minValue="1" maxValue="10"/>
    </cacheField>
    <cacheField name="Category" numFmtId="0">
      <sharedItems count="6">
        <s v="Electronics"/>
        <s v="Furniture"/>
        <s v="Appliances"/>
        <s v="Home Decor"/>
        <s v="Stationery"/>
        <s v="Fashion"/>
      </sharedItems>
    </cacheField>
    <cacheField name="Sub-category" numFmtId="0">
      <sharedItems/>
    </cacheField>
    <cacheField name="Mode of Payment" numFmtId="0">
      <sharedItems count="5">
        <s v="Credit Card"/>
        <s v="Debit Card"/>
        <s v="UPI"/>
        <s v="Cash on Delivery"/>
        <s v="Net Bank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15000"/>
    <x v="0"/>
    <n v="5"/>
    <x v="0"/>
    <s v="Mobile Phones"/>
    <x v="0"/>
  </r>
  <r>
    <x v="1"/>
    <n v="7200"/>
    <x v="1"/>
    <n v="3"/>
    <x v="1"/>
    <s v="Office Chairs"/>
    <x v="1"/>
  </r>
  <r>
    <x v="2"/>
    <n v="10500"/>
    <x v="2"/>
    <n v="2"/>
    <x v="2"/>
    <s v="Air Conditioners"/>
    <x v="2"/>
  </r>
  <r>
    <x v="3"/>
    <n v="3800"/>
    <x v="3"/>
    <n v="1"/>
    <x v="3"/>
    <s v="Wall Art"/>
    <x v="3"/>
  </r>
  <r>
    <x v="4"/>
    <n v="6000"/>
    <x v="4"/>
    <n v="4"/>
    <x v="4"/>
    <s v="Notebooks"/>
    <x v="0"/>
  </r>
  <r>
    <x v="5"/>
    <n v="25000"/>
    <x v="5"/>
    <n v="1"/>
    <x v="0"/>
    <s v="Laptops"/>
    <x v="4"/>
  </r>
  <r>
    <x v="6"/>
    <n v="8500"/>
    <x v="6"/>
    <n v="5"/>
    <x v="5"/>
    <s v="Footwear"/>
    <x v="1"/>
  </r>
  <r>
    <x v="7"/>
    <n v="12000"/>
    <x v="7"/>
    <n v="2"/>
    <x v="2"/>
    <s v="Refrigerators"/>
    <x v="2"/>
  </r>
  <r>
    <x v="8"/>
    <n v="1200"/>
    <x v="8"/>
    <n v="10"/>
    <x v="4"/>
    <s v="Pens"/>
    <x v="3"/>
  </r>
  <r>
    <x v="9"/>
    <n v="18000"/>
    <x v="9"/>
    <n v="3"/>
    <x v="0"/>
    <s v="Tablets"/>
    <x v="0"/>
  </r>
  <r>
    <x v="10"/>
    <n v="9000"/>
    <x v="10"/>
    <n v="4"/>
    <x v="1"/>
    <s v="Study Tables"/>
    <x v="4"/>
  </r>
  <r>
    <x v="11"/>
    <n v="7500"/>
    <x v="11"/>
    <n v="5"/>
    <x v="5"/>
    <s v="Handbags"/>
    <x v="2"/>
  </r>
  <r>
    <x v="12"/>
    <n v="13500"/>
    <x v="12"/>
    <n v="1"/>
    <x v="0"/>
    <s v="Smart Watches"/>
    <x v="1"/>
  </r>
  <r>
    <x v="13"/>
    <n v="22000"/>
    <x v="13"/>
    <n v="2"/>
    <x v="2"/>
    <s v="Washing Machines"/>
    <x v="0"/>
  </r>
  <r>
    <x v="14"/>
    <n v="4500"/>
    <x v="14"/>
    <n v="3"/>
    <x v="3"/>
    <s v="Lamps"/>
    <x v="3"/>
  </r>
  <r>
    <x v="15"/>
    <n v="2700"/>
    <x v="15"/>
    <n v="5"/>
    <x v="4"/>
    <s v="Folders"/>
    <x v="2"/>
  </r>
  <r>
    <x v="16"/>
    <n v="14000"/>
    <x v="16"/>
    <n v="1"/>
    <x v="0"/>
    <s v="Headphones"/>
    <x v="0"/>
  </r>
  <r>
    <x v="17"/>
    <n v="9800"/>
    <x v="17"/>
    <n v="2"/>
    <x v="1"/>
    <s v="Sofas"/>
    <x v="4"/>
  </r>
  <r>
    <x v="18"/>
    <n v="16000"/>
    <x v="18"/>
    <n v="2"/>
    <x v="2"/>
    <s v="Microwave Ovens"/>
    <x v="1"/>
  </r>
  <r>
    <x v="19"/>
    <n v="5000"/>
    <x v="19"/>
    <n v="6"/>
    <x v="5"/>
    <s v="Sunglasses"/>
    <x v="2"/>
  </r>
  <r>
    <x v="20"/>
    <n v="11500"/>
    <x v="20"/>
    <n v="3"/>
    <x v="0"/>
    <s v="Speakers"/>
    <x v="0"/>
  </r>
  <r>
    <x v="21"/>
    <n v="3000"/>
    <x v="21"/>
    <n v="4"/>
    <x v="4"/>
    <s v="Diaries"/>
    <x v="3"/>
  </r>
  <r>
    <x v="22"/>
    <n v="20000"/>
    <x v="22"/>
    <n v="1"/>
    <x v="0"/>
    <s v="Cameras"/>
    <x v="1"/>
  </r>
  <r>
    <x v="23"/>
    <n v="4800"/>
    <x v="23"/>
    <n v="2"/>
    <x v="3"/>
    <s v="Curtains"/>
    <x v="4"/>
  </r>
  <r>
    <x v="24"/>
    <n v="12500"/>
    <x v="24"/>
    <n v="1"/>
    <x v="2"/>
    <s v="Water Purifiers"/>
    <x v="2"/>
  </r>
  <r>
    <x v="25"/>
    <n v="35000"/>
    <x v="25"/>
    <n v="1"/>
    <x v="0"/>
    <s v="Smart TVs"/>
    <x v="0"/>
  </r>
  <r>
    <x v="26"/>
    <n v="2200"/>
    <x v="26"/>
    <n v="6"/>
    <x v="4"/>
    <s v="Markers"/>
    <x v="3"/>
  </r>
  <r>
    <x v="27"/>
    <n v="8000"/>
    <x v="5"/>
    <n v="3"/>
    <x v="1"/>
    <s v="Bookshelves"/>
    <x v="1"/>
  </r>
  <r>
    <x v="28"/>
    <n v="5400"/>
    <x v="27"/>
    <n v="4"/>
    <x v="5"/>
    <s v="T-shirts"/>
    <x v="4"/>
  </r>
  <r>
    <x v="29"/>
    <n v="28000"/>
    <x v="28"/>
    <n v="2"/>
    <x v="2"/>
    <s v="Dishwashers"/>
    <x v="0"/>
  </r>
  <r>
    <x v="30"/>
    <n v="6500"/>
    <x v="29"/>
    <n v="2"/>
    <x v="3"/>
    <s v="Clocks"/>
    <x v="2"/>
  </r>
  <r>
    <x v="31"/>
    <n v="18500"/>
    <x v="30"/>
    <n v="2"/>
    <x v="0"/>
    <s v="Laptops"/>
    <x v="1"/>
  </r>
  <r>
    <x v="32"/>
    <n v="3200"/>
    <x v="31"/>
    <n v="4"/>
    <x v="4"/>
    <s v="Calendars"/>
    <x v="3"/>
  </r>
  <r>
    <x v="33"/>
    <n v="7000"/>
    <x v="32"/>
    <n v="3"/>
    <x v="1"/>
    <s v="Cabinets"/>
    <x v="4"/>
  </r>
  <r>
    <x v="34"/>
    <n v="9900"/>
    <x v="33"/>
    <n v="3"/>
    <x v="5"/>
    <s v="Watches"/>
    <x v="2"/>
  </r>
  <r>
    <x v="35"/>
    <n v="13200"/>
    <x v="34"/>
    <n v="1"/>
    <x v="2"/>
    <s v="Vacuum Cleaners"/>
    <x v="0"/>
  </r>
  <r>
    <x v="36"/>
    <n v="4200"/>
    <x v="35"/>
    <n v="2"/>
    <x v="3"/>
    <s v="Photo Frames"/>
    <x v="1"/>
  </r>
  <r>
    <x v="37"/>
    <n v="7800"/>
    <x v="36"/>
    <n v="3"/>
    <x v="5"/>
    <s v="Jackets"/>
    <x v="4"/>
  </r>
  <r>
    <x v="38"/>
    <n v="24000"/>
    <x v="37"/>
    <n v="1"/>
    <x v="0"/>
    <s v="Gaming Consoles"/>
    <x v="2"/>
  </r>
  <r>
    <x v="39"/>
    <n v="3500"/>
    <x v="38"/>
    <n v="5"/>
    <x v="4"/>
    <s v="Sticky Notes"/>
    <x v="3"/>
  </r>
  <r>
    <x v="40"/>
    <n v="14500"/>
    <x v="39"/>
    <n v="1"/>
    <x v="2"/>
    <s v="Geysers"/>
    <x v="1"/>
  </r>
  <r>
    <x v="41"/>
    <n v="5300"/>
    <x v="40"/>
    <n v="2"/>
    <x v="3"/>
    <s v="Rugs"/>
    <x v="0"/>
  </r>
  <r>
    <x v="42"/>
    <n v="19000"/>
    <x v="41"/>
    <n v="1"/>
    <x v="0"/>
    <s v="Cameras"/>
    <x v="4"/>
  </r>
  <r>
    <x v="43"/>
    <n v="3600"/>
    <x v="42"/>
    <n v="6"/>
    <x v="4"/>
    <s v="Highlighters"/>
    <x v="2"/>
  </r>
  <r>
    <x v="44"/>
    <n v="11200"/>
    <x v="43"/>
    <n v="3"/>
    <x v="1"/>
    <s v="Dining Chairs"/>
    <x v="3"/>
  </r>
  <r>
    <x v="45"/>
    <n v="6800"/>
    <x v="44"/>
    <n v="2"/>
    <x v="5"/>
    <s v="Belts"/>
    <x v="1"/>
  </r>
  <r>
    <x v="46"/>
    <n v="21500"/>
    <x v="45"/>
    <n v="2"/>
    <x v="0"/>
    <s v="Soundbars"/>
    <x v="0"/>
  </r>
  <r>
    <x v="47"/>
    <n v="8400"/>
    <x v="46"/>
    <n v="4"/>
    <x v="3"/>
    <s v="Vases"/>
    <x v="2"/>
  </r>
  <r>
    <x v="48"/>
    <n v="27000"/>
    <x v="47"/>
    <n v="1"/>
    <x v="2"/>
    <s v="Water Heaters"/>
    <x v="1"/>
  </r>
  <r>
    <x v="49"/>
    <n v="3900"/>
    <x v="48"/>
    <n v="3"/>
    <x v="4"/>
    <s v="Tape Dispensers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FA7A6-5EA8-4397-A620-78CFFB0CF8C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7:R15" firstHeaderRow="1" firstDataRow="2" firstDataCol="1"/>
  <pivotFields count="7">
    <pivotField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  <pivotField showAll="0">
      <items count="50">
        <item x="8"/>
        <item x="26"/>
        <item x="15"/>
        <item x="21"/>
        <item x="31"/>
        <item x="38"/>
        <item x="42"/>
        <item x="3"/>
        <item x="48"/>
        <item x="35"/>
        <item x="14"/>
        <item x="23"/>
        <item x="19"/>
        <item x="40"/>
        <item x="27"/>
        <item x="4"/>
        <item x="29"/>
        <item x="44"/>
        <item x="32"/>
        <item x="1"/>
        <item x="11"/>
        <item x="36"/>
        <item x="5"/>
        <item x="46"/>
        <item x="6"/>
        <item x="10"/>
        <item x="17"/>
        <item x="33"/>
        <item x="2"/>
        <item x="43"/>
        <item x="20"/>
        <item x="7"/>
        <item x="24"/>
        <item x="34"/>
        <item x="12"/>
        <item x="16"/>
        <item x="39"/>
        <item x="18"/>
        <item x="0"/>
        <item x="9"/>
        <item x="30"/>
        <item x="41"/>
        <item x="22"/>
        <item x="45"/>
        <item x="13"/>
        <item x="37"/>
        <item x="47"/>
        <item x="28"/>
        <item x="25"/>
        <item t="default"/>
      </items>
    </pivotField>
    <pivotField showAll="0"/>
    <pivotField axis="axisRow" showAll="0">
      <items count="7">
        <item x="2"/>
        <item x="0"/>
        <item x="5"/>
        <item x="1"/>
        <item x="3"/>
        <item x="4"/>
        <item t="default"/>
      </items>
    </pivotField>
    <pivotField showAll="0"/>
    <pivotField axis="axisCol" showAll="0">
      <items count="6">
        <item x="3"/>
        <item x="0"/>
        <item x="1"/>
        <item x="4"/>
        <item x="2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Amount (INR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E3172-2577-4954-88DB-17423D78A260}" name="Table1" displayName="Table1" ref="A1:I20" totalsRowShown="0" headerRowDxfId="22" dataDxfId="21">
  <autoFilter ref="A1:I20" xr:uid="{588E3172-2577-4954-88DB-17423D78A260}"/>
  <tableColumns count="9">
    <tableColumn id="1" xr3:uid="{14BFD6D3-28DF-484F-8088-A81ADF89460A}" name="ID" dataDxfId="20"/>
    <tableColumn id="2" xr3:uid="{1437B867-120D-4AD0-8966-995885EACE87}" name="Name" dataDxfId="19"/>
    <tableColumn id="3" xr3:uid="{948E1848-5CBC-4485-8DAF-FE1D95CC771F}" name="Department" dataDxfId="18"/>
    <tableColumn id="4" xr3:uid="{9CBDFCCA-99EB-4AAD-9E3B-38D37D5B7626}" name="Salary" dataDxfId="17"/>
    <tableColumn id="5" xr3:uid="{6E6FE494-7FC3-4337-A431-CF43AFA1FCC8}" name="Age" dataDxfId="16"/>
    <tableColumn id="6" xr3:uid="{4DBA995B-01A0-45D4-B615-593DBF316BD5}" name="Location" dataDxfId="15"/>
    <tableColumn id="7" xr3:uid="{0A49CD4D-F55D-4995-8C38-0A4FFE08D823}" name="Bonus" dataDxfId="14"/>
    <tableColumn id="8" xr3:uid="{F7AFC792-9388-4902-B144-63B5DCEEDC84}" name="Joining Date" dataDxfId="13"/>
    <tableColumn id="9" xr3:uid="{35B1A94D-C160-4C92-89DF-DDDB6853D8AB}" name="Gender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244628-8B56-427E-9C58-39B9D5194DBC}" name="Table2" displayName="Table2" ref="A1:G31" totalsRowShown="0" headerRowDxfId="11" dataDxfId="10">
  <autoFilter ref="A1:G31" xr:uid="{67244628-8B56-427E-9C58-39B9D5194DBC}"/>
  <tableColumns count="7">
    <tableColumn id="1" xr3:uid="{367AA9ED-1961-408A-9212-25F30278D721}" name="Employee ID" dataDxfId="9"/>
    <tableColumn id="2" xr3:uid="{804F0784-7B07-4BCA-9DB8-0E5180FA8771}" name="Name" dataDxfId="8"/>
    <tableColumn id="3" xr3:uid="{67FB9101-2A68-416B-A2F1-8B89E8173838}" name="Age" dataDxfId="7"/>
    <tableColumn id="4" xr3:uid="{3E3A80F2-3B3E-48F4-8EFF-5165D8145B21}" name="Department" dataDxfId="6"/>
    <tableColumn id="5" xr3:uid="{34F68A92-22DD-45A9-8BDE-B7D993B1937C}" name="Position" dataDxfId="5"/>
    <tableColumn id="6" xr3:uid="{DD4E1BBA-FC66-415D-A396-58CFDE4A9015}" name="Salary" dataDxfId="4"/>
    <tableColumn id="7" xr3:uid="{822B0771-9DDF-4433-B6B8-230A0343A29A}" name="Hire Dat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77E3-4D4F-454B-AD40-485A0742899B}">
  <dimension ref="A1:O19"/>
  <sheetViews>
    <sheetView zoomScale="102" workbookViewId="0">
      <selection activeCell="Q9" sqref="Q9"/>
    </sheetView>
  </sheetViews>
  <sheetFormatPr defaultRowHeight="14.5" x14ac:dyDescent="0.35"/>
  <cols>
    <col min="9" max="9" width="12.453125" bestFit="1" customWidth="1"/>
    <col min="11" max="11" width="9.6328125" bestFit="1" customWidth="1"/>
    <col min="12" max="12" width="10" bestFit="1" customWidth="1"/>
    <col min="14" max="14" width="11.7265625" bestFit="1" customWidth="1"/>
  </cols>
  <sheetData>
    <row r="1" spans="1:15" x14ac:dyDescent="0.35">
      <c r="A1" s="57" t="s">
        <v>0</v>
      </c>
      <c r="B1" s="58"/>
      <c r="C1" s="58"/>
      <c r="D1" s="58"/>
      <c r="E1" s="58"/>
      <c r="F1" s="58"/>
      <c r="G1" s="58"/>
      <c r="H1" s="58"/>
      <c r="I1" s="59"/>
    </row>
    <row r="2" spans="1:15" x14ac:dyDescent="0.35">
      <c r="A2" s="60"/>
      <c r="B2" s="61"/>
      <c r="C2" s="61"/>
      <c r="D2" s="61"/>
      <c r="E2" s="61"/>
      <c r="F2" s="61"/>
      <c r="G2" s="61"/>
      <c r="H2" s="61"/>
      <c r="I2" s="62"/>
    </row>
    <row r="3" spans="1:15" x14ac:dyDescent="0.35">
      <c r="A3" s="60"/>
      <c r="B3" s="61"/>
      <c r="C3" s="61"/>
      <c r="D3" s="61"/>
      <c r="E3" s="61"/>
      <c r="F3" s="61"/>
      <c r="G3" s="61"/>
      <c r="H3" s="61"/>
      <c r="I3" s="62"/>
    </row>
    <row r="4" spans="1:15" ht="16" customHeight="1" thickBot="1" x14ac:dyDescent="0.4">
      <c r="A4" s="63"/>
      <c r="B4" s="64"/>
      <c r="C4" s="64"/>
      <c r="D4" s="64"/>
      <c r="E4" s="64"/>
      <c r="F4" s="64"/>
      <c r="G4" s="64"/>
      <c r="H4" s="64"/>
      <c r="I4" s="65"/>
      <c r="J4" s="6"/>
      <c r="K4" s="3"/>
      <c r="L4" s="3"/>
      <c r="M4" s="3"/>
      <c r="N4" s="3"/>
      <c r="O4" s="3"/>
    </row>
    <row r="5" spans="1:15" ht="15" thickTop="1" x14ac:dyDescent="0.35">
      <c r="A5" s="1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s="2" t="s">
        <v>28</v>
      </c>
    </row>
    <row r="6" spans="1:15" x14ac:dyDescent="0.35">
      <c r="A6" s="1">
        <v>1</v>
      </c>
      <c r="B6" t="s">
        <v>10</v>
      </c>
      <c r="C6" t="s">
        <v>22</v>
      </c>
      <c r="D6">
        <v>1</v>
      </c>
      <c r="E6">
        <v>70</v>
      </c>
      <c r="F6">
        <v>40</v>
      </c>
      <c r="G6">
        <v>77</v>
      </c>
      <c r="H6">
        <v>60</v>
      </c>
      <c r="I6">
        <v>83</v>
      </c>
      <c r="J6">
        <f>SUM(E6:I6)</f>
        <v>330</v>
      </c>
      <c r="K6">
        <f>MIN(E6:I6)</f>
        <v>40</v>
      </c>
      <c r="L6">
        <f>MAX(E6:I6)</f>
        <v>83</v>
      </c>
      <c r="M6">
        <f>COUNT(E6:L6)</f>
        <v>8</v>
      </c>
      <c r="N6">
        <f>J6/500*100</f>
        <v>66</v>
      </c>
      <c r="O6" s="2" t="str">
        <f>IF(N6&gt;80,"A+",IF(N6&gt;=60,"B",IF(N6&lt;=45,"FAIL")))</f>
        <v>B</v>
      </c>
    </row>
    <row r="7" spans="1:15" x14ac:dyDescent="0.35">
      <c r="A7" s="1">
        <v>2</v>
      </c>
      <c r="B7" t="s">
        <v>11</v>
      </c>
      <c r="C7" t="s">
        <v>22</v>
      </c>
      <c r="D7">
        <v>3</v>
      </c>
      <c r="E7">
        <v>42</v>
      </c>
      <c r="F7">
        <v>70</v>
      </c>
      <c r="G7">
        <v>44</v>
      </c>
      <c r="H7">
        <v>45</v>
      </c>
      <c r="I7">
        <v>82</v>
      </c>
      <c r="J7">
        <f t="shared" ref="J7:J17" si="0">SUM(E7:I7)</f>
        <v>283</v>
      </c>
      <c r="K7">
        <f t="shared" ref="K7:K17" si="1">MIN(E7:I7)</f>
        <v>42</v>
      </c>
      <c r="L7">
        <f t="shared" ref="L7:L17" si="2">MAX(E7:I7)</f>
        <v>82</v>
      </c>
      <c r="M7">
        <f t="shared" ref="M7:M17" si="3">COUNT(E7:L7)</f>
        <v>8</v>
      </c>
      <c r="N7">
        <f t="shared" ref="N7:N17" si="4">J7/500*100</f>
        <v>56.599999999999994</v>
      </c>
      <c r="O7" s="2" t="b">
        <f t="shared" ref="O7:O17" si="5">IF(N7&gt;80,"A+",IF(N7&gt;=60,"B",IF(N7&lt;=45,"FAIL")))</f>
        <v>0</v>
      </c>
    </row>
    <row r="8" spans="1:15" x14ac:dyDescent="0.35">
      <c r="A8" s="1">
        <v>3</v>
      </c>
      <c r="B8" t="s">
        <v>12</v>
      </c>
      <c r="C8" t="s">
        <v>22</v>
      </c>
      <c r="D8">
        <v>4</v>
      </c>
      <c r="E8">
        <v>65</v>
      </c>
      <c r="F8">
        <v>90</v>
      </c>
      <c r="G8">
        <v>60</v>
      </c>
      <c r="H8">
        <v>60</v>
      </c>
      <c r="I8">
        <v>93</v>
      </c>
      <c r="J8">
        <f t="shared" si="0"/>
        <v>368</v>
      </c>
      <c r="K8">
        <f t="shared" si="1"/>
        <v>60</v>
      </c>
      <c r="L8">
        <f t="shared" si="2"/>
        <v>93</v>
      </c>
      <c r="M8">
        <f t="shared" si="3"/>
        <v>8</v>
      </c>
      <c r="N8">
        <f t="shared" si="4"/>
        <v>73.599999999999994</v>
      </c>
      <c r="O8" s="2" t="str">
        <f t="shared" si="5"/>
        <v>B</v>
      </c>
    </row>
    <row r="9" spans="1:15" x14ac:dyDescent="0.35">
      <c r="A9" s="1">
        <v>4</v>
      </c>
      <c r="B9" t="s">
        <v>13</v>
      </c>
      <c r="C9" t="s">
        <v>22</v>
      </c>
      <c r="D9">
        <v>5</v>
      </c>
      <c r="E9">
        <v>86</v>
      </c>
      <c r="F9">
        <v>42</v>
      </c>
      <c r="G9">
        <v>77</v>
      </c>
      <c r="H9">
        <v>95</v>
      </c>
      <c r="I9">
        <v>69</v>
      </c>
      <c r="J9">
        <f t="shared" si="0"/>
        <v>369</v>
      </c>
      <c r="K9">
        <f t="shared" si="1"/>
        <v>42</v>
      </c>
      <c r="L9">
        <f t="shared" si="2"/>
        <v>95</v>
      </c>
      <c r="M9">
        <f t="shared" si="3"/>
        <v>8</v>
      </c>
      <c r="N9">
        <f t="shared" si="4"/>
        <v>73.8</v>
      </c>
      <c r="O9" s="2" t="str">
        <f t="shared" si="5"/>
        <v>B</v>
      </c>
    </row>
    <row r="10" spans="1:15" x14ac:dyDescent="0.35">
      <c r="A10" s="1">
        <v>5</v>
      </c>
      <c r="B10" t="s">
        <v>14</v>
      </c>
      <c r="C10" t="s">
        <v>22</v>
      </c>
      <c r="D10">
        <v>6</v>
      </c>
      <c r="E10">
        <v>36</v>
      </c>
      <c r="F10">
        <v>52</v>
      </c>
      <c r="G10">
        <v>77</v>
      </c>
      <c r="H10">
        <v>91</v>
      </c>
      <c r="I10">
        <v>81</v>
      </c>
      <c r="J10">
        <f t="shared" si="0"/>
        <v>337</v>
      </c>
      <c r="K10">
        <f t="shared" si="1"/>
        <v>36</v>
      </c>
      <c r="L10">
        <f t="shared" si="2"/>
        <v>91</v>
      </c>
      <c r="M10">
        <f t="shared" si="3"/>
        <v>8</v>
      </c>
      <c r="N10">
        <f t="shared" si="4"/>
        <v>67.400000000000006</v>
      </c>
      <c r="O10" s="2" t="str">
        <f t="shared" si="5"/>
        <v>B</v>
      </c>
    </row>
    <row r="11" spans="1:15" x14ac:dyDescent="0.35">
      <c r="A11" s="1">
        <v>6</v>
      </c>
      <c r="B11" t="s">
        <v>15</v>
      </c>
      <c r="C11" t="s">
        <v>22</v>
      </c>
      <c r="D11">
        <v>7</v>
      </c>
      <c r="E11">
        <v>95</v>
      </c>
      <c r="F11">
        <v>43</v>
      </c>
      <c r="G11">
        <v>83</v>
      </c>
      <c r="H11">
        <v>67</v>
      </c>
      <c r="I11">
        <v>90</v>
      </c>
      <c r="J11">
        <f t="shared" si="0"/>
        <v>378</v>
      </c>
      <c r="K11">
        <f t="shared" si="1"/>
        <v>43</v>
      </c>
      <c r="L11">
        <f t="shared" si="2"/>
        <v>95</v>
      </c>
      <c r="M11">
        <f t="shared" si="3"/>
        <v>8</v>
      </c>
      <c r="N11">
        <f t="shared" si="4"/>
        <v>75.599999999999994</v>
      </c>
      <c r="O11" s="2" t="str">
        <f t="shared" si="5"/>
        <v>B</v>
      </c>
    </row>
    <row r="12" spans="1:15" x14ac:dyDescent="0.35">
      <c r="A12" s="1">
        <v>7</v>
      </c>
      <c r="B12" t="s">
        <v>16</v>
      </c>
      <c r="C12" t="s">
        <v>22</v>
      </c>
      <c r="D12">
        <v>8</v>
      </c>
      <c r="E12">
        <v>64</v>
      </c>
      <c r="F12">
        <v>68</v>
      </c>
      <c r="G12">
        <v>35</v>
      </c>
      <c r="H12">
        <v>69</v>
      </c>
      <c r="I12">
        <v>80</v>
      </c>
      <c r="J12">
        <f t="shared" si="0"/>
        <v>316</v>
      </c>
      <c r="K12">
        <f t="shared" si="1"/>
        <v>35</v>
      </c>
      <c r="L12">
        <f t="shared" si="2"/>
        <v>80</v>
      </c>
      <c r="M12">
        <f t="shared" si="3"/>
        <v>8</v>
      </c>
      <c r="N12">
        <f t="shared" si="4"/>
        <v>63.2</v>
      </c>
      <c r="O12" s="2" t="str">
        <f t="shared" si="5"/>
        <v>B</v>
      </c>
    </row>
    <row r="13" spans="1:15" x14ac:dyDescent="0.35">
      <c r="A13" s="1">
        <v>8</v>
      </c>
      <c r="B13" t="s">
        <v>17</v>
      </c>
      <c r="C13" t="s">
        <v>22</v>
      </c>
      <c r="D13">
        <v>9</v>
      </c>
      <c r="E13">
        <v>86</v>
      </c>
      <c r="F13">
        <v>40</v>
      </c>
      <c r="G13">
        <v>39</v>
      </c>
      <c r="H13">
        <v>86</v>
      </c>
      <c r="I13">
        <v>49</v>
      </c>
      <c r="J13">
        <f t="shared" si="0"/>
        <v>300</v>
      </c>
      <c r="K13">
        <f t="shared" si="1"/>
        <v>39</v>
      </c>
      <c r="L13">
        <f t="shared" si="2"/>
        <v>86</v>
      </c>
      <c r="M13">
        <f t="shared" si="3"/>
        <v>8</v>
      </c>
      <c r="N13">
        <f t="shared" si="4"/>
        <v>60</v>
      </c>
      <c r="O13" s="2" t="str">
        <f t="shared" si="5"/>
        <v>B</v>
      </c>
    </row>
    <row r="14" spans="1:15" x14ac:dyDescent="0.35">
      <c r="A14" s="1">
        <v>9</v>
      </c>
      <c r="B14" t="s">
        <v>18</v>
      </c>
      <c r="C14" t="s">
        <v>22</v>
      </c>
      <c r="D14">
        <v>10</v>
      </c>
      <c r="E14">
        <v>93</v>
      </c>
      <c r="F14">
        <v>62</v>
      </c>
      <c r="G14">
        <v>49</v>
      </c>
      <c r="H14">
        <v>90</v>
      </c>
      <c r="I14">
        <v>55</v>
      </c>
      <c r="J14">
        <f t="shared" si="0"/>
        <v>349</v>
      </c>
      <c r="K14">
        <f t="shared" si="1"/>
        <v>49</v>
      </c>
      <c r="L14">
        <f t="shared" si="2"/>
        <v>93</v>
      </c>
      <c r="M14">
        <f t="shared" si="3"/>
        <v>8</v>
      </c>
      <c r="N14">
        <f t="shared" si="4"/>
        <v>69.8</v>
      </c>
      <c r="O14" s="2" t="str">
        <f t="shared" si="5"/>
        <v>B</v>
      </c>
    </row>
    <row r="15" spans="1:15" x14ac:dyDescent="0.35">
      <c r="A15" s="1">
        <v>10</v>
      </c>
      <c r="B15" t="s">
        <v>19</v>
      </c>
      <c r="C15" t="s">
        <v>22</v>
      </c>
      <c r="D15">
        <v>11</v>
      </c>
      <c r="E15">
        <v>60</v>
      </c>
      <c r="F15">
        <v>60</v>
      </c>
      <c r="G15">
        <v>91</v>
      </c>
      <c r="H15">
        <v>61</v>
      </c>
      <c r="I15">
        <v>80</v>
      </c>
      <c r="J15">
        <f t="shared" si="0"/>
        <v>352</v>
      </c>
      <c r="K15">
        <f t="shared" si="1"/>
        <v>60</v>
      </c>
      <c r="L15">
        <f t="shared" si="2"/>
        <v>91</v>
      </c>
      <c r="M15">
        <f t="shared" si="3"/>
        <v>8</v>
      </c>
      <c r="N15">
        <f t="shared" si="4"/>
        <v>70.399999999999991</v>
      </c>
      <c r="O15" s="2" t="str">
        <f t="shared" si="5"/>
        <v>B</v>
      </c>
    </row>
    <row r="16" spans="1:15" x14ac:dyDescent="0.35">
      <c r="A16" s="1">
        <v>11</v>
      </c>
      <c r="B16" t="s">
        <v>20</v>
      </c>
      <c r="C16" t="s">
        <v>22</v>
      </c>
      <c r="D16">
        <v>12</v>
      </c>
      <c r="E16">
        <v>59</v>
      </c>
      <c r="F16">
        <v>87</v>
      </c>
      <c r="G16">
        <v>82</v>
      </c>
      <c r="H16">
        <v>94</v>
      </c>
      <c r="I16">
        <v>66</v>
      </c>
      <c r="J16">
        <f t="shared" si="0"/>
        <v>388</v>
      </c>
      <c r="K16">
        <f t="shared" si="1"/>
        <v>59</v>
      </c>
      <c r="L16">
        <f t="shared" si="2"/>
        <v>94</v>
      </c>
      <c r="M16">
        <f t="shared" si="3"/>
        <v>8</v>
      </c>
      <c r="N16">
        <f t="shared" si="4"/>
        <v>77.600000000000009</v>
      </c>
      <c r="O16" s="2" t="str">
        <f t="shared" si="5"/>
        <v>B</v>
      </c>
    </row>
    <row r="17" spans="1:15" x14ac:dyDescent="0.35">
      <c r="A17" s="1">
        <v>12</v>
      </c>
      <c r="B17" t="s">
        <v>21</v>
      </c>
      <c r="C17" t="s">
        <v>22</v>
      </c>
      <c r="D17">
        <v>13</v>
      </c>
      <c r="E17">
        <v>59</v>
      </c>
      <c r="F17">
        <v>51</v>
      </c>
      <c r="G17">
        <v>85</v>
      </c>
      <c r="H17">
        <v>97</v>
      </c>
      <c r="I17">
        <v>88</v>
      </c>
      <c r="J17">
        <f t="shared" si="0"/>
        <v>380</v>
      </c>
      <c r="K17">
        <f t="shared" si="1"/>
        <v>51</v>
      </c>
      <c r="L17">
        <f t="shared" si="2"/>
        <v>97</v>
      </c>
      <c r="M17">
        <f t="shared" si="3"/>
        <v>8</v>
      </c>
      <c r="N17">
        <f t="shared" si="4"/>
        <v>76</v>
      </c>
      <c r="O17" s="2" t="str">
        <f t="shared" si="5"/>
        <v>B</v>
      </c>
    </row>
    <row r="18" spans="1:15" ht="15" thickBot="1" x14ac:dyDescent="0.4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</row>
    <row r="19" spans="1:15" ht="15" thickTop="1" x14ac:dyDescent="0.35"/>
  </sheetData>
  <mergeCells count="1">
    <mergeCell ref="A1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E572-A014-4B3C-9B09-A1B9F7CAD8EF}">
  <dimension ref="A1:P19"/>
  <sheetViews>
    <sheetView workbookViewId="0">
      <selection activeCell="S19" sqref="S19"/>
    </sheetView>
  </sheetViews>
  <sheetFormatPr defaultRowHeight="14.5" x14ac:dyDescent="0.35"/>
  <cols>
    <col min="10" max="10" width="9" customWidth="1"/>
    <col min="13" max="13" width="11.08984375" bestFit="1" customWidth="1"/>
  </cols>
  <sheetData>
    <row r="1" spans="1:16" x14ac:dyDescent="0.35">
      <c r="A1" s="66" t="s">
        <v>29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</row>
    <row r="2" spans="1:16" x14ac:dyDescent="0.3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</row>
    <row r="3" spans="1:16" x14ac:dyDescent="0.35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</row>
    <row r="4" spans="1:16" x14ac:dyDescent="0.35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</row>
    <row r="6" spans="1:1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</row>
    <row r="7" spans="1:16" x14ac:dyDescent="0.35">
      <c r="A7">
        <v>1</v>
      </c>
      <c r="B7">
        <v>21</v>
      </c>
      <c r="C7">
        <v>89</v>
      </c>
      <c r="D7">
        <v>37</v>
      </c>
      <c r="E7">
        <v>41</v>
      </c>
      <c r="F7">
        <f>SUM(B7:E7)</f>
        <v>188</v>
      </c>
      <c r="G7">
        <f>PRODUCT(B7,E7)</f>
        <v>861</v>
      </c>
      <c r="H7">
        <f>AVERAGE(B7:E7)</f>
        <v>47</v>
      </c>
      <c r="I7">
        <f>C7/E7</f>
        <v>2.1707317073170733</v>
      </c>
      <c r="J7">
        <f>MOD(C7,6)</f>
        <v>5</v>
      </c>
      <c r="K7">
        <f>ROUND(45,5)</f>
        <v>45</v>
      </c>
      <c r="L7">
        <f>SQRT(625)</f>
        <v>25</v>
      </c>
      <c r="M7">
        <f>B7-D7-E7</f>
        <v>-57</v>
      </c>
      <c r="N7">
        <f>POWER(A7,5)</f>
        <v>1</v>
      </c>
      <c r="O7">
        <f>SIGN(45)</f>
        <v>1</v>
      </c>
      <c r="P7">
        <f ca="1">RAND()</f>
        <v>0.24366039808979922</v>
      </c>
    </row>
    <row r="8" spans="1:16" x14ac:dyDescent="0.35">
      <c r="A8">
        <v>2</v>
      </c>
      <c r="B8">
        <v>7</v>
      </c>
      <c r="C8">
        <v>12</v>
      </c>
      <c r="D8">
        <v>38</v>
      </c>
      <c r="E8">
        <v>18</v>
      </c>
      <c r="F8">
        <f t="shared" ref="F8:F19" si="0">SUM(B8:E8)</f>
        <v>75</v>
      </c>
      <c r="G8">
        <f t="shared" ref="G8:G19" si="1">PRODUCT(B8,E8)</f>
        <v>126</v>
      </c>
      <c r="H8">
        <f t="shared" ref="H8:H19" si="2">AVERAGE(B8:E8)</f>
        <v>18.75</v>
      </c>
      <c r="I8">
        <f t="shared" ref="I8:I19" si="3">C8/E8</f>
        <v>0.66666666666666663</v>
      </c>
      <c r="J8">
        <f t="shared" ref="J8:J19" si="4">MOD(C8,6)</f>
        <v>0</v>
      </c>
      <c r="K8">
        <f>ROUND(67.5678,6)</f>
        <v>67.567800000000005</v>
      </c>
      <c r="L8">
        <f>SQRT(24345)</f>
        <v>156.02884348735012</v>
      </c>
      <c r="M8">
        <f t="shared" ref="M8:M19" si="5">B8-D8-E8</f>
        <v>-49</v>
      </c>
      <c r="N8">
        <f t="shared" ref="N8:N19" si="6">POWER(A8,5)</f>
        <v>32</v>
      </c>
      <c r="O8">
        <f>SIGN(C9)</f>
        <v>1</v>
      </c>
      <c r="P8">
        <f t="shared" ref="P8:P19" ca="1" si="7">RAND()</f>
        <v>0.7492999311252494</v>
      </c>
    </row>
    <row r="9" spans="1:16" x14ac:dyDescent="0.35">
      <c r="A9">
        <v>3</v>
      </c>
      <c r="B9">
        <v>19</v>
      </c>
      <c r="C9">
        <v>62</v>
      </c>
      <c r="D9">
        <v>18</v>
      </c>
      <c r="E9">
        <v>99</v>
      </c>
      <c r="F9">
        <f t="shared" si="0"/>
        <v>198</v>
      </c>
      <c r="G9">
        <f t="shared" si="1"/>
        <v>1881</v>
      </c>
      <c r="H9">
        <f t="shared" si="2"/>
        <v>49.5</v>
      </c>
      <c r="I9">
        <f t="shared" si="3"/>
        <v>0.6262626262626263</v>
      </c>
      <c r="J9">
        <f t="shared" si="4"/>
        <v>2</v>
      </c>
      <c r="K9">
        <f>ROUND(,4)</f>
        <v>0</v>
      </c>
      <c r="L9">
        <f>SQRT(3543)</f>
        <v>59.523104757732519</v>
      </c>
      <c r="M9">
        <f t="shared" si="5"/>
        <v>-98</v>
      </c>
      <c r="N9">
        <f t="shared" si="6"/>
        <v>243</v>
      </c>
      <c r="O9">
        <f>SIGN(M10)</f>
        <v>-1</v>
      </c>
      <c r="P9">
        <f t="shared" ca="1" si="7"/>
        <v>0.4669484713057761</v>
      </c>
    </row>
    <row r="10" spans="1:16" x14ac:dyDescent="0.35">
      <c r="A10">
        <v>4</v>
      </c>
      <c r="B10">
        <v>37</v>
      </c>
      <c r="C10">
        <v>76</v>
      </c>
      <c r="D10">
        <v>86</v>
      </c>
      <c r="E10">
        <v>48</v>
      </c>
      <c r="F10">
        <f t="shared" si="0"/>
        <v>247</v>
      </c>
      <c r="G10">
        <f t="shared" si="1"/>
        <v>1776</v>
      </c>
      <c r="H10">
        <f t="shared" si="2"/>
        <v>61.75</v>
      </c>
      <c r="I10">
        <f t="shared" si="3"/>
        <v>1.5833333333333333</v>
      </c>
      <c r="J10">
        <f t="shared" si="4"/>
        <v>4</v>
      </c>
      <c r="K10">
        <f>ROUND(H10,2)</f>
        <v>61.75</v>
      </c>
      <c r="L10">
        <f>SQRT(F10)</f>
        <v>15.716233645501712</v>
      </c>
      <c r="M10">
        <f t="shared" si="5"/>
        <v>-97</v>
      </c>
      <c r="N10">
        <f t="shared" si="6"/>
        <v>1024</v>
      </c>
      <c r="O10">
        <f t="shared" ref="O10:O19" si="8">SIGN(M11)</f>
        <v>-1</v>
      </c>
      <c r="P10">
        <f t="shared" ca="1" si="7"/>
        <v>0.49376499270459107</v>
      </c>
    </row>
    <row r="11" spans="1:16" x14ac:dyDescent="0.35">
      <c r="A11">
        <v>5</v>
      </c>
      <c r="B11">
        <v>7</v>
      </c>
      <c r="C11">
        <v>100</v>
      </c>
      <c r="D11">
        <v>74</v>
      </c>
      <c r="E11">
        <v>94</v>
      </c>
      <c r="F11">
        <f t="shared" si="0"/>
        <v>275</v>
      </c>
      <c r="G11">
        <f t="shared" si="1"/>
        <v>658</v>
      </c>
      <c r="H11">
        <f t="shared" si="2"/>
        <v>68.75</v>
      </c>
      <c r="I11">
        <f t="shared" si="3"/>
        <v>1.0638297872340425</v>
      </c>
      <c r="J11">
        <f t="shared" si="4"/>
        <v>4</v>
      </c>
      <c r="K11">
        <f t="shared" ref="K11:K19" si="9">ROUND(H11,2)</f>
        <v>68.75</v>
      </c>
      <c r="L11">
        <f t="shared" ref="L11:L19" si="10">SQRT(F11)</f>
        <v>16.583123951777001</v>
      </c>
      <c r="M11">
        <f t="shared" si="5"/>
        <v>-161</v>
      </c>
      <c r="N11">
        <f t="shared" si="6"/>
        <v>3125</v>
      </c>
      <c r="O11">
        <f t="shared" si="8"/>
        <v>-1</v>
      </c>
      <c r="P11">
        <f t="shared" ca="1" si="7"/>
        <v>0.71053000907259789</v>
      </c>
    </row>
    <row r="12" spans="1:16" x14ac:dyDescent="0.35">
      <c r="A12">
        <v>6</v>
      </c>
      <c r="B12">
        <v>76</v>
      </c>
      <c r="C12">
        <v>55</v>
      </c>
      <c r="D12">
        <v>96</v>
      </c>
      <c r="E12">
        <v>37</v>
      </c>
      <c r="F12">
        <f t="shared" si="0"/>
        <v>264</v>
      </c>
      <c r="G12">
        <f t="shared" si="1"/>
        <v>2812</v>
      </c>
      <c r="H12">
        <f t="shared" si="2"/>
        <v>66</v>
      </c>
      <c r="I12">
        <f t="shared" si="3"/>
        <v>1.4864864864864864</v>
      </c>
      <c r="J12">
        <f t="shared" si="4"/>
        <v>1</v>
      </c>
      <c r="K12">
        <f t="shared" si="9"/>
        <v>66</v>
      </c>
      <c r="L12">
        <f t="shared" si="10"/>
        <v>16.248076809271922</v>
      </c>
      <c r="M12">
        <f t="shared" si="5"/>
        <v>-57</v>
      </c>
      <c r="N12">
        <f t="shared" si="6"/>
        <v>7776</v>
      </c>
      <c r="O12">
        <f t="shared" si="8"/>
        <v>-1</v>
      </c>
      <c r="P12">
        <f t="shared" ca="1" si="7"/>
        <v>0.28204606908537122</v>
      </c>
    </row>
    <row r="13" spans="1:16" x14ac:dyDescent="0.35">
      <c r="A13">
        <v>7</v>
      </c>
      <c r="B13">
        <v>22</v>
      </c>
      <c r="C13">
        <v>85</v>
      </c>
      <c r="D13">
        <v>60</v>
      </c>
      <c r="E13">
        <v>44</v>
      </c>
      <c r="F13">
        <f t="shared" si="0"/>
        <v>211</v>
      </c>
      <c r="G13">
        <f t="shared" si="1"/>
        <v>968</v>
      </c>
      <c r="H13">
        <f t="shared" si="2"/>
        <v>52.75</v>
      </c>
      <c r="I13">
        <f t="shared" si="3"/>
        <v>1.9318181818181819</v>
      </c>
      <c r="J13">
        <f t="shared" si="4"/>
        <v>1</v>
      </c>
      <c r="K13">
        <f t="shared" si="9"/>
        <v>52.75</v>
      </c>
      <c r="L13">
        <f t="shared" si="10"/>
        <v>14.52583904633395</v>
      </c>
      <c r="M13">
        <f t="shared" si="5"/>
        <v>-82</v>
      </c>
      <c r="N13">
        <f t="shared" si="6"/>
        <v>16807</v>
      </c>
      <c r="O13">
        <f t="shared" si="8"/>
        <v>-1</v>
      </c>
      <c r="P13">
        <f t="shared" ca="1" si="7"/>
        <v>0.60210970097721583</v>
      </c>
    </row>
    <row r="14" spans="1:16" x14ac:dyDescent="0.35">
      <c r="A14">
        <v>8</v>
      </c>
      <c r="B14">
        <v>35</v>
      </c>
      <c r="C14">
        <v>17</v>
      </c>
      <c r="D14">
        <v>16</v>
      </c>
      <c r="E14">
        <v>57</v>
      </c>
      <c r="F14">
        <f t="shared" si="0"/>
        <v>125</v>
      </c>
      <c r="G14">
        <f t="shared" si="1"/>
        <v>1995</v>
      </c>
      <c r="H14">
        <f t="shared" si="2"/>
        <v>31.25</v>
      </c>
      <c r="I14">
        <f t="shared" si="3"/>
        <v>0.2982456140350877</v>
      </c>
      <c r="J14">
        <f t="shared" si="4"/>
        <v>5</v>
      </c>
      <c r="K14">
        <f t="shared" si="9"/>
        <v>31.25</v>
      </c>
      <c r="L14">
        <f t="shared" si="10"/>
        <v>11.180339887498949</v>
      </c>
      <c r="M14">
        <f t="shared" si="5"/>
        <v>-38</v>
      </c>
      <c r="N14">
        <f t="shared" si="6"/>
        <v>32768</v>
      </c>
      <c r="O14">
        <f t="shared" si="8"/>
        <v>-1</v>
      </c>
      <c r="P14">
        <f t="shared" ca="1" si="7"/>
        <v>0.10087131841133812</v>
      </c>
    </row>
    <row r="15" spans="1:16" x14ac:dyDescent="0.35">
      <c r="A15">
        <v>9</v>
      </c>
      <c r="B15">
        <v>64</v>
      </c>
      <c r="C15">
        <v>97</v>
      </c>
      <c r="D15">
        <v>87</v>
      </c>
      <c r="E15">
        <v>42</v>
      </c>
      <c r="F15">
        <f t="shared" si="0"/>
        <v>290</v>
      </c>
      <c r="G15">
        <f t="shared" si="1"/>
        <v>2688</v>
      </c>
      <c r="H15">
        <f t="shared" si="2"/>
        <v>72.5</v>
      </c>
      <c r="I15">
        <f t="shared" si="3"/>
        <v>2.3095238095238093</v>
      </c>
      <c r="J15">
        <f t="shared" si="4"/>
        <v>1</v>
      </c>
      <c r="K15">
        <f t="shared" si="9"/>
        <v>72.5</v>
      </c>
      <c r="L15">
        <f t="shared" si="10"/>
        <v>17.029386365926403</v>
      </c>
      <c r="M15">
        <f t="shared" si="5"/>
        <v>-65</v>
      </c>
      <c r="N15">
        <f t="shared" si="6"/>
        <v>59049</v>
      </c>
      <c r="O15">
        <f t="shared" si="8"/>
        <v>-1</v>
      </c>
      <c r="P15">
        <f t="shared" ca="1" si="7"/>
        <v>0.42631706775461997</v>
      </c>
    </row>
    <row r="16" spans="1:16" x14ac:dyDescent="0.35">
      <c r="A16">
        <v>10</v>
      </c>
      <c r="B16">
        <v>45</v>
      </c>
      <c r="C16">
        <v>89</v>
      </c>
      <c r="D16">
        <v>84</v>
      </c>
      <c r="E16">
        <v>41</v>
      </c>
      <c r="F16">
        <f t="shared" si="0"/>
        <v>259</v>
      </c>
      <c r="G16">
        <f t="shared" si="1"/>
        <v>1845</v>
      </c>
      <c r="H16">
        <f t="shared" si="2"/>
        <v>64.75</v>
      </c>
      <c r="I16">
        <f t="shared" si="3"/>
        <v>2.1707317073170733</v>
      </c>
      <c r="J16">
        <f t="shared" si="4"/>
        <v>5</v>
      </c>
      <c r="K16">
        <f t="shared" si="9"/>
        <v>64.75</v>
      </c>
      <c r="L16">
        <f t="shared" si="10"/>
        <v>16.093476939431081</v>
      </c>
      <c r="M16">
        <f t="shared" si="5"/>
        <v>-80</v>
      </c>
      <c r="N16">
        <f t="shared" si="6"/>
        <v>100000</v>
      </c>
      <c r="O16">
        <f t="shared" si="8"/>
        <v>1</v>
      </c>
      <c r="P16">
        <f t="shared" ca="1" si="7"/>
        <v>0.11146276013958545</v>
      </c>
    </row>
    <row r="17" spans="1:16" x14ac:dyDescent="0.35">
      <c r="A17">
        <v>11</v>
      </c>
      <c r="B17">
        <v>89</v>
      </c>
      <c r="C17">
        <v>24</v>
      </c>
      <c r="D17">
        <v>71</v>
      </c>
      <c r="E17">
        <v>3</v>
      </c>
      <c r="F17">
        <f t="shared" si="0"/>
        <v>187</v>
      </c>
      <c r="G17">
        <f t="shared" si="1"/>
        <v>267</v>
      </c>
      <c r="H17">
        <f t="shared" si="2"/>
        <v>46.75</v>
      </c>
      <c r="I17">
        <f t="shared" si="3"/>
        <v>8</v>
      </c>
      <c r="J17">
        <f t="shared" si="4"/>
        <v>0</v>
      </c>
      <c r="K17">
        <f t="shared" si="9"/>
        <v>46.75</v>
      </c>
      <c r="L17">
        <f t="shared" si="10"/>
        <v>13.674794331177344</v>
      </c>
      <c r="M17">
        <f t="shared" si="5"/>
        <v>15</v>
      </c>
      <c r="N17">
        <f t="shared" si="6"/>
        <v>161051</v>
      </c>
      <c r="O17">
        <f t="shared" si="8"/>
        <v>-1</v>
      </c>
      <c r="P17">
        <f t="shared" ca="1" si="7"/>
        <v>0.49550637906708128</v>
      </c>
    </row>
    <row r="18" spans="1:16" x14ac:dyDescent="0.35">
      <c r="A18">
        <v>12</v>
      </c>
      <c r="B18">
        <v>62</v>
      </c>
      <c r="C18">
        <v>57</v>
      </c>
      <c r="D18">
        <v>32</v>
      </c>
      <c r="E18">
        <v>93</v>
      </c>
      <c r="F18">
        <f t="shared" si="0"/>
        <v>244</v>
      </c>
      <c r="G18">
        <f t="shared" si="1"/>
        <v>5766</v>
      </c>
      <c r="H18">
        <f t="shared" si="2"/>
        <v>61</v>
      </c>
      <c r="I18">
        <f t="shared" si="3"/>
        <v>0.61290322580645162</v>
      </c>
      <c r="J18">
        <f t="shared" si="4"/>
        <v>3</v>
      </c>
      <c r="K18">
        <f t="shared" si="9"/>
        <v>61</v>
      </c>
      <c r="L18">
        <f t="shared" si="10"/>
        <v>15.620499351813308</v>
      </c>
      <c r="M18">
        <f t="shared" si="5"/>
        <v>-63</v>
      </c>
      <c r="N18">
        <f t="shared" si="6"/>
        <v>248832</v>
      </c>
      <c r="O18">
        <f t="shared" si="8"/>
        <v>-1</v>
      </c>
      <c r="P18">
        <f t="shared" ca="1" si="7"/>
        <v>0.8985501375875381</v>
      </c>
    </row>
    <row r="19" spans="1:16" x14ac:dyDescent="0.35">
      <c r="A19">
        <v>13</v>
      </c>
      <c r="B19">
        <v>14</v>
      </c>
      <c r="C19">
        <v>52</v>
      </c>
      <c r="D19">
        <v>91</v>
      </c>
      <c r="E19">
        <v>99</v>
      </c>
      <c r="F19">
        <f t="shared" si="0"/>
        <v>256</v>
      </c>
      <c r="G19">
        <f t="shared" si="1"/>
        <v>1386</v>
      </c>
      <c r="H19">
        <f t="shared" si="2"/>
        <v>64</v>
      </c>
      <c r="I19">
        <f t="shared" si="3"/>
        <v>0.5252525252525253</v>
      </c>
      <c r="J19">
        <f t="shared" si="4"/>
        <v>4</v>
      </c>
      <c r="K19">
        <f t="shared" si="9"/>
        <v>64</v>
      </c>
      <c r="L19">
        <f t="shared" si="10"/>
        <v>16</v>
      </c>
      <c r="M19">
        <f t="shared" si="5"/>
        <v>-176</v>
      </c>
      <c r="N19">
        <f t="shared" si="6"/>
        <v>371293</v>
      </c>
      <c r="O19">
        <f t="shared" si="8"/>
        <v>0</v>
      </c>
      <c r="P19">
        <f t="shared" ca="1" si="7"/>
        <v>0.31048668444243754</v>
      </c>
    </row>
  </sheetData>
  <mergeCells count="1">
    <mergeCell ref="A1:P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47E1-FB3F-4A6B-A3D7-EE43A3840959}">
  <dimension ref="A1:P53"/>
  <sheetViews>
    <sheetView topLeftCell="A26" zoomScale="54" workbookViewId="0">
      <selection activeCell="P18" sqref="P18"/>
    </sheetView>
  </sheetViews>
  <sheetFormatPr defaultRowHeight="14.5" x14ac:dyDescent="0.35"/>
  <cols>
    <col min="2" max="2" width="27.90625" customWidth="1"/>
    <col min="4" max="4" width="19.08984375" bestFit="1" customWidth="1"/>
    <col min="5" max="5" width="12.7265625" bestFit="1" customWidth="1"/>
    <col min="8" max="8" width="17.7265625" bestFit="1" customWidth="1"/>
    <col min="9" max="9" width="16.08984375" bestFit="1" customWidth="1"/>
    <col min="10" max="10" width="18.08984375" bestFit="1" customWidth="1"/>
    <col min="11" max="11" width="17.36328125" bestFit="1" customWidth="1"/>
    <col min="12" max="12" width="13.08984375" bestFit="1" customWidth="1"/>
    <col min="14" max="14" width="14.81640625" bestFit="1" customWidth="1"/>
    <col min="15" max="15" width="10" bestFit="1" customWidth="1"/>
  </cols>
  <sheetData>
    <row r="1" spans="1:15" x14ac:dyDescent="0.35">
      <c r="A1" s="68" t="s">
        <v>46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9"/>
    </row>
    <row r="2" spans="1:15" x14ac:dyDescent="0.3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9"/>
      <c r="N2" s="23"/>
      <c r="O2" s="23"/>
    </row>
    <row r="3" spans="1:15" x14ac:dyDescent="0.35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9"/>
      <c r="O3" s="23"/>
    </row>
    <row r="4" spans="1:15" x14ac:dyDescent="0.3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1"/>
      <c r="M4" s="7"/>
      <c r="N4" s="7"/>
      <c r="O4" s="7"/>
    </row>
    <row r="5" spans="1:15" ht="18.5" x14ac:dyDescent="0.45">
      <c r="A5" s="8" t="s">
        <v>47</v>
      </c>
      <c r="B5" s="13" t="s">
        <v>48</v>
      </c>
      <c r="C5" s="13" t="s">
        <v>49</v>
      </c>
      <c r="D5" s="13" t="s">
        <v>50</v>
      </c>
      <c r="E5" s="13" t="s">
        <v>51</v>
      </c>
      <c r="F5" s="13" t="s">
        <v>52</v>
      </c>
      <c r="G5" s="13" t="s">
        <v>53</v>
      </c>
      <c r="H5" s="13" t="s">
        <v>54</v>
      </c>
      <c r="I5" s="13" t="s">
        <v>55</v>
      </c>
      <c r="J5" s="13" t="s">
        <v>56</v>
      </c>
      <c r="K5" s="13" t="s">
        <v>57</v>
      </c>
      <c r="L5" s="13" t="s">
        <v>58</v>
      </c>
      <c r="M5" s="13" t="s">
        <v>59</v>
      </c>
      <c r="N5" s="8" t="s">
        <v>60</v>
      </c>
      <c r="O5" s="25" t="s">
        <v>135</v>
      </c>
    </row>
    <row r="6" spans="1:15" x14ac:dyDescent="0.35">
      <c r="A6" s="11">
        <v>1</v>
      </c>
      <c r="B6" s="14" t="s">
        <v>61</v>
      </c>
      <c r="C6" s="14" t="s">
        <v>76</v>
      </c>
      <c r="D6" s="14" t="s">
        <v>91</v>
      </c>
      <c r="E6" s="17">
        <v>30000</v>
      </c>
      <c r="F6" s="14">
        <f>(50*E6)/100</f>
        <v>15000</v>
      </c>
      <c r="G6" s="14">
        <f>(20*E6)/100</f>
        <v>6000</v>
      </c>
      <c r="H6" s="14">
        <f>(30*E6)/100</f>
        <v>9000</v>
      </c>
      <c r="I6" s="14">
        <v>5</v>
      </c>
      <c r="J6" s="14">
        <f>I6*200</f>
        <v>1000</v>
      </c>
      <c r="K6" s="14">
        <f>SUM(F6+G6+H6+J6)</f>
        <v>31000</v>
      </c>
      <c r="L6" s="17">
        <f>SUM(E6+K6)</f>
        <v>61000</v>
      </c>
      <c r="M6" s="14">
        <f>(12*E6)/100</f>
        <v>3600</v>
      </c>
      <c r="N6" s="9">
        <f>L6-M6</f>
        <v>57400</v>
      </c>
      <c r="O6" s="14" t="str" cm="1">
        <f t="array" ref="O6">_xlfn.IFS(N6&gt;100000,"high",N6&gt;60000,"medium",N6&lt;=60000,"low")</f>
        <v>low</v>
      </c>
    </row>
    <row r="7" spans="1:15" x14ac:dyDescent="0.35">
      <c r="A7" s="11">
        <v>2</v>
      </c>
      <c r="B7" s="14" t="s">
        <v>62</v>
      </c>
      <c r="C7" s="14" t="s">
        <v>77</v>
      </c>
      <c r="D7" s="14" t="s">
        <v>92</v>
      </c>
      <c r="E7" s="18">
        <v>40000</v>
      </c>
      <c r="F7" s="14">
        <f t="shared" ref="F7:F20" si="0">(50*E7)/100</f>
        <v>20000</v>
      </c>
      <c r="G7" s="14">
        <f t="shared" ref="G7:G20" si="1">(20*E7)/100</f>
        <v>8000</v>
      </c>
      <c r="H7" s="14">
        <f t="shared" ref="H7:H20" si="2">(30*E7)/100</f>
        <v>12000</v>
      </c>
      <c r="I7" s="14">
        <v>6</v>
      </c>
      <c r="J7" s="14">
        <f t="shared" ref="J7:J20" si="3">I7*200</f>
        <v>1200</v>
      </c>
      <c r="K7" s="14">
        <f t="shared" ref="K7:K20" si="4">SUM(F7+G7+H7+J7)</f>
        <v>41200</v>
      </c>
      <c r="L7" s="17">
        <f t="shared" ref="L7:L20" si="5">SUM(E7+K7)</f>
        <v>81200</v>
      </c>
      <c r="M7" s="14">
        <f t="shared" ref="M7:M20" si="6">(12*E7)/100</f>
        <v>4800</v>
      </c>
      <c r="N7" s="9">
        <f t="shared" ref="N7:N20" si="7">L7-M7</f>
        <v>76400</v>
      </c>
      <c r="O7" s="14" t="str" cm="1">
        <f t="array" ref="O7">_xlfn.IFS(N7&gt;100000,"high",N7&gt;60000,"medium",N7&lt;=60000,"low")</f>
        <v>medium</v>
      </c>
    </row>
    <row r="8" spans="1:15" x14ac:dyDescent="0.35">
      <c r="A8" s="11">
        <v>3</v>
      </c>
      <c r="B8" s="14" t="s">
        <v>63</v>
      </c>
      <c r="C8" s="14" t="s">
        <v>78</v>
      </c>
      <c r="D8" s="14" t="s">
        <v>93</v>
      </c>
      <c r="E8" s="17">
        <v>12000</v>
      </c>
      <c r="F8" s="14">
        <f t="shared" si="0"/>
        <v>6000</v>
      </c>
      <c r="G8" s="14">
        <f t="shared" si="1"/>
        <v>2400</v>
      </c>
      <c r="H8" s="14">
        <f t="shared" si="2"/>
        <v>3600</v>
      </c>
      <c r="I8" s="14">
        <v>7</v>
      </c>
      <c r="J8" s="14">
        <f t="shared" si="3"/>
        <v>1400</v>
      </c>
      <c r="K8" s="14">
        <f t="shared" si="4"/>
        <v>13400</v>
      </c>
      <c r="L8" s="17">
        <f t="shared" si="5"/>
        <v>25400</v>
      </c>
      <c r="M8" s="14">
        <f t="shared" si="6"/>
        <v>1440</v>
      </c>
      <c r="N8" s="9">
        <f t="shared" si="7"/>
        <v>23960</v>
      </c>
      <c r="O8" s="14" t="str" cm="1">
        <f t="array" ref="O8">_xlfn.IFS(N8&gt;100000,"high",N8&gt;60000,"medium",N8&lt;=60000,"low")</f>
        <v>low</v>
      </c>
    </row>
    <row r="9" spans="1:15" x14ac:dyDescent="0.35">
      <c r="A9" s="11">
        <v>4</v>
      </c>
      <c r="B9" s="14" t="s">
        <v>64</v>
      </c>
      <c r="C9" s="14" t="s">
        <v>79</v>
      </c>
      <c r="D9" s="16" t="s">
        <v>99</v>
      </c>
      <c r="E9" s="17">
        <v>15000</v>
      </c>
      <c r="F9" s="14">
        <f t="shared" si="0"/>
        <v>7500</v>
      </c>
      <c r="G9" s="14">
        <f t="shared" si="1"/>
        <v>3000</v>
      </c>
      <c r="H9" s="14">
        <f t="shared" si="2"/>
        <v>4500</v>
      </c>
      <c r="I9" s="14">
        <v>8</v>
      </c>
      <c r="J9" s="14">
        <f t="shared" si="3"/>
        <v>1600</v>
      </c>
      <c r="K9" s="14">
        <f t="shared" si="4"/>
        <v>16600</v>
      </c>
      <c r="L9" s="17">
        <f t="shared" si="5"/>
        <v>31600</v>
      </c>
      <c r="M9" s="14">
        <f t="shared" si="6"/>
        <v>1800</v>
      </c>
      <c r="N9" s="9">
        <f t="shared" si="7"/>
        <v>29800</v>
      </c>
      <c r="O9" s="14" t="str" cm="1">
        <f t="array" ref="O9">_xlfn.IFS(N9&gt;100000,"high",N9&gt;60000,"medium",N9&lt;=60000,"low")</f>
        <v>low</v>
      </c>
    </row>
    <row r="10" spans="1:15" x14ac:dyDescent="0.35">
      <c r="A10" s="11">
        <v>5</v>
      </c>
      <c r="B10" s="14" t="s">
        <v>65</v>
      </c>
      <c r="C10" s="14" t="s">
        <v>80</v>
      </c>
      <c r="D10" s="14" t="s">
        <v>95</v>
      </c>
      <c r="E10" s="17">
        <v>50000</v>
      </c>
      <c r="F10" s="14">
        <f t="shared" si="0"/>
        <v>25000</v>
      </c>
      <c r="G10" s="14">
        <f t="shared" si="1"/>
        <v>10000</v>
      </c>
      <c r="H10" s="14">
        <f t="shared" si="2"/>
        <v>15000</v>
      </c>
      <c r="I10" s="14">
        <v>12</v>
      </c>
      <c r="J10" s="14">
        <f t="shared" si="3"/>
        <v>2400</v>
      </c>
      <c r="K10" s="14">
        <f t="shared" si="4"/>
        <v>52400</v>
      </c>
      <c r="L10" s="17">
        <f t="shared" si="5"/>
        <v>102400</v>
      </c>
      <c r="M10" s="14">
        <f t="shared" si="6"/>
        <v>6000</v>
      </c>
      <c r="N10" s="9">
        <f t="shared" si="7"/>
        <v>96400</v>
      </c>
      <c r="O10" s="14" t="str" cm="1">
        <f t="array" ref="O10">_xlfn.IFS(N10&gt;100000,"high",N10&gt;60000,"medium",N10&lt;=60000,"low")</f>
        <v>medium</v>
      </c>
    </row>
    <row r="11" spans="1:15" x14ac:dyDescent="0.35">
      <c r="A11" s="11">
        <v>6</v>
      </c>
      <c r="B11" s="14" t="s">
        <v>66</v>
      </c>
      <c r="C11" s="14" t="s">
        <v>81</v>
      </c>
      <c r="D11" s="14" t="s">
        <v>96</v>
      </c>
      <c r="E11" s="17">
        <v>70000</v>
      </c>
      <c r="F11" s="14">
        <f t="shared" si="0"/>
        <v>35000</v>
      </c>
      <c r="G11" s="14">
        <f t="shared" si="1"/>
        <v>14000</v>
      </c>
      <c r="H11" s="14">
        <f t="shared" si="2"/>
        <v>21000</v>
      </c>
      <c r="I11" s="14">
        <v>46</v>
      </c>
      <c r="J11" s="14">
        <f t="shared" si="3"/>
        <v>9200</v>
      </c>
      <c r="K11" s="14">
        <f t="shared" si="4"/>
        <v>79200</v>
      </c>
      <c r="L11" s="17">
        <f t="shared" si="5"/>
        <v>149200</v>
      </c>
      <c r="M11" s="14">
        <f t="shared" si="6"/>
        <v>8400</v>
      </c>
      <c r="N11" s="9">
        <f t="shared" si="7"/>
        <v>140800</v>
      </c>
      <c r="O11" s="14" t="str" cm="1">
        <f t="array" ref="O11">_xlfn.IFS(N11&gt;100000,"high",N11&gt;60000,"medium",N11&lt;=60000,"low")</f>
        <v>high</v>
      </c>
    </row>
    <row r="12" spans="1:15" x14ac:dyDescent="0.35">
      <c r="A12" s="11">
        <v>7</v>
      </c>
      <c r="B12" s="14" t="s">
        <v>67</v>
      </c>
      <c r="C12" s="14" t="s">
        <v>82</v>
      </c>
      <c r="D12" s="14" t="s">
        <v>97</v>
      </c>
      <c r="E12" s="17">
        <v>8000</v>
      </c>
      <c r="F12" s="14">
        <f t="shared" si="0"/>
        <v>4000</v>
      </c>
      <c r="G12" s="14">
        <f t="shared" si="1"/>
        <v>1600</v>
      </c>
      <c r="H12" s="14">
        <f t="shared" si="2"/>
        <v>2400</v>
      </c>
      <c r="I12" s="14">
        <v>10</v>
      </c>
      <c r="J12" s="14">
        <f t="shared" si="3"/>
        <v>2000</v>
      </c>
      <c r="K12" s="14">
        <f t="shared" si="4"/>
        <v>10000</v>
      </c>
      <c r="L12" s="17">
        <f t="shared" si="5"/>
        <v>18000</v>
      </c>
      <c r="M12" s="14">
        <f t="shared" si="6"/>
        <v>960</v>
      </c>
      <c r="N12" s="9">
        <f t="shared" si="7"/>
        <v>17040</v>
      </c>
      <c r="O12" s="14" t="str" cm="1">
        <f t="array" ref="O12">_xlfn.IFS(N12&gt;100000,"high",N12&gt;60000,"medium",N12&lt;=60000,"low")</f>
        <v>low</v>
      </c>
    </row>
    <row r="13" spans="1:15" x14ac:dyDescent="0.35">
      <c r="A13" s="11">
        <v>8</v>
      </c>
      <c r="B13" s="14" t="s">
        <v>68</v>
      </c>
      <c r="C13" s="14" t="s">
        <v>83</v>
      </c>
      <c r="D13" s="14" t="s">
        <v>98</v>
      </c>
      <c r="E13" s="18">
        <v>10000</v>
      </c>
      <c r="F13" s="14">
        <f t="shared" si="0"/>
        <v>5000</v>
      </c>
      <c r="G13" s="14">
        <f t="shared" si="1"/>
        <v>2000</v>
      </c>
      <c r="H13" s="14">
        <f t="shared" si="2"/>
        <v>3000</v>
      </c>
      <c r="I13" s="14">
        <v>50</v>
      </c>
      <c r="J13" s="14">
        <f t="shared" si="3"/>
        <v>10000</v>
      </c>
      <c r="K13" s="14">
        <f t="shared" si="4"/>
        <v>20000</v>
      </c>
      <c r="L13" s="17">
        <f t="shared" si="5"/>
        <v>30000</v>
      </c>
      <c r="M13" s="14">
        <f t="shared" si="6"/>
        <v>1200</v>
      </c>
      <c r="N13" s="9">
        <f t="shared" si="7"/>
        <v>28800</v>
      </c>
      <c r="O13" s="14" t="str" cm="1">
        <f t="array" ref="O13">_xlfn.IFS(N13&gt;100000,"high",N13&gt;60000,"medium",N13&lt;=60000,"low")</f>
        <v>low</v>
      </c>
    </row>
    <row r="14" spans="1:15" x14ac:dyDescent="0.35">
      <c r="A14" s="11">
        <v>9</v>
      </c>
      <c r="B14" s="14" t="s">
        <v>69</v>
      </c>
      <c r="C14" s="14" t="s">
        <v>84</v>
      </c>
      <c r="D14" s="14" t="s">
        <v>94</v>
      </c>
      <c r="E14" s="17">
        <v>100000</v>
      </c>
      <c r="F14" s="14">
        <f t="shared" si="0"/>
        <v>50000</v>
      </c>
      <c r="G14" s="14">
        <f t="shared" si="1"/>
        <v>20000</v>
      </c>
      <c r="H14" s="14">
        <f t="shared" si="2"/>
        <v>30000</v>
      </c>
      <c r="I14" s="14">
        <v>60</v>
      </c>
      <c r="J14" s="14">
        <f t="shared" si="3"/>
        <v>12000</v>
      </c>
      <c r="K14" s="14">
        <f t="shared" si="4"/>
        <v>112000</v>
      </c>
      <c r="L14" s="17">
        <f t="shared" si="5"/>
        <v>212000</v>
      </c>
      <c r="M14" s="14">
        <f t="shared" si="6"/>
        <v>12000</v>
      </c>
      <c r="N14" s="9">
        <f t="shared" si="7"/>
        <v>200000</v>
      </c>
      <c r="O14" s="14" t="str" cm="1">
        <f t="array" ref="O14">_xlfn.IFS(N14&gt;100000,"high",N14&gt;60000,"medium",N14&lt;=60000,"low")</f>
        <v>high</v>
      </c>
    </row>
    <row r="15" spans="1:15" x14ac:dyDescent="0.35">
      <c r="A15" s="11">
        <v>10</v>
      </c>
      <c r="B15" s="14" t="s">
        <v>70</v>
      </c>
      <c r="C15" s="14" t="s">
        <v>85</v>
      </c>
      <c r="D15" s="14" t="s">
        <v>100</v>
      </c>
      <c r="E15" s="17">
        <v>55000</v>
      </c>
      <c r="F15" s="14">
        <f t="shared" si="0"/>
        <v>27500</v>
      </c>
      <c r="G15" s="14">
        <f t="shared" si="1"/>
        <v>11000</v>
      </c>
      <c r="H15" s="14">
        <f t="shared" si="2"/>
        <v>16500</v>
      </c>
      <c r="I15" s="14">
        <v>36</v>
      </c>
      <c r="J15" s="14">
        <f t="shared" si="3"/>
        <v>7200</v>
      </c>
      <c r="K15" s="14">
        <f t="shared" si="4"/>
        <v>62200</v>
      </c>
      <c r="L15" s="17">
        <f t="shared" si="5"/>
        <v>117200</v>
      </c>
      <c r="M15" s="14">
        <f t="shared" si="6"/>
        <v>6600</v>
      </c>
      <c r="N15" s="9">
        <f t="shared" si="7"/>
        <v>110600</v>
      </c>
      <c r="O15" s="14" t="str" cm="1">
        <f t="array" ref="O15">_xlfn.IFS(N15&gt;100000,"high",N15&gt;60000,"medium",N15&lt;=60000,"low")</f>
        <v>high</v>
      </c>
    </row>
    <row r="16" spans="1:15" x14ac:dyDescent="0.35">
      <c r="A16" s="11">
        <v>11</v>
      </c>
      <c r="B16" s="14" t="s">
        <v>71</v>
      </c>
      <c r="C16" s="14" t="s">
        <v>86</v>
      </c>
      <c r="D16" s="14" t="s">
        <v>101</v>
      </c>
      <c r="E16" s="17">
        <v>60000</v>
      </c>
      <c r="F16" s="14">
        <f t="shared" si="0"/>
        <v>30000</v>
      </c>
      <c r="G16" s="14">
        <f t="shared" si="1"/>
        <v>12000</v>
      </c>
      <c r="H16" s="14">
        <f t="shared" si="2"/>
        <v>18000</v>
      </c>
      <c r="I16" s="14">
        <v>36</v>
      </c>
      <c r="J16" s="14">
        <f t="shared" si="3"/>
        <v>7200</v>
      </c>
      <c r="K16" s="14">
        <f t="shared" si="4"/>
        <v>67200</v>
      </c>
      <c r="L16" s="17">
        <f t="shared" si="5"/>
        <v>127200</v>
      </c>
      <c r="M16" s="14">
        <f t="shared" si="6"/>
        <v>7200</v>
      </c>
      <c r="N16" s="9">
        <f t="shared" si="7"/>
        <v>120000</v>
      </c>
      <c r="O16" s="14" t="str" cm="1">
        <f t="array" ref="O16">_xlfn.IFS(N16&gt;100000,"high",N16&gt;60000,"medium",N16&lt;=60000,"low")</f>
        <v>high</v>
      </c>
    </row>
    <row r="17" spans="1:16" x14ac:dyDescent="0.35">
      <c r="A17" s="11">
        <v>12</v>
      </c>
      <c r="B17" s="14" t="s">
        <v>72</v>
      </c>
      <c r="C17" s="14" t="s">
        <v>87</v>
      </c>
      <c r="D17" s="14" t="s">
        <v>102</v>
      </c>
      <c r="E17" s="17">
        <v>20000</v>
      </c>
      <c r="F17" s="14">
        <f t="shared" si="0"/>
        <v>10000</v>
      </c>
      <c r="G17" s="14">
        <f t="shared" si="1"/>
        <v>4000</v>
      </c>
      <c r="H17" s="14">
        <f t="shared" si="2"/>
        <v>6000</v>
      </c>
      <c r="I17" s="14">
        <v>76</v>
      </c>
      <c r="J17" s="14">
        <f t="shared" si="3"/>
        <v>15200</v>
      </c>
      <c r="K17" s="14">
        <f t="shared" si="4"/>
        <v>35200</v>
      </c>
      <c r="L17" s="17">
        <f t="shared" si="5"/>
        <v>55200</v>
      </c>
      <c r="M17" s="14">
        <f t="shared" si="6"/>
        <v>2400</v>
      </c>
      <c r="N17" s="9">
        <f t="shared" si="7"/>
        <v>52800</v>
      </c>
      <c r="O17" s="14" t="str" cm="1">
        <f t="array" ref="O17">_xlfn.IFS(N17&gt;100000,"high",N17&gt;60000,"medium",N17&lt;=60000,"low")</f>
        <v>low</v>
      </c>
    </row>
    <row r="18" spans="1:16" x14ac:dyDescent="0.35">
      <c r="A18" s="11">
        <v>13</v>
      </c>
      <c r="B18" s="14" t="s">
        <v>73</v>
      </c>
      <c r="C18" s="14" t="s">
        <v>88</v>
      </c>
      <c r="D18" s="14" t="s">
        <v>103</v>
      </c>
      <c r="E18" s="17">
        <v>8000</v>
      </c>
      <c r="F18" s="14">
        <f t="shared" si="0"/>
        <v>4000</v>
      </c>
      <c r="G18" s="14">
        <f t="shared" si="1"/>
        <v>1600</v>
      </c>
      <c r="H18" s="14">
        <f t="shared" si="2"/>
        <v>2400</v>
      </c>
      <c r="I18" s="14">
        <v>23</v>
      </c>
      <c r="J18" s="14">
        <f t="shared" si="3"/>
        <v>4600</v>
      </c>
      <c r="K18" s="14">
        <f t="shared" si="4"/>
        <v>12600</v>
      </c>
      <c r="L18" s="17">
        <f t="shared" si="5"/>
        <v>20600</v>
      </c>
      <c r="M18" s="14">
        <f t="shared" si="6"/>
        <v>960</v>
      </c>
      <c r="N18" s="9">
        <f t="shared" si="7"/>
        <v>19640</v>
      </c>
      <c r="O18" s="14" t="str" cm="1">
        <f t="array" ref="O18">_xlfn.IFS(N18&gt;100000,"high",N18&gt;60000,"medium",N18&lt;=60000,"low")</f>
        <v>low</v>
      </c>
    </row>
    <row r="19" spans="1:16" x14ac:dyDescent="0.35">
      <c r="A19" s="11">
        <v>14</v>
      </c>
      <c r="B19" s="14" t="s">
        <v>74</v>
      </c>
      <c r="C19" s="14" t="s">
        <v>89</v>
      </c>
      <c r="D19" s="14" t="s">
        <v>104</v>
      </c>
      <c r="E19" s="17">
        <v>10000</v>
      </c>
      <c r="F19" s="14">
        <f t="shared" si="0"/>
        <v>5000</v>
      </c>
      <c r="G19" s="14">
        <f t="shared" si="1"/>
        <v>2000</v>
      </c>
      <c r="H19" s="14">
        <f t="shared" si="2"/>
        <v>3000</v>
      </c>
      <c r="I19" s="14">
        <v>45</v>
      </c>
      <c r="J19" s="14">
        <f t="shared" si="3"/>
        <v>9000</v>
      </c>
      <c r="K19" s="14">
        <f t="shared" si="4"/>
        <v>19000</v>
      </c>
      <c r="L19" s="17">
        <f t="shared" si="5"/>
        <v>29000</v>
      </c>
      <c r="M19" s="14">
        <f t="shared" si="6"/>
        <v>1200</v>
      </c>
      <c r="N19" s="9">
        <f t="shared" si="7"/>
        <v>27800</v>
      </c>
      <c r="O19" s="14" t="str" cm="1">
        <f t="array" ref="O19">_xlfn.IFS(N19&gt;100000,"high",N19&gt;60000,"medium",N19&lt;=60000,"low")</f>
        <v>low</v>
      </c>
    </row>
    <row r="20" spans="1:16" x14ac:dyDescent="0.35">
      <c r="A20" s="12">
        <v>15</v>
      </c>
      <c r="B20" s="15" t="s">
        <v>75</v>
      </c>
      <c r="C20" s="15" t="s">
        <v>90</v>
      </c>
      <c r="D20" s="15" t="s">
        <v>105</v>
      </c>
      <c r="E20" s="19">
        <v>60000</v>
      </c>
      <c r="F20" s="15">
        <f t="shared" si="0"/>
        <v>30000</v>
      </c>
      <c r="G20" s="15">
        <f t="shared" si="1"/>
        <v>12000</v>
      </c>
      <c r="H20" s="15">
        <f t="shared" si="2"/>
        <v>18000</v>
      </c>
      <c r="I20" s="15">
        <v>46</v>
      </c>
      <c r="J20" s="15">
        <f t="shared" si="3"/>
        <v>9200</v>
      </c>
      <c r="K20" s="15">
        <f t="shared" si="4"/>
        <v>69200</v>
      </c>
      <c r="L20" s="19">
        <f t="shared" si="5"/>
        <v>129200</v>
      </c>
      <c r="M20" s="15">
        <f t="shared" si="6"/>
        <v>7200</v>
      </c>
      <c r="N20" s="10">
        <f t="shared" si="7"/>
        <v>122000</v>
      </c>
      <c r="O20" s="15" t="str" cm="1">
        <f t="array" ref="O20">_xlfn.IFS(N20&gt;100000,"high",N20&gt;60000,"medium",N20&lt;=60000,"low")</f>
        <v>high</v>
      </c>
      <c r="P20" s="26"/>
    </row>
    <row r="24" spans="1:16" ht="23.5" x14ac:dyDescent="0.55000000000000004">
      <c r="K24" s="22" t="s">
        <v>122</v>
      </c>
    </row>
    <row r="27" spans="1:16" ht="21" x14ac:dyDescent="0.5">
      <c r="A27" t="s">
        <v>106</v>
      </c>
      <c r="B27" s="20" t="s">
        <v>107</v>
      </c>
      <c r="K27">
        <f>MAX(K6:K20)</f>
        <v>112000</v>
      </c>
    </row>
    <row r="28" spans="1:16" ht="18.5" x14ac:dyDescent="0.45">
      <c r="B28" s="21"/>
    </row>
    <row r="29" spans="1:16" ht="21" x14ac:dyDescent="0.5">
      <c r="A29" t="s">
        <v>108</v>
      </c>
      <c r="B29" s="20" t="s">
        <v>109</v>
      </c>
      <c r="K29">
        <f>MAX(J6:J20)</f>
        <v>15200</v>
      </c>
    </row>
    <row r="31" spans="1:16" ht="21" x14ac:dyDescent="0.5">
      <c r="A31" t="s">
        <v>110</v>
      </c>
      <c r="B31" s="20" t="s">
        <v>111</v>
      </c>
      <c r="K31" s="23">
        <f>AVERAGE(E6:E20)</f>
        <v>36533.333333333336</v>
      </c>
    </row>
    <row r="33" spans="1:11" ht="21" x14ac:dyDescent="0.5">
      <c r="A33" t="s">
        <v>112</v>
      </c>
      <c r="B33" s="20" t="s">
        <v>113</v>
      </c>
      <c r="K33" s="23">
        <f>L10-E10</f>
        <v>52400</v>
      </c>
    </row>
    <row r="35" spans="1:11" ht="21" x14ac:dyDescent="0.5">
      <c r="A35" t="s">
        <v>114</v>
      </c>
      <c r="B35" s="20" t="s">
        <v>115</v>
      </c>
      <c r="K35" s="23">
        <f>SUM(N6:N20)</f>
        <v>1123440</v>
      </c>
    </row>
    <row r="37" spans="1:11" ht="21" x14ac:dyDescent="0.5">
      <c r="A37" t="s">
        <v>116</v>
      </c>
      <c r="B37" s="20" t="s">
        <v>117</v>
      </c>
      <c r="K37">
        <f>AVERAGE(I6:I20)</f>
        <v>31.066666666666666</v>
      </c>
    </row>
    <row r="39" spans="1:11" ht="21" x14ac:dyDescent="0.5">
      <c r="A39" t="s">
        <v>118</v>
      </c>
      <c r="B39" s="20" t="s">
        <v>119</v>
      </c>
      <c r="K39">
        <f>(J11/N11)*100</f>
        <v>6.5340909090909092</v>
      </c>
    </row>
    <row r="40" spans="1:11" x14ac:dyDescent="0.35">
      <c r="K40">
        <f>(J13/N13)*100</f>
        <v>34.722222222222221</v>
      </c>
    </row>
    <row r="41" spans="1:11" ht="21" x14ac:dyDescent="0.5">
      <c r="A41" t="s">
        <v>120</v>
      </c>
      <c r="B41" s="20" t="s">
        <v>121</v>
      </c>
      <c r="K41" s="23">
        <f>MAX(L6:L20)+MIN(L6:L20)</f>
        <v>230000</v>
      </c>
    </row>
    <row r="42" spans="1:11" x14ac:dyDescent="0.35">
      <c r="K42" s="23"/>
    </row>
    <row r="43" spans="1:11" ht="21" x14ac:dyDescent="0.5">
      <c r="A43" t="s">
        <v>123</v>
      </c>
      <c r="B43" s="20" t="s">
        <v>124</v>
      </c>
      <c r="K43">
        <f>COUNTIF(N6:N20,"&gt;30000")</f>
        <v>9</v>
      </c>
    </row>
    <row r="45" spans="1:11" ht="21" x14ac:dyDescent="0.5">
      <c r="A45" t="s">
        <v>125</v>
      </c>
      <c r="B45" s="20" t="s">
        <v>126</v>
      </c>
      <c r="K45">
        <f>SUMIF(I6:I20,"&gt;10",N6:N20)</f>
        <v>918840</v>
      </c>
    </row>
    <row r="47" spans="1:11" ht="21" x14ac:dyDescent="0.5">
      <c r="A47" t="s">
        <v>127</v>
      </c>
      <c r="B47" s="20" t="s">
        <v>128</v>
      </c>
      <c r="K47" s="24">
        <f>AVERAGEIF(N6:N20,"&lt;80000",L6:L20)</f>
        <v>39111.111111111109</v>
      </c>
    </row>
    <row r="49" spans="1:11" ht="21" x14ac:dyDescent="0.5">
      <c r="A49" t="s">
        <v>129</v>
      </c>
      <c r="B49" s="20" t="s">
        <v>130</v>
      </c>
      <c r="C49" s="20"/>
      <c r="D49" s="20"/>
      <c r="E49" s="20"/>
      <c r="F49" s="20"/>
      <c r="K49">
        <f>COUNTIFS(E6:E20,"&gt;40000",I6:I20,"&gt;8")</f>
        <v>6</v>
      </c>
    </row>
    <row r="51" spans="1:11" ht="21" x14ac:dyDescent="0.5">
      <c r="A51" t="s">
        <v>131</v>
      </c>
      <c r="B51" s="20" t="s">
        <v>132</v>
      </c>
      <c r="C51" s="20"/>
      <c r="D51" s="20"/>
      <c r="E51" s="20"/>
      <c r="F51" s="20"/>
      <c r="G51" s="20"/>
      <c r="H51" s="20"/>
      <c r="K51">
        <f>SUMIFS(L6:L20,L6:L20,"&gt;100000",I6:I20,"&gt;8")</f>
        <v>837200</v>
      </c>
    </row>
    <row r="53" spans="1:11" ht="21" x14ac:dyDescent="0.5">
      <c r="A53" t="s">
        <v>133</v>
      </c>
      <c r="B53" s="20" t="s">
        <v>134</v>
      </c>
      <c r="C53" s="20"/>
      <c r="D53" s="20"/>
      <c r="E53" s="20"/>
      <c r="F53" s="20"/>
      <c r="G53" s="20"/>
      <c r="H53" s="20"/>
      <c r="K53">
        <f>AVERAGEIFS(E6:E20,N6:N20,"&gt;40000",I6:I20,"&gt;10")</f>
        <v>59285.714285714283</v>
      </c>
    </row>
  </sheetData>
  <mergeCells count="1">
    <mergeCell ref="A1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3105-7B5C-463E-80EE-8B1500289562}">
  <dimension ref="A1:AG80"/>
  <sheetViews>
    <sheetView topLeftCell="A53" zoomScale="106" workbookViewId="0">
      <selection sqref="A1:E34"/>
    </sheetView>
  </sheetViews>
  <sheetFormatPr defaultRowHeight="14.5" x14ac:dyDescent="0.35"/>
  <cols>
    <col min="1" max="1" width="17.26953125" customWidth="1"/>
    <col min="2" max="2" width="15.26953125" customWidth="1"/>
    <col min="3" max="3" width="11.54296875" bestFit="1" customWidth="1"/>
    <col min="4" max="4" width="10.54296875" bestFit="1" customWidth="1"/>
    <col min="7" max="7" width="10" bestFit="1" customWidth="1"/>
    <col min="11" max="11" width="12.36328125" customWidth="1"/>
    <col min="14" max="14" width="12.6328125" bestFit="1" customWidth="1"/>
  </cols>
  <sheetData>
    <row r="1" spans="1:5" ht="29" x14ac:dyDescent="0.35">
      <c r="A1" s="27" t="s">
        <v>207</v>
      </c>
      <c r="B1" s="27" t="s">
        <v>136</v>
      </c>
      <c r="C1" s="27" t="s">
        <v>137</v>
      </c>
      <c r="D1" s="27" t="s">
        <v>138</v>
      </c>
      <c r="E1" s="27" t="s">
        <v>139</v>
      </c>
    </row>
    <row r="2" spans="1:5" ht="29" x14ac:dyDescent="0.35">
      <c r="A2" s="28" t="s">
        <v>140</v>
      </c>
      <c r="B2" s="29">
        <v>380581</v>
      </c>
      <c r="C2" s="29">
        <v>202871</v>
      </c>
      <c r="D2" s="29">
        <v>177710</v>
      </c>
      <c r="E2" s="28">
        <v>876</v>
      </c>
    </row>
    <row r="3" spans="1:5" x14ac:dyDescent="0.35">
      <c r="A3" s="28" t="s">
        <v>141</v>
      </c>
      <c r="B3" s="29">
        <v>49386799</v>
      </c>
      <c r="C3" s="29">
        <v>24831408</v>
      </c>
      <c r="D3" s="29">
        <v>24555391</v>
      </c>
      <c r="E3" s="28">
        <v>989</v>
      </c>
    </row>
    <row r="4" spans="1:5" ht="43.5" x14ac:dyDescent="0.35">
      <c r="A4" s="28" t="s">
        <v>142</v>
      </c>
      <c r="B4" s="29">
        <v>1383727</v>
      </c>
      <c r="C4" s="29">
        <v>713912</v>
      </c>
      <c r="D4" s="29">
        <v>669815</v>
      </c>
      <c r="E4" s="28">
        <v>938</v>
      </c>
    </row>
    <row r="5" spans="1:5" x14ac:dyDescent="0.35">
      <c r="A5" s="28" t="s">
        <v>143</v>
      </c>
      <c r="B5" s="29">
        <v>31205576</v>
      </c>
      <c r="C5" s="29">
        <v>15939443</v>
      </c>
      <c r="D5" s="29">
        <v>15266133</v>
      </c>
      <c r="E5" s="28">
        <v>958</v>
      </c>
    </row>
    <row r="6" spans="1:5" x14ac:dyDescent="0.35">
      <c r="A6" s="28" t="s">
        <v>144</v>
      </c>
      <c r="B6" s="29">
        <v>104099452</v>
      </c>
      <c r="C6" s="29">
        <v>54278157</v>
      </c>
      <c r="D6" s="29">
        <v>49821295</v>
      </c>
      <c r="E6" s="28">
        <v>919</v>
      </c>
    </row>
    <row r="7" spans="1:5" x14ac:dyDescent="0.35">
      <c r="A7" s="28" t="s">
        <v>145</v>
      </c>
      <c r="B7" s="29">
        <v>25545198</v>
      </c>
      <c r="C7" s="29">
        <v>12827915</v>
      </c>
      <c r="D7" s="29">
        <v>12717283</v>
      </c>
      <c r="E7" s="28">
        <v>992</v>
      </c>
    </row>
    <row r="8" spans="1:5" ht="87" x14ac:dyDescent="0.35">
      <c r="A8" s="28" t="s">
        <v>146</v>
      </c>
      <c r="B8" s="29">
        <v>585764</v>
      </c>
      <c r="C8" s="29">
        <v>344669</v>
      </c>
      <c r="D8" s="29">
        <v>241095</v>
      </c>
      <c r="E8" s="28">
        <v>700</v>
      </c>
    </row>
    <row r="9" spans="1:5" x14ac:dyDescent="0.35">
      <c r="A9" s="28" t="s">
        <v>147</v>
      </c>
      <c r="B9" s="29">
        <v>16787941</v>
      </c>
      <c r="C9" s="29">
        <v>8987326</v>
      </c>
      <c r="D9" s="29">
        <v>7800615</v>
      </c>
      <c r="E9" s="28">
        <v>868</v>
      </c>
    </row>
    <row r="10" spans="1:5" x14ac:dyDescent="0.35">
      <c r="A10" s="28" t="s">
        <v>148</v>
      </c>
      <c r="B10" s="29">
        <v>1458545</v>
      </c>
      <c r="C10" s="29">
        <v>739140</v>
      </c>
      <c r="D10" s="29">
        <v>719405</v>
      </c>
      <c r="E10" s="28">
        <v>973</v>
      </c>
    </row>
    <row r="11" spans="1:5" x14ac:dyDescent="0.35">
      <c r="A11" s="28" t="s">
        <v>149</v>
      </c>
      <c r="B11" s="29">
        <v>60439692</v>
      </c>
      <c r="C11" s="29">
        <v>31491260</v>
      </c>
      <c r="D11" s="29">
        <v>28948432</v>
      </c>
      <c r="E11" s="28">
        <v>920</v>
      </c>
    </row>
    <row r="12" spans="1:5" x14ac:dyDescent="0.35">
      <c r="A12" s="28" t="s">
        <v>150</v>
      </c>
      <c r="B12" s="29">
        <v>25351462</v>
      </c>
      <c r="C12" s="29">
        <v>13494734</v>
      </c>
      <c r="D12" s="29">
        <v>11856728</v>
      </c>
      <c r="E12" s="28">
        <v>879</v>
      </c>
    </row>
    <row r="13" spans="1:5" x14ac:dyDescent="0.35">
      <c r="A13" s="28" t="s">
        <v>151</v>
      </c>
      <c r="B13" s="29">
        <v>6864602</v>
      </c>
      <c r="C13" s="29">
        <v>3481873</v>
      </c>
      <c r="D13" s="29">
        <v>3382729</v>
      </c>
      <c r="E13" s="28">
        <v>972</v>
      </c>
    </row>
    <row r="14" spans="1:5" x14ac:dyDescent="0.35">
      <c r="A14" s="28" t="s">
        <v>152</v>
      </c>
      <c r="B14" s="29">
        <v>12541302</v>
      </c>
      <c r="C14" s="29">
        <v>6640662</v>
      </c>
      <c r="D14" s="29">
        <v>5900640</v>
      </c>
      <c r="E14" s="28">
        <v>889</v>
      </c>
    </row>
    <row r="15" spans="1:5" x14ac:dyDescent="0.35">
      <c r="A15" s="28" t="s">
        <v>153</v>
      </c>
      <c r="B15" s="29">
        <v>32988134</v>
      </c>
      <c r="C15" s="29">
        <v>16930315</v>
      </c>
      <c r="D15" s="29">
        <v>16057819</v>
      </c>
      <c r="E15" s="28">
        <v>948</v>
      </c>
    </row>
    <row r="16" spans="1:5" x14ac:dyDescent="0.35">
      <c r="A16" s="28" t="s">
        <v>154</v>
      </c>
      <c r="B16" s="29">
        <v>61095297</v>
      </c>
      <c r="C16" s="29">
        <v>30966657</v>
      </c>
      <c r="D16" s="29">
        <v>30128640</v>
      </c>
      <c r="E16" s="28">
        <v>973</v>
      </c>
    </row>
    <row r="17" spans="1:5" x14ac:dyDescent="0.35">
      <c r="A17" s="28" t="s">
        <v>155</v>
      </c>
      <c r="B17" s="29">
        <v>33406061</v>
      </c>
      <c r="C17" s="29">
        <v>16027412</v>
      </c>
      <c r="D17" s="29">
        <v>17378649</v>
      </c>
      <c r="E17" s="29">
        <v>1084</v>
      </c>
    </row>
    <row r="18" spans="1:5" x14ac:dyDescent="0.35">
      <c r="A18" s="28" t="s">
        <v>156</v>
      </c>
      <c r="B18" s="29">
        <v>64473</v>
      </c>
      <c r="C18" s="29">
        <v>33123</v>
      </c>
      <c r="D18" s="29">
        <v>31350</v>
      </c>
      <c r="E18" s="28">
        <v>947</v>
      </c>
    </row>
    <row r="19" spans="1:5" x14ac:dyDescent="0.35">
      <c r="A19" s="28" t="s">
        <v>157</v>
      </c>
      <c r="B19" s="29">
        <v>72626809</v>
      </c>
      <c r="C19" s="29">
        <v>37612306</v>
      </c>
      <c r="D19" s="29">
        <v>35014503</v>
      </c>
      <c r="E19" s="28">
        <v>931</v>
      </c>
    </row>
    <row r="20" spans="1:5" x14ac:dyDescent="0.35">
      <c r="A20" s="28" t="s">
        <v>158</v>
      </c>
      <c r="B20" s="29">
        <v>112374333</v>
      </c>
      <c r="C20" s="29">
        <v>58243056</v>
      </c>
      <c r="D20" s="29">
        <v>54131277</v>
      </c>
      <c r="E20" s="28">
        <v>931</v>
      </c>
    </row>
    <row r="21" spans="1:5" x14ac:dyDescent="0.35">
      <c r="A21" s="28" t="s">
        <v>159</v>
      </c>
      <c r="B21" s="29">
        <v>2570390</v>
      </c>
      <c r="C21" s="29">
        <v>1290171</v>
      </c>
      <c r="D21" s="29">
        <v>1280219</v>
      </c>
      <c r="E21" s="28">
        <v>992</v>
      </c>
    </row>
    <row r="22" spans="1:5" x14ac:dyDescent="0.35">
      <c r="A22" s="28" t="s">
        <v>160</v>
      </c>
      <c r="B22" s="29">
        <v>2966889</v>
      </c>
      <c r="C22" s="29">
        <v>1491832</v>
      </c>
      <c r="D22" s="29">
        <v>1475057</v>
      </c>
      <c r="E22" s="28">
        <v>989</v>
      </c>
    </row>
    <row r="23" spans="1:5" x14ac:dyDescent="0.35">
      <c r="A23" s="28" t="s">
        <v>161</v>
      </c>
      <c r="B23" s="29">
        <v>1097206</v>
      </c>
      <c r="C23" s="29">
        <v>555339</v>
      </c>
      <c r="D23" s="29">
        <v>541867</v>
      </c>
      <c r="E23" s="28">
        <v>976</v>
      </c>
    </row>
    <row r="24" spans="1:5" x14ac:dyDescent="0.35">
      <c r="A24" s="28" t="s">
        <v>162</v>
      </c>
      <c r="B24" s="29">
        <v>1978502</v>
      </c>
      <c r="C24" s="29">
        <v>1024649</v>
      </c>
      <c r="D24" s="29">
        <v>953853</v>
      </c>
      <c r="E24" s="28">
        <v>931</v>
      </c>
    </row>
    <row r="25" spans="1:5" x14ac:dyDescent="0.35">
      <c r="A25" s="28" t="s">
        <v>163</v>
      </c>
      <c r="B25" s="29">
        <v>41974218</v>
      </c>
      <c r="C25" s="29">
        <v>21212136</v>
      </c>
      <c r="D25" s="29">
        <v>20762082</v>
      </c>
      <c r="E25" s="28">
        <v>979</v>
      </c>
    </row>
    <row r="26" spans="1:5" x14ac:dyDescent="0.35">
      <c r="A26" s="28" t="s">
        <v>164</v>
      </c>
      <c r="B26" s="29">
        <v>27743338</v>
      </c>
      <c r="C26" s="29">
        <v>14639465</v>
      </c>
      <c r="D26" s="29">
        <v>13103873</v>
      </c>
      <c r="E26" s="28">
        <v>895</v>
      </c>
    </row>
    <row r="27" spans="1:5" x14ac:dyDescent="0.35">
      <c r="A27" s="28" t="s">
        <v>165</v>
      </c>
      <c r="B27" s="29">
        <v>68548437</v>
      </c>
      <c r="C27" s="29">
        <v>35550997</v>
      </c>
      <c r="D27" s="29">
        <v>32997440</v>
      </c>
      <c r="E27" s="28">
        <v>928</v>
      </c>
    </row>
    <row r="28" spans="1:5" x14ac:dyDescent="0.35">
      <c r="A28" s="28" t="s">
        <v>166</v>
      </c>
      <c r="B28" s="29">
        <v>610577</v>
      </c>
      <c r="C28" s="29">
        <v>323070</v>
      </c>
      <c r="D28" s="29">
        <v>287507</v>
      </c>
      <c r="E28" s="28">
        <v>890</v>
      </c>
    </row>
    <row r="29" spans="1:5" x14ac:dyDescent="0.35">
      <c r="A29" s="28" t="s">
        <v>167</v>
      </c>
      <c r="B29" s="29">
        <v>72147030</v>
      </c>
      <c r="C29" s="29">
        <v>36137975</v>
      </c>
      <c r="D29" s="29">
        <v>36009055</v>
      </c>
      <c r="E29" s="28">
        <v>996</v>
      </c>
    </row>
    <row r="30" spans="1:5" x14ac:dyDescent="0.35">
      <c r="A30" s="28" t="s">
        <v>168</v>
      </c>
      <c r="B30" s="29">
        <v>35193978</v>
      </c>
      <c r="C30" s="29">
        <v>17611633</v>
      </c>
      <c r="D30" s="29">
        <v>17582345</v>
      </c>
      <c r="E30" s="28">
        <v>998</v>
      </c>
    </row>
    <row r="31" spans="1:5" x14ac:dyDescent="0.35">
      <c r="A31" s="28" t="s">
        <v>169</v>
      </c>
      <c r="B31" s="29">
        <v>3673917</v>
      </c>
      <c r="C31" s="29">
        <v>1874376</v>
      </c>
      <c r="D31" s="29">
        <v>1799541</v>
      </c>
      <c r="E31" s="28">
        <v>960</v>
      </c>
    </row>
    <row r="32" spans="1:5" x14ac:dyDescent="0.35">
      <c r="A32" s="28" t="s">
        <v>170</v>
      </c>
      <c r="B32" s="29">
        <v>199812341</v>
      </c>
      <c r="C32" s="29">
        <v>104596415</v>
      </c>
      <c r="D32" s="29">
        <v>95215926</v>
      </c>
      <c r="E32" s="28">
        <v>912</v>
      </c>
    </row>
    <row r="33" spans="1:14" x14ac:dyDescent="0.35">
      <c r="A33" s="28" t="s">
        <v>171</v>
      </c>
      <c r="B33" s="29">
        <v>10086292</v>
      </c>
      <c r="C33" s="29">
        <v>5137773</v>
      </c>
      <c r="D33" s="29">
        <v>4948519</v>
      </c>
      <c r="E33" s="28">
        <v>963</v>
      </c>
    </row>
    <row r="34" spans="1:14" x14ac:dyDescent="0.35">
      <c r="A34" s="28" t="s">
        <v>172</v>
      </c>
      <c r="B34" s="29">
        <v>91276115</v>
      </c>
      <c r="C34" s="29">
        <v>46809027</v>
      </c>
      <c r="D34" s="29">
        <v>44467088</v>
      </c>
      <c r="E34" s="28">
        <v>950</v>
      </c>
    </row>
    <row r="37" spans="1:14" x14ac:dyDescent="0.35">
      <c r="A37" s="78" t="s">
        <v>173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80"/>
      <c r="N37" s="23">
        <f>SUM(B2:B34)</f>
        <v>1208264978</v>
      </c>
    </row>
    <row r="38" spans="1:14" x14ac:dyDescent="0.35">
      <c r="A38" s="72" t="s">
        <v>174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4"/>
      <c r="N38">
        <f>COUNTA(A2:A34)</f>
        <v>33</v>
      </c>
    </row>
    <row r="39" spans="1:14" x14ac:dyDescent="0.35">
      <c r="A39" s="72" t="s">
        <v>175</v>
      </c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4"/>
      <c r="N39" s="23">
        <f>AVERAGE(B2:B34)</f>
        <v>36614090.242424242</v>
      </c>
    </row>
    <row r="40" spans="1:14" x14ac:dyDescent="0.35">
      <c r="A40" s="72" t="s">
        <v>176</v>
      </c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4"/>
      <c r="N40">
        <f>SUMIF(E2:E34,"&gt;950",B2:B34)</f>
        <v>378671998</v>
      </c>
    </row>
    <row r="41" spans="1:14" x14ac:dyDescent="0.35">
      <c r="A41" s="72" t="s">
        <v>177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4"/>
      <c r="N41">
        <f>COUNTIF(B2:B34,"&gt;50000000")</f>
        <v>9</v>
      </c>
    </row>
    <row r="42" spans="1:14" x14ac:dyDescent="0.35">
      <c r="A42" s="72" t="s">
        <v>178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4"/>
      <c r="N42">
        <f>AVERAGEIF(E2:E34,"&gt;950",B2:B34)</f>
        <v>25244799.866666667</v>
      </c>
    </row>
    <row r="43" spans="1:14" x14ac:dyDescent="0.35">
      <c r="A43" s="72" t="s">
        <v>179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4"/>
      <c r="N43">
        <f>SUMIFS(B2:B34,E2:E34,"&gt;950",B2:B34,"&lt;50000000")</f>
        <v>245429671</v>
      </c>
    </row>
    <row r="44" spans="1:14" x14ac:dyDescent="0.35">
      <c r="A44" s="72" t="s">
        <v>180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4"/>
      <c r="N44">
        <f>COUNTIFS(C2:C34,"&gt;20000000",D2:D34,"&gt;20000000")</f>
        <v>11</v>
      </c>
    </row>
    <row r="45" spans="1:14" x14ac:dyDescent="0.35">
      <c r="A45" s="72" t="s">
        <v>181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4"/>
      <c r="N45">
        <f>AVERAGEIFS(B2:B34,C2:C34,"&gt;10000000",E2:E34,"&lt;950")</f>
        <v>78220444.222222224</v>
      </c>
    </row>
    <row r="46" spans="1:14" x14ac:dyDescent="0.35">
      <c r="A46" s="72" t="s">
        <v>182</v>
      </c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4"/>
      <c r="N46">
        <f>MAX(E2:E34)</f>
        <v>1084</v>
      </c>
    </row>
    <row r="47" spans="1:14" x14ac:dyDescent="0.35">
      <c r="A47" s="72" t="s">
        <v>183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4"/>
      <c r="N47">
        <f>MIN(E2:E34)</f>
        <v>700</v>
      </c>
    </row>
    <row r="48" spans="1:14" x14ac:dyDescent="0.35">
      <c r="A48" s="72" t="s">
        <v>184</v>
      </c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4"/>
      <c r="N48">
        <f>COUNTIF(B2:B34,"&lt;60000000")</f>
        <v>24</v>
      </c>
    </row>
    <row r="49" spans="1:14" x14ac:dyDescent="0.35">
      <c r="A49" s="72" t="s">
        <v>185</v>
      </c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4"/>
      <c r="N49">
        <f>(B32/N37)*100</f>
        <v>16.537129242191774</v>
      </c>
    </row>
    <row r="50" spans="1:14" ht="15" thickBot="1" x14ac:dyDescent="0.4">
      <c r="A50" s="75" t="s">
        <v>186</v>
      </c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7"/>
      <c r="N50">
        <f>(SUM(C2:C34)/N37)*100</f>
        <v>51.482175543119979</v>
      </c>
    </row>
    <row r="53" spans="1:14" ht="15" thickBot="1" x14ac:dyDescent="0.4"/>
    <row r="54" spans="1:14" ht="15" thickBot="1" x14ac:dyDescent="0.4">
      <c r="A54" s="81" t="s">
        <v>187</v>
      </c>
      <c r="B54" s="82"/>
      <c r="C54" s="82"/>
      <c r="D54" s="82"/>
      <c r="E54" s="82"/>
      <c r="F54" s="82"/>
      <c r="G54" s="82"/>
      <c r="H54" s="83"/>
      <c r="I54" s="30" t="s">
        <v>188</v>
      </c>
    </row>
    <row r="55" spans="1:14" x14ac:dyDescent="0.35">
      <c r="A55" s="84" t="s">
        <v>189</v>
      </c>
      <c r="B55" s="85"/>
      <c r="C55" s="85"/>
      <c r="D55" s="85"/>
      <c r="E55" s="85"/>
      <c r="F55" s="85"/>
      <c r="G55" s="85"/>
      <c r="H55" s="86"/>
      <c r="I55" s="31" t="s">
        <v>195</v>
      </c>
      <c r="K55">
        <f>VLOOKUP(I55,A2:E34,2,0)</f>
        <v>33406061</v>
      </c>
    </row>
    <row r="56" spans="1:14" x14ac:dyDescent="0.35">
      <c r="A56" s="72" t="s">
        <v>190</v>
      </c>
      <c r="B56" s="73"/>
      <c r="C56" s="73"/>
      <c r="D56" s="73"/>
      <c r="E56" s="73"/>
      <c r="F56" s="73"/>
      <c r="G56" s="73"/>
      <c r="H56" s="74"/>
      <c r="I56" s="32" t="s">
        <v>199</v>
      </c>
      <c r="K56">
        <f>VLOOKUP(I56,A2:E34,3,0)</f>
        <v>58243056</v>
      </c>
    </row>
    <row r="57" spans="1:14" x14ac:dyDescent="0.35">
      <c r="A57" s="72" t="s">
        <v>191</v>
      </c>
      <c r="B57" s="73"/>
      <c r="C57" s="73"/>
      <c r="D57" s="73"/>
      <c r="E57" s="73"/>
      <c r="F57" s="73"/>
      <c r="G57" s="73"/>
      <c r="H57" s="74"/>
      <c r="I57" s="33" t="s">
        <v>196</v>
      </c>
      <c r="K57">
        <f>VLOOKUP(I57,A2:E34,4,0)</f>
        <v>36009055</v>
      </c>
    </row>
    <row r="58" spans="1:14" x14ac:dyDescent="0.35">
      <c r="A58" s="72" t="s">
        <v>192</v>
      </c>
      <c r="B58" s="73"/>
      <c r="C58" s="73"/>
      <c r="D58" s="73"/>
      <c r="E58" s="73"/>
      <c r="F58" s="73"/>
      <c r="G58" s="73"/>
      <c r="H58" s="74"/>
      <c r="I58" s="33" t="s">
        <v>197</v>
      </c>
      <c r="K58">
        <f>VLOOKUP(I58,A2:E34,5,0)</f>
        <v>928</v>
      </c>
    </row>
    <row r="59" spans="1:14" x14ac:dyDescent="0.35">
      <c r="A59" s="72" t="s">
        <v>193</v>
      </c>
      <c r="B59" s="73"/>
      <c r="C59" s="73"/>
      <c r="D59" s="73"/>
      <c r="E59" s="73"/>
      <c r="F59" s="73"/>
      <c r="G59" s="73"/>
      <c r="H59" s="74"/>
      <c r="I59" s="33" t="s">
        <v>198</v>
      </c>
      <c r="K59">
        <f>VLOOKUP(I59,A2:E34,5,0)</f>
        <v>912</v>
      </c>
    </row>
    <row r="60" spans="1:14" x14ac:dyDescent="0.35">
      <c r="A60" s="87"/>
      <c r="B60" s="88"/>
      <c r="C60" s="88"/>
      <c r="D60" s="88"/>
      <c r="E60" s="88"/>
      <c r="F60" s="88"/>
      <c r="G60" s="88"/>
      <c r="H60" s="89"/>
      <c r="I60" s="33"/>
    </row>
    <row r="61" spans="1:14" x14ac:dyDescent="0.35">
      <c r="A61" s="72" t="s">
        <v>194</v>
      </c>
      <c r="B61" s="73"/>
      <c r="C61" s="73"/>
      <c r="D61" s="73"/>
      <c r="E61" s="73"/>
      <c r="F61" s="73"/>
      <c r="G61" s="73"/>
      <c r="H61" s="74"/>
      <c r="I61" s="33"/>
    </row>
    <row r="62" spans="1:14" x14ac:dyDescent="0.35">
      <c r="A62" s="87" t="s">
        <v>155</v>
      </c>
      <c r="B62" s="88"/>
      <c r="C62" s="88"/>
      <c r="D62" s="88"/>
      <c r="E62" s="88"/>
      <c r="F62" s="88"/>
      <c r="G62" s="88"/>
      <c r="H62" s="89"/>
      <c r="I62" s="33" t="s">
        <v>195</v>
      </c>
      <c r="K62">
        <f>VLOOKUP(I62,A2:E34,2,0)</f>
        <v>33406061</v>
      </c>
    </row>
    <row r="63" spans="1:14" ht="15" thickBot="1" x14ac:dyDescent="0.4">
      <c r="A63" s="90" t="s">
        <v>195</v>
      </c>
      <c r="B63" s="91"/>
      <c r="C63" s="91"/>
      <c r="D63" s="91"/>
      <c r="E63" s="91"/>
      <c r="F63" s="91"/>
      <c r="G63" s="91"/>
      <c r="H63" s="92"/>
      <c r="I63" s="34" t="s">
        <v>200</v>
      </c>
      <c r="K63">
        <f>VLOOKUP(I63,A2:E34,2,0)</f>
        <v>33406061</v>
      </c>
    </row>
    <row r="67" spans="1:33" ht="18.5" x14ac:dyDescent="0.45">
      <c r="C67" s="21" t="s">
        <v>201</v>
      </c>
    </row>
    <row r="69" spans="1:33" x14ac:dyDescent="0.35">
      <c r="A69" t="s">
        <v>202</v>
      </c>
      <c r="G69">
        <f>HLOOKUP(E76,A76:AG80,2,0)</f>
        <v>104099452</v>
      </c>
    </row>
    <row r="70" spans="1:33" x14ac:dyDescent="0.35">
      <c r="A70" t="s">
        <v>203</v>
      </c>
      <c r="G70">
        <f>HLOOKUP(L76,A76:AG80,3,0)</f>
        <v>3481873</v>
      </c>
    </row>
    <row r="71" spans="1:33" x14ac:dyDescent="0.35">
      <c r="A71" t="s">
        <v>204</v>
      </c>
      <c r="G71">
        <f>HLOOKUP(H76,A76:AG80,4,0)</f>
        <v>7800615</v>
      </c>
    </row>
    <row r="72" spans="1:33" x14ac:dyDescent="0.35">
      <c r="A72" t="s">
        <v>205</v>
      </c>
      <c r="G72">
        <f>HLOOKUP(C76,A76:AG80,5,0)</f>
        <v>938</v>
      </c>
    </row>
    <row r="73" spans="1:33" x14ac:dyDescent="0.35">
      <c r="A73" t="s">
        <v>206</v>
      </c>
      <c r="G73">
        <f>HLOOKUP(J76,A76:AG80,2,0)</f>
        <v>60439692</v>
      </c>
    </row>
    <row r="76" spans="1:33" ht="72.5" x14ac:dyDescent="0.35">
      <c r="A76" s="28" t="s">
        <v>140</v>
      </c>
      <c r="B76" s="28" t="s">
        <v>141</v>
      </c>
      <c r="C76" s="28" t="s">
        <v>142</v>
      </c>
      <c r="D76" s="28" t="s">
        <v>143</v>
      </c>
      <c r="E76" s="28" t="s">
        <v>144</v>
      </c>
      <c r="F76" s="28" t="s">
        <v>145</v>
      </c>
      <c r="G76" s="28" t="s">
        <v>146</v>
      </c>
      <c r="H76" s="28" t="s">
        <v>147</v>
      </c>
      <c r="I76" s="28" t="s">
        <v>148</v>
      </c>
      <c r="J76" s="28" t="s">
        <v>149</v>
      </c>
      <c r="K76" s="28" t="s">
        <v>150</v>
      </c>
      <c r="L76" s="28" t="s">
        <v>151</v>
      </c>
      <c r="M76" s="28" t="s">
        <v>152</v>
      </c>
      <c r="N76" s="28" t="s">
        <v>153</v>
      </c>
      <c r="O76" s="28" t="s">
        <v>154</v>
      </c>
      <c r="P76" s="28" t="s">
        <v>155</v>
      </c>
      <c r="Q76" s="28" t="s">
        <v>156</v>
      </c>
      <c r="R76" s="28" t="s">
        <v>157</v>
      </c>
      <c r="S76" s="28" t="s">
        <v>158</v>
      </c>
      <c r="T76" s="28" t="s">
        <v>159</v>
      </c>
      <c r="U76" s="28" t="s">
        <v>160</v>
      </c>
      <c r="V76" s="28" t="s">
        <v>161</v>
      </c>
      <c r="W76" s="28" t="s">
        <v>162</v>
      </c>
      <c r="X76" s="28" t="s">
        <v>163</v>
      </c>
      <c r="Y76" s="28" t="s">
        <v>164</v>
      </c>
      <c r="Z76" s="28" t="s">
        <v>165</v>
      </c>
      <c r="AA76" s="28" t="s">
        <v>166</v>
      </c>
      <c r="AB76" s="28" t="s">
        <v>167</v>
      </c>
      <c r="AC76" s="28" t="s">
        <v>168</v>
      </c>
      <c r="AD76" s="28" t="s">
        <v>169</v>
      </c>
      <c r="AE76" s="28" t="s">
        <v>170</v>
      </c>
      <c r="AF76" s="28" t="s">
        <v>171</v>
      </c>
      <c r="AG76" s="28" t="s">
        <v>172</v>
      </c>
    </row>
    <row r="77" spans="1:33" x14ac:dyDescent="0.35">
      <c r="A77" s="29">
        <v>380581</v>
      </c>
      <c r="B77" s="29">
        <v>49386799</v>
      </c>
      <c r="C77" s="29">
        <v>1383727</v>
      </c>
      <c r="D77" s="29">
        <v>31205576</v>
      </c>
      <c r="E77" s="29">
        <v>104099452</v>
      </c>
      <c r="F77" s="29">
        <v>25545198</v>
      </c>
      <c r="G77" s="29">
        <v>585764</v>
      </c>
      <c r="H77" s="29">
        <v>16787941</v>
      </c>
      <c r="I77" s="29">
        <v>1458545</v>
      </c>
      <c r="J77" s="29">
        <v>60439692</v>
      </c>
      <c r="K77" s="29">
        <v>25351462</v>
      </c>
      <c r="L77" s="29">
        <v>6864602</v>
      </c>
      <c r="M77" s="29">
        <v>12541302</v>
      </c>
      <c r="N77" s="29">
        <v>32988134</v>
      </c>
      <c r="O77" s="29">
        <v>61095297</v>
      </c>
      <c r="P77" s="29">
        <v>33406061</v>
      </c>
      <c r="Q77" s="29">
        <v>64473</v>
      </c>
      <c r="R77" s="29">
        <v>72626809</v>
      </c>
      <c r="S77" s="29">
        <v>112374333</v>
      </c>
      <c r="T77" s="29">
        <v>2570390</v>
      </c>
      <c r="U77" s="29">
        <v>2966889</v>
      </c>
      <c r="V77" s="29">
        <v>1097206</v>
      </c>
      <c r="W77" s="29">
        <v>1978502</v>
      </c>
      <c r="X77" s="29">
        <v>41974218</v>
      </c>
      <c r="Y77" s="29">
        <v>27743338</v>
      </c>
      <c r="Z77" s="29">
        <v>68548437</v>
      </c>
      <c r="AA77" s="29">
        <v>610577</v>
      </c>
      <c r="AB77" s="29">
        <v>72147030</v>
      </c>
      <c r="AC77" s="29">
        <v>35193978</v>
      </c>
      <c r="AD77" s="29">
        <v>3673917</v>
      </c>
      <c r="AE77" s="29">
        <v>199812341</v>
      </c>
      <c r="AF77" s="29">
        <v>10086292</v>
      </c>
      <c r="AG77" s="29">
        <v>91276115</v>
      </c>
    </row>
    <row r="78" spans="1:33" x14ac:dyDescent="0.35">
      <c r="A78" s="29">
        <v>202871</v>
      </c>
      <c r="B78" s="29">
        <v>24831408</v>
      </c>
      <c r="C78" s="29">
        <v>713912</v>
      </c>
      <c r="D78" s="29">
        <v>15939443</v>
      </c>
      <c r="E78" s="29">
        <v>54278157</v>
      </c>
      <c r="F78" s="29">
        <v>12827915</v>
      </c>
      <c r="G78" s="29">
        <v>344669</v>
      </c>
      <c r="H78" s="29">
        <v>8987326</v>
      </c>
      <c r="I78" s="29">
        <v>739140</v>
      </c>
      <c r="J78" s="29">
        <v>31491260</v>
      </c>
      <c r="K78" s="29">
        <v>13494734</v>
      </c>
      <c r="L78" s="29">
        <v>3481873</v>
      </c>
      <c r="M78" s="29">
        <v>6640662</v>
      </c>
      <c r="N78" s="29">
        <v>16930315</v>
      </c>
      <c r="O78" s="29">
        <v>30966657</v>
      </c>
      <c r="P78" s="29">
        <v>16027412</v>
      </c>
      <c r="Q78" s="29">
        <v>33123</v>
      </c>
      <c r="R78" s="29">
        <v>37612306</v>
      </c>
      <c r="S78" s="29">
        <v>58243056</v>
      </c>
      <c r="T78" s="29">
        <v>1290171</v>
      </c>
      <c r="U78" s="29">
        <v>1491832</v>
      </c>
      <c r="V78" s="29">
        <v>555339</v>
      </c>
      <c r="W78" s="29">
        <v>1024649</v>
      </c>
      <c r="X78" s="29">
        <v>21212136</v>
      </c>
      <c r="Y78" s="29">
        <v>14639465</v>
      </c>
      <c r="Z78" s="29">
        <v>35550997</v>
      </c>
      <c r="AA78" s="29">
        <v>323070</v>
      </c>
      <c r="AB78" s="29">
        <v>36137975</v>
      </c>
      <c r="AC78" s="29">
        <v>17611633</v>
      </c>
      <c r="AD78" s="29">
        <v>1874376</v>
      </c>
      <c r="AE78" s="29">
        <v>104596415</v>
      </c>
      <c r="AF78" s="29">
        <v>5137773</v>
      </c>
      <c r="AG78" s="29">
        <v>46809027</v>
      </c>
    </row>
    <row r="79" spans="1:33" x14ac:dyDescent="0.35">
      <c r="A79" s="29">
        <v>177710</v>
      </c>
      <c r="B79" s="29">
        <v>24555391</v>
      </c>
      <c r="C79" s="29">
        <v>669815</v>
      </c>
      <c r="D79" s="29">
        <v>15266133</v>
      </c>
      <c r="E79" s="29">
        <v>49821295</v>
      </c>
      <c r="F79" s="29">
        <v>12717283</v>
      </c>
      <c r="G79" s="29">
        <v>241095</v>
      </c>
      <c r="H79" s="29">
        <v>7800615</v>
      </c>
      <c r="I79" s="29">
        <v>719405</v>
      </c>
      <c r="J79" s="29">
        <v>28948432</v>
      </c>
      <c r="K79" s="29">
        <v>11856728</v>
      </c>
      <c r="L79" s="29">
        <v>3382729</v>
      </c>
      <c r="M79" s="29">
        <v>5900640</v>
      </c>
      <c r="N79" s="29">
        <v>16057819</v>
      </c>
      <c r="O79" s="29">
        <v>30128640</v>
      </c>
      <c r="P79" s="29">
        <v>17378649</v>
      </c>
      <c r="Q79" s="29">
        <v>31350</v>
      </c>
      <c r="R79" s="29">
        <v>35014503</v>
      </c>
      <c r="S79" s="29">
        <v>54131277</v>
      </c>
      <c r="T79" s="29">
        <v>1280219</v>
      </c>
      <c r="U79" s="29">
        <v>1475057</v>
      </c>
      <c r="V79" s="29">
        <v>541867</v>
      </c>
      <c r="W79" s="29">
        <v>953853</v>
      </c>
      <c r="X79" s="29">
        <v>20762082</v>
      </c>
      <c r="Y79" s="29">
        <v>13103873</v>
      </c>
      <c r="Z79" s="29">
        <v>32997440</v>
      </c>
      <c r="AA79" s="29">
        <v>287507</v>
      </c>
      <c r="AB79" s="29">
        <v>36009055</v>
      </c>
      <c r="AC79" s="29">
        <v>17582345</v>
      </c>
      <c r="AD79" s="29">
        <v>1799541</v>
      </c>
      <c r="AE79" s="29">
        <v>95215926</v>
      </c>
      <c r="AF79" s="29">
        <v>4948519</v>
      </c>
      <c r="AG79" s="29">
        <v>44467088</v>
      </c>
    </row>
    <row r="80" spans="1:33" x14ac:dyDescent="0.35">
      <c r="A80" s="28">
        <v>876</v>
      </c>
      <c r="B80" s="28">
        <v>989</v>
      </c>
      <c r="C80" s="28">
        <v>938</v>
      </c>
      <c r="D80" s="28">
        <v>958</v>
      </c>
      <c r="E80" s="28">
        <v>919</v>
      </c>
      <c r="F80" s="28">
        <v>992</v>
      </c>
      <c r="G80" s="28">
        <v>700</v>
      </c>
      <c r="H80" s="28">
        <v>868</v>
      </c>
      <c r="I80" s="28">
        <v>973</v>
      </c>
      <c r="J80" s="28">
        <v>920</v>
      </c>
      <c r="K80" s="28">
        <v>879</v>
      </c>
      <c r="L80" s="28">
        <v>972</v>
      </c>
      <c r="M80" s="28">
        <v>889</v>
      </c>
      <c r="N80" s="28">
        <v>948</v>
      </c>
      <c r="O80" s="28">
        <v>973</v>
      </c>
      <c r="P80" s="29">
        <v>1084</v>
      </c>
      <c r="Q80" s="28">
        <v>947</v>
      </c>
      <c r="R80" s="28">
        <v>931</v>
      </c>
      <c r="S80" s="28">
        <v>931</v>
      </c>
      <c r="T80" s="28">
        <v>992</v>
      </c>
      <c r="U80" s="28">
        <v>989</v>
      </c>
      <c r="V80" s="28">
        <v>976</v>
      </c>
      <c r="W80" s="28">
        <v>931</v>
      </c>
      <c r="X80" s="28">
        <v>979</v>
      </c>
      <c r="Y80" s="28">
        <v>895</v>
      </c>
      <c r="Z80" s="28">
        <v>928</v>
      </c>
      <c r="AA80" s="28">
        <v>890</v>
      </c>
      <c r="AB80" s="28">
        <v>996</v>
      </c>
      <c r="AC80" s="28">
        <v>998</v>
      </c>
      <c r="AD80" s="28">
        <v>960</v>
      </c>
      <c r="AE80" s="28">
        <v>912</v>
      </c>
      <c r="AF80" s="28">
        <v>963</v>
      </c>
      <c r="AG80" s="28">
        <v>950</v>
      </c>
    </row>
  </sheetData>
  <mergeCells count="24">
    <mergeCell ref="A59:H59"/>
    <mergeCell ref="A60:H60"/>
    <mergeCell ref="A61:H61"/>
    <mergeCell ref="A62:H62"/>
    <mergeCell ref="A63:H63"/>
    <mergeCell ref="A54:H54"/>
    <mergeCell ref="A55:H55"/>
    <mergeCell ref="A56:H56"/>
    <mergeCell ref="A57:H57"/>
    <mergeCell ref="A58:H58"/>
    <mergeCell ref="A48:L48"/>
    <mergeCell ref="A49:L49"/>
    <mergeCell ref="A50:L50"/>
    <mergeCell ref="A47:L47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6DEE-E7F5-44F0-8D51-0ED1BC3297BD}">
  <dimension ref="A1:E34"/>
  <sheetViews>
    <sheetView topLeftCell="A22" zoomScale="106" workbookViewId="0">
      <selection activeCell="G4" sqref="G4"/>
    </sheetView>
  </sheetViews>
  <sheetFormatPr defaultRowHeight="14.5" x14ac:dyDescent="0.35"/>
  <cols>
    <col min="1" max="1" width="15.1796875" bestFit="1" customWidth="1"/>
    <col min="2" max="3" width="11.54296875" bestFit="1" customWidth="1"/>
    <col min="4" max="4" width="10.54296875" bestFit="1" customWidth="1"/>
    <col min="5" max="5" width="12.453125" customWidth="1"/>
  </cols>
  <sheetData>
    <row r="1" spans="1:5" ht="43.5" x14ac:dyDescent="0.35">
      <c r="A1" s="27" t="s">
        <v>207</v>
      </c>
      <c r="B1" s="27" t="s">
        <v>136</v>
      </c>
      <c r="C1" s="27" t="s">
        <v>137</v>
      </c>
      <c r="D1" s="27" t="s">
        <v>138</v>
      </c>
      <c r="E1" s="27" t="s">
        <v>139</v>
      </c>
    </row>
    <row r="2" spans="1:5" ht="43.5" x14ac:dyDescent="0.35">
      <c r="A2" s="28" t="s">
        <v>140</v>
      </c>
      <c r="B2" s="29">
        <v>380581</v>
      </c>
      <c r="C2" s="29">
        <v>202871</v>
      </c>
      <c r="D2" s="29">
        <v>177710</v>
      </c>
      <c r="E2" s="28">
        <v>876</v>
      </c>
    </row>
    <row r="3" spans="1:5" ht="29" x14ac:dyDescent="0.35">
      <c r="A3" s="28" t="s">
        <v>141</v>
      </c>
      <c r="B3" s="29">
        <v>49386799</v>
      </c>
      <c r="C3" s="29">
        <v>24831408</v>
      </c>
      <c r="D3" s="29">
        <v>24555391</v>
      </c>
      <c r="E3" s="28">
        <v>989</v>
      </c>
    </row>
    <row r="4" spans="1:5" ht="43.5" x14ac:dyDescent="0.35">
      <c r="A4" s="28" t="s">
        <v>142</v>
      </c>
      <c r="B4" s="29">
        <v>1383727</v>
      </c>
      <c r="C4" s="29">
        <v>713912</v>
      </c>
      <c r="D4" s="29">
        <v>669815</v>
      </c>
      <c r="E4" s="28">
        <v>938</v>
      </c>
    </row>
    <row r="5" spans="1:5" x14ac:dyDescent="0.35">
      <c r="A5" s="28" t="s">
        <v>143</v>
      </c>
      <c r="B5" s="29">
        <v>31205576</v>
      </c>
      <c r="C5" s="29">
        <v>15939443</v>
      </c>
      <c r="D5" s="29">
        <v>15266133</v>
      </c>
      <c r="E5" s="28">
        <v>958</v>
      </c>
    </row>
    <row r="6" spans="1:5" x14ac:dyDescent="0.35">
      <c r="A6" s="28" t="s">
        <v>144</v>
      </c>
      <c r="B6" s="29">
        <v>104099452</v>
      </c>
      <c r="C6" s="29">
        <v>54278157</v>
      </c>
      <c r="D6" s="29">
        <v>49821295</v>
      </c>
      <c r="E6" s="28">
        <v>919</v>
      </c>
    </row>
    <row r="7" spans="1:5" ht="29" x14ac:dyDescent="0.35">
      <c r="A7" s="28" t="s">
        <v>145</v>
      </c>
      <c r="B7" s="29">
        <v>25545198</v>
      </c>
      <c r="C7" s="29">
        <v>12827915</v>
      </c>
      <c r="D7" s="29">
        <v>12717283</v>
      </c>
      <c r="E7" s="28">
        <v>992</v>
      </c>
    </row>
    <row r="8" spans="1:5" ht="87" x14ac:dyDescent="0.35">
      <c r="A8" s="28" t="s">
        <v>146</v>
      </c>
      <c r="B8" s="29">
        <v>585764</v>
      </c>
      <c r="C8" s="29">
        <v>344669</v>
      </c>
      <c r="D8" s="29">
        <v>241095</v>
      </c>
      <c r="E8" s="28">
        <v>700</v>
      </c>
    </row>
    <row r="9" spans="1:5" x14ac:dyDescent="0.35">
      <c r="A9" s="28" t="s">
        <v>147</v>
      </c>
      <c r="B9" s="29">
        <v>16787941</v>
      </c>
      <c r="C9" s="29">
        <v>8987326</v>
      </c>
      <c r="D9" s="29">
        <v>7800615</v>
      </c>
      <c r="E9" s="28">
        <v>868</v>
      </c>
    </row>
    <row r="10" spans="1:5" x14ac:dyDescent="0.35">
      <c r="A10" s="28" t="s">
        <v>148</v>
      </c>
      <c r="B10" s="29">
        <v>1458545</v>
      </c>
      <c r="C10" s="29">
        <v>739140</v>
      </c>
      <c r="D10" s="29">
        <v>719405</v>
      </c>
      <c r="E10" s="28">
        <v>973</v>
      </c>
    </row>
    <row r="11" spans="1:5" x14ac:dyDescent="0.35">
      <c r="A11" s="28" t="s">
        <v>149</v>
      </c>
      <c r="B11" s="29">
        <v>60439692</v>
      </c>
      <c r="C11" s="29">
        <v>31491260</v>
      </c>
      <c r="D11" s="29">
        <v>28948432</v>
      </c>
      <c r="E11" s="28">
        <v>920</v>
      </c>
    </row>
    <row r="12" spans="1:5" x14ac:dyDescent="0.35">
      <c r="A12" s="28" t="s">
        <v>150</v>
      </c>
      <c r="B12" s="29">
        <v>25351462</v>
      </c>
      <c r="C12" s="29">
        <v>13494734</v>
      </c>
      <c r="D12" s="29">
        <v>11856728</v>
      </c>
      <c r="E12" s="28">
        <v>879</v>
      </c>
    </row>
    <row r="13" spans="1:5" ht="29" x14ac:dyDescent="0.35">
      <c r="A13" s="28" t="s">
        <v>151</v>
      </c>
      <c r="B13" s="29">
        <v>6864602</v>
      </c>
      <c r="C13" s="29">
        <v>3481873</v>
      </c>
      <c r="D13" s="29">
        <v>3382729</v>
      </c>
      <c r="E13" s="28">
        <v>972</v>
      </c>
    </row>
    <row r="14" spans="1:5" ht="29" x14ac:dyDescent="0.35">
      <c r="A14" s="28" t="s">
        <v>152</v>
      </c>
      <c r="B14" s="29">
        <v>12541302</v>
      </c>
      <c r="C14" s="29">
        <v>6640662</v>
      </c>
      <c r="D14" s="29">
        <v>5900640</v>
      </c>
      <c r="E14" s="28">
        <v>889</v>
      </c>
    </row>
    <row r="15" spans="1:5" x14ac:dyDescent="0.35">
      <c r="A15" s="28" t="s">
        <v>153</v>
      </c>
      <c r="B15" s="29">
        <v>32988134</v>
      </c>
      <c r="C15" s="29">
        <v>16930315</v>
      </c>
      <c r="D15" s="29">
        <v>16057819</v>
      </c>
      <c r="E15" s="28">
        <v>948</v>
      </c>
    </row>
    <row r="16" spans="1:5" x14ac:dyDescent="0.35">
      <c r="A16" s="28" t="s">
        <v>154</v>
      </c>
      <c r="B16" s="29">
        <v>61095297</v>
      </c>
      <c r="C16" s="29">
        <v>30966657</v>
      </c>
      <c r="D16" s="29">
        <v>30128640</v>
      </c>
      <c r="E16" s="28">
        <v>973</v>
      </c>
    </row>
    <row r="17" spans="1:5" x14ac:dyDescent="0.35">
      <c r="A17" s="28" t="s">
        <v>155</v>
      </c>
      <c r="B17" s="29">
        <v>33406061</v>
      </c>
      <c r="C17" s="29">
        <v>16027412</v>
      </c>
      <c r="D17" s="29">
        <v>17378649</v>
      </c>
      <c r="E17" s="29">
        <v>1084</v>
      </c>
    </row>
    <row r="18" spans="1:5" x14ac:dyDescent="0.35">
      <c r="A18" s="28" t="s">
        <v>156</v>
      </c>
      <c r="B18" s="29">
        <v>64473</v>
      </c>
      <c r="C18" s="29">
        <v>33123</v>
      </c>
      <c r="D18" s="29">
        <v>31350</v>
      </c>
      <c r="E18" s="28">
        <v>947</v>
      </c>
    </row>
    <row r="19" spans="1:5" x14ac:dyDescent="0.35">
      <c r="A19" s="28" t="s">
        <v>157</v>
      </c>
      <c r="B19" s="29">
        <v>72626809</v>
      </c>
      <c r="C19" s="29">
        <v>37612306</v>
      </c>
      <c r="D19" s="29">
        <v>35014503</v>
      </c>
      <c r="E19" s="28">
        <v>931</v>
      </c>
    </row>
    <row r="20" spans="1:5" x14ac:dyDescent="0.35">
      <c r="A20" s="28" t="s">
        <v>158</v>
      </c>
      <c r="B20" s="29">
        <v>112374333</v>
      </c>
      <c r="C20" s="29">
        <v>58243056</v>
      </c>
      <c r="D20" s="29">
        <v>54131277</v>
      </c>
      <c r="E20" s="28">
        <v>931</v>
      </c>
    </row>
    <row r="21" spans="1:5" x14ac:dyDescent="0.35">
      <c r="A21" s="28" t="s">
        <v>159</v>
      </c>
      <c r="B21" s="29">
        <v>2570390</v>
      </c>
      <c r="C21" s="29">
        <v>1290171</v>
      </c>
      <c r="D21" s="29">
        <v>1280219</v>
      </c>
      <c r="E21" s="28">
        <v>992</v>
      </c>
    </row>
    <row r="22" spans="1:5" x14ac:dyDescent="0.35">
      <c r="A22" s="28" t="s">
        <v>160</v>
      </c>
      <c r="B22" s="29">
        <v>2966889</v>
      </c>
      <c r="C22" s="29">
        <v>1491832</v>
      </c>
      <c r="D22" s="29">
        <v>1475057</v>
      </c>
      <c r="E22" s="28">
        <v>989</v>
      </c>
    </row>
    <row r="23" spans="1:5" x14ac:dyDescent="0.35">
      <c r="A23" s="28" t="s">
        <v>161</v>
      </c>
      <c r="B23" s="29">
        <v>1097206</v>
      </c>
      <c r="C23" s="29">
        <v>555339</v>
      </c>
      <c r="D23" s="29">
        <v>541867</v>
      </c>
      <c r="E23" s="28">
        <v>976</v>
      </c>
    </row>
    <row r="24" spans="1:5" x14ac:dyDescent="0.35">
      <c r="A24" s="28" t="s">
        <v>162</v>
      </c>
      <c r="B24" s="29">
        <v>1978502</v>
      </c>
      <c r="C24" s="29">
        <v>1024649</v>
      </c>
      <c r="D24" s="29">
        <v>953853</v>
      </c>
      <c r="E24" s="28">
        <v>931</v>
      </c>
    </row>
    <row r="25" spans="1:5" x14ac:dyDescent="0.35">
      <c r="A25" s="28" t="s">
        <v>163</v>
      </c>
      <c r="B25" s="29">
        <v>41974218</v>
      </c>
      <c r="C25" s="29">
        <v>21212136</v>
      </c>
      <c r="D25" s="29">
        <v>20762082</v>
      </c>
      <c r="E25" s="28">
        <v>979</v>
      </c>
    </row>
    <row r="26" spans="1:5" x14ac:dyDescent="0.35">
      <c r="A26" s="28" t="s">
        <v>164</v>
      </c>
      <c r="B26" s="29">
        <v>27743338</v>
      </c>
      <c r="C26" s="29">
        <v>14639465</v>
      </c>
      <c r="D26" s="29">
        <v>13103873</v>
      </c>
      <c r="E26" s="28">
        <v>895</v>
      </c>
    </row>
    <row r="27" spans="1:5" x14ac:dyDescent="0.35">
      <c r="A27" s="28" t="s">
        <v>165</v>
      </c>
      <c r="B27" s="29">
        <v>68548437</v>
      </c>
      <c r="C27" s="29">
        <v>35550997</v>
      </c>
      <c r="D27" s="29">
        <v>32997440</v>
      </c>
      <c r="E27" s="28">
        <v>928</v>
      </c>
    </row>
    <row r="28" spans="1:5" x14ac:dyDescent="0.35">
      <c r="A28" s="28" t="s">
        <v>166</v>
      </c>
      <c r="B28" s="29">
        <v>610577</v>
      </c>
      <c r="C28" s="29">
        <v>323070</v>
      </c>
      <c r="D28" s="29">
        <v>287507</v>
      </c>
      <c r="E28" s="28">
        <v>890</v>
      </c>
    </row>
    <row r="29" spans="1:5" x14ac:dyDescent="0.35">
      <c r="A29" s="28" t="s">
        <v>167</v>
      </c>
      <c r="B29" s="29">
        <v>72147030</v>
      </c>
      <c r="C29" s="29">
        <v>36137975</v>
      </c>
      <c r="D29" s="29">
        <v>36009055</v>
      </c>
      <c r="E29" s="28">
        <v>996</v>
      </c>
    </row>
    <row r="30" spans="1:5" x14ac:dyDescent="0.35">
      <c r="A30" s="28" t="s">
        <v>168</v>
      </c>
      <c r="B30" s="29">
        <v>35193978</v>
      </c>
      <c r="C30" s="29">
        <v>17611633</v>
      </c>
      <c r="D30" s="29">
        <v>17582345</v>
      </c>
      <c r="E30" s="28">
        <v>998</v>
      </c>
    </row>
    <row r="31" spans="1:5" x14ac:dyDescent="0.35">
      <c r="A31" s="28" t="s">
        <v>169</v>
      </c>
      <c r="B31" s="29">
        <v>3673917</v>
      </c>
      <c r="C31" s="29">
        <v>1874376</v>
      </c>
      <c r="D31" s="29">
        <v>1799541</v>
      </c>
      <c r="E31" s="28">
        <v>960</v>
      </c>
    </row>
    <row r="32" spans="1:5" x14ac:dyDescent="0.35">
      <c r="A32" s="28" t="s">
        <v>170</v>
      </c>
      <c r="B32" s="29">
        <v>199812341</v>
      </c>
      <c r="C32" s="29">
        <v>104596415</v>
      </c>
      <c r="D32" s="29">
        <v>95215926</v>
      </c>
      <c r="E32" s="28">
        <v>912</v>
      </c>
    </row>
    <row r="33" spans="1:5" x14ac:dyDescent="0.35">
      <c r="A33" s="28" t="s">
        <v>171</v>
      </c>
      <c r="B33" s="29">
        <v>10086292</v>
      </c>
      <c r="C33" s="29">
        <v>5137773</v>
      </c>
      <c r="D33" s="29">
        <v>4948519</v>
      </c>
      <c r="E33" s="28">
        <v>963</v>
      </c>
    </row>
    <row r="34" spans="1:5" x14ac:dyDescent="0.35">
      <c r="A34" s="28" t="s">
        <v>172</v>
      </c>
      <c r="B34" s="29">
        <v>91276115</v>
      </c>
      <c r="C34" s="29">
        <v>46809027</v>
      </c>
      <c r="D34" s="29">
        <v>44467088</v>
      </c>
      <c r="E34" s="28">
        <v>950</v>
      </c>
    </row>
  </sheetData>
  <conditionalFormatting sqref="B1:B3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:C34">
    <cfRule type="top10" dxfId="2" priority="1" rank="10"/>
  </conditionalFormatting>
  <conditionalFormatting sqref="E1:E34">
    <cfRule type="cellIs" dxfId="1" priority="4" operator="lessThan">
      <formula>950</formula>
    </cfRule>
  </conditionalFormatting>
  <conditionalFormatting sqref="L28">
    <cfRule type="cellIs" dxfId="0" priority="3" operator="equal">
      <formula>960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E342-937A-4DC6-8774-A6C6A033C06B}">
  <dimension ref="A1:S76"/>
  <sheetViews>
    <sheetView topLeftCell="A48" workbookViewId="0">
      <selection activeCell="J49" sqref="J49"/>
    </sheetView>
  </sheetViews>
  <sheetFormatPr defaultRowHeight="14.5" x14ac:dyDescent="0.35"/>
  <cols>
    <col min="3" max="3" width="13.08984375" customWidth="1"/>
    <col min="6" max="6" width="9.90625" customWidth="1"/>
    <col min="8" max="8" width="13" customWidth="1"/>
    <col min="9" max="9" width="9" customWidth="1"/>
    <col min="10" max="10" width="10.08984375" bestFit="1" customWidth="1"/>
  </cols>
  <sheetData>
    <row r="1" spans="1:9" x14ac:dyDescent="0.35">
      <c r="A1" s="27" t="s">
        <v>208</v>
      </c>
      <c r="B1" s="27" t="s">
        <v>209</v>
      </c>
      <c r="C1" s="27" t="s">
        <v>210</v>
      </c>
      <c r="D1" s="27" t="s">
        <v>211</v>
      </c>
      <c r="E1" s="27" t="s">
        <v>212</v>
      </c>
      <c r="F1" s="27" t="s">
        <v>213</v>
      </c>
      <c r="G1" s="27" t="s">
        <v>214</v>
      </c>
      <c r="H1" s="27" t="s">
        <v>215</v>
      </c>
      <c r="I1" s="27" t="s">
        <v>216</v>
      </c>
    </row>
    <row r="2" spans="1:9" x14ac:dyDescent="0.35">
      <c r="A2" s="28">
        <v>1001</v>
      </c>
      <c r="B2" s="28" t="s">
        <v>217</v>
      </c>
      <c r="C2" s="28" t="s">
        <v>218</v>
      </c>
      <c r="D2" s="28">
        <v>5000</v>
      </c>
      <c r="E2" s="28">
        <v>29</v>
      </c>
      <c r="F2" s="28" t="s">
        <v>219</v>
      </c>
      <c r="G2" s="28">
        <v>500</v>
      </c>
      <c r="H2" s="37">
        <v>43435</v>
      </c>
      <c r="I2" s="28" t="s">
        <v>220</v>
      </c>
    </row>
    <row r="3" spans="1:9" ht="29" x14ac:dyDescent="0.35">
      <c r="A3" s="28">
        <v>1002</v>
      </c>
      <c r="B3" s="28" t="s">
        <v>221</v>
      </c>
      <c r="C3" s="28" t="s">
        <v>222</v>
      </c>
      <c r="D3" s="28">
        <v>4500</v>
      </c>
      <c r="E3" s="28">
        <v>35</v>
      </c>
      <c r="F3" s="28" t="s">
        <v>223</v>
      </c>
      <c r="G3" s="28">
        <v>300</v>
      </c>
      <c r="H3" s="37">
        <v>43628</v>
      </c>
      <c r="I3" s="28" t="s">
        <v>224</v>
      </c>
    </row>
    <row r="4" spans="1:9" ht="29" x14ac:dyDescent="0.35">
      <c r="A4" s="28">
        <v>1003</v>
      </c>
      <c r="B4" s="28" t="s">
        <v>225</v>
      </c>
      <c r="C4" s="28" t="s">
        <v>226</v>
      </c>
      <c r="D4" s="28">
        <v>6000</v>
      </c>
      <c r="E4" s="28">
        <v>40</v>
      </c>
      <c r="F4" s="28" t="s">
        <v>227</v>
      </c>
      <c r="G4" s="28">
        <v>700</v>
      </c>
      <c r="H4" s="28" t="s">
        <v>228</v>
      </c>
      <c r="I4" s="28" t="s">
        <v>220</v>
      </c>
    </row>
    <row r="5" spans="1:9" x14ac:dyDescent="0.35">
      <c r="A5" s="28">
        <v>1004</v>
      </c>
      <c r="B5" s="28" t="s">
        <v>229</v>
      </c>
      <c r="C5" s="28" t="s">
        <v>218</v>
      </c>
      <c r="D5" s="28">
        <v>5200</v>
      </c>
      <c r="E5" s="28">
        <v>28</v>
      </c>
      <c r="F5" s="28" t="s">
        <v>219</v>
      </c>
      <c r="G5" s="28">
        <v>450</v>
      </c>
      <c r="H5" s="37">
        <v>43745</v>
      </c>
      <c r="I5" s="28" t="s">
        <v>224</v>
      </c>
    </row>
    <row r="6" spans="1:9" ht="29" x14ac:dyDescent="0.35">
      <c r="A6" s="28">
        <v>1005</v>
      </c>
      <c r="B6" s="28" t="s">
        <v>230</v>
      </c>
      <c r="C6" s="28" t="s">
        <v>231</v>
      </c>
      <c r="D6" s="28">
        <v>5500</v>
      </c>
      <c r="E6" s="28">
        <v>32</v>
      </c>
      <c r="F6" s="28" t="s">
        <v>223</v>
      </c>
      <c r="G6" s="28">
        <v>400</v>
      </c>
      <c r="H6" s="28" t="s">
        <v>232</v>
      </c>
      <c r="I6" s="28" t="s">
        <v>220</v>
      </c>
    </row>
    <row r="7" spans="1:9" ht="29" x14ac:dyDescent="0.35">
      <c r="A7" s="28">
        <v>1006</v>
      </c>
      <c r="B7" s="28" t="s">
        <v>233</v>
      </c>
      <c r="C7" s="28" t="s">
        <v>222</v>
      </c>
      <c r="D7" s="28">
        <v>4800</v>
      </c>
      <c r="E7" s="28">
        <v>31</v>
      </c>
      <c r="F7" s="28" t="s">
        <v>219</v>
      </c>
      <c r="G7" s="28">
        <v>350</v>
      </c>
      <c r="H7" s="28" t="s">
        <v>234</v>
      </c>
      <c r="I7" s="28" t="s">
        <v>224</v>
      </c>
    </row>
    <row r="8" spans="1:9" ht="29" x14ac:dyDescent="0.35">
      <c r="A8" s="28">
        <v>1007</v>
      </c>
      <c r="B8" s="28" t="s">
        <v>235</v>
      </c>
      <c r="C8" s="28" t="s">
        <v>226</v>
      </c>
      <c r="D8" s="28">
        <v>6300</v>
      </c>
      <c r="E8" s="28">
        <v>38</v>
      </c>
      <c r="F8" s="28" t="s">
        <v>227</v>
      </c>
      <c r="G8" s="28">
        <v>800</v>
      </c>
      <c r="H8" s="28" t="s">
        <v>236</v>
      </c>
      <c r="I8" s="28" t="s">
        <v>220</v>
      </c>
    </row>
    <row r="9" spans="1:9" x14ac:dyDescent="0.35">
      <c r="A9" s="28">
        <v>1008</v>
      </c>
      <c r="B9" s="28" t="s">
        <v>237</v>
      </c>
      <c r="C9" s="28" t="s">
        <v>218</v>
      </c>
      <c r="D9" s="28">
        <v>5000</v>
      </c>
      <c r="E9" s="28">
        <v>30</v>
      </c>
      <c r="F9" s="28" t="s">
        <v>223</v>
      </c>
      <c r="G9" s="28">
        <v>500</v>
      </c>
      <c r="H9" s="37">
        <v>43841</v>
      </c>
      <c r="I9" s="28" t="s">
        <v>224</v>
      </c>
    </row>
    <row r="10" spans="1:9" ht="29" x14ac:dyDescent="0.35">
      <c r="A10" s="28">
        <v>1009</v>
      </c>
      <c r="B10" s="28" t="s">
        <v>238</v>
      </c>
      <c r="C10" s="28" t="s">
        <v>231</v>
      </c>
      <c r="D10" s="28">
        <v>5700</v>
      </c>
      <c r="E10" s="28">
        <v>34</v>
      </c>
      <c r="F10" s="28" t="s">
        <v>219</v>
      </c>
      <c r="G10" s="28">
        <v>600</v>
      </c>
      <c r="H10" s="28" t="s">
        <v>239</v>
      </c>
      <c r="I10" s="28" t="s">
        <v>220</v>
      </c>
    </row>
    <row r="11" spans="1:9" ht="29" x14ac:dyDescent="0.35">
      <c r="A11" s="28">
        <v>1010</v>
      </c>
      <c r="B11" s="28" t="s">
        <v>240</v>
      </c>
      <c r="C11" s="28" t="s">
        <v>222</v>
      </c>
      <c r="D11" s="28">
        <v>4900</v>
      </c>
      <c r="E11" s="28">
        <v>27</v>
      </c>
      <c r="F11" s="28" t="s">
        <v>227</v>
      </c>
      <c r="G11" s="28">
        <v>300</v>
      </c>
      <c r="H11" s="28" t="s">
        <v>241</v>
      </c>
      <c r="I11" s="28" t="s">
        <v>224</v>
      </c>
    </row>
    <row r="12" spans="1:9" ht="29" x14ac:dyDescent="0.35">
      <c r="A12" s="28">
        <v>1011</v>
      </c>
      <c r="B12" s="28" t="s">
        <v>242</v>
      </c>
      <c r="C12" s="28" t="s">
        <v>226</v>
      </c>
      <c r="D12" s="28">
        <v>6200</v>
      </c>
      <c r="E12" s="28">
        <v>42</v>
      </c>
      <c r="F12" s="28" t="s">
        <v>223</v>
      </c>
      <c r="G12" s="28">
        <v>700</v>
      </c>
      <c r="H12" s="28" t="s">
        <v>243</v>
      </c>
      <c r="I12" s="28" t="s">
        <v>220</v>
      </c>
    </row>
    <row r="13" spans="1:9" x14ac:dyDescent="0.35">
      <c r="A13" s="28">
        <v>1012</v>
      </c>
      <c r="B13" s="28" t="s">
        <v>244</v>
      </c>
      <c r="C13" s="28" t="s">
        <v>231</v>
      </c>
      <c r="D13" s="28">
        <v>5400</v>
      </c>
      <c r="E13" s="28">
        <v>33</v>
      </c>
      <c r="F13" s="28" t="s">
        <v>219</v>
      </c>
      <c r="G13" s="28">
        <v>400</v>
      </c>
      <c r="H13" s="37">
        <v>43716</v>
      </c>
      <c r="I13" s="28" t="s">
        <v>224</v>
      </c>
    </row>
    <row r="14" spans="1:9" ht="29" x14ac:dyDescent="0.35">
      <c r="A14" s="28">
        <v>1013</v>
      </c>
      <c r="B14" s="28" t="s">
        <v>245</v>
      </c>
      <c r="C14" s="28" t="s">
        <v>222</v>
      </c>
      <c r="D14" s="28">
        <v>4700</v>
      </c>
      <c r="E14" s="28">
        <v>30</v>
      </c>
      <c r="F14" s="28" t="s">
        <v>227</v>
      </c>
      <c r="G14" s="28">
        <v>250</v>
      </c>
      <c r="H14" s="28" t="s">
        <v>246</v>
      </c>
      <c r="I14" s="28" t="s">
        <v>220</v>
      </c>
    </row>
    <row r="15" spans="1:9" x14ac:dyDescent="0.35">
      <c r="A15" s="28">
        <v>1014</v>
      </c>
      <c r="B15" s="28" t="s">
        <v>247</v>
      </c>
      <c r="C15" s="28" t="s">
        <v>218</v>
      </c>
      <c r="D15" s="28">
        <v>5300</v>
      </c>
      <c r="E15" s="28">
        <v>32</v>
      </c>
      <c r="F15" s="28" t="s">
        <v>223</v>
      </c>
      <c r="G15" s="28">
        <v>550</v>
      </c>
      <c r="H15" s="28" t="s">
        <v>248</v>
      </c>
      <c r="I15" s="28" t="s">
        <v>224</v>
      </c>
    </row>
    <row r="16" spans="1:9" ht="29" x14ac:dyDescent="0.35">
      <c r="A16" s="28">
        <v>1015</v>
      </c>
      <c r="B16" s="28" t="s">
        <v>249</v>
      </c>
      <c r="C16" s="28" t="s">
        <v>231</v>
      </c>
      <c r="D16" s="28">
        <v>5600</v>
      </c>
      <c r="E16" s="28">
        <v>36</v>
      </c>
      <c r="F16" s="28" t="s">
        <v>227</v>
      </c>
      <c r="G16" s="28">
        <v>450</v>
      </c>
      <c r="H16" s="37">
        <v>44384</v>
      </c>
      <c r="I16" s="28" t="s">
        <v>220</v>
      </c>
    </row>
    <row r="17" spans="1:10" x14ac:dyDescent="0.35">
      <c r="A17" s="28">
        <v>1016</v>
      </c>
      <c r="B17" s="28" t="s">
        <v>250</v>
      </c>
      <c r="C17" s="28" t="s">
        <v>222</v>
      </c>
      <c r="D17" s="28">
        <v>4600</v>
      </c>
      <c r="E17" s="28">
        <v>33</v>
      </c>
      <c r="F17" s="28" t="s">
        <v>219</v>
      </c>
      <c r="G17" s="28">
        <v>300</v>
      </c>
      <c r="H17" s="37">
        <v>43681</v>
      </c>
      <c r="I17" s="28" t="s">
        <v>224</v>
      </c>
    </row>
    <row r="18" spans="1:10" x14ac:dyDescent="0.35">
      <c r="A18" s="28">
        <v>1017</v>
      </c>
      <c r="B18" s="28" t="s">
        <v>251</v>
      </c>
      <c r="C18" s="28" t="s">
        <v>226</v>
      </c>
      <c r="D18" s="28">
        <v>6100</v>
      </c>
      <c r="E18" s="28">
        <v>41</v>
      </c>
      <c r="F18" s="28" t="s">
        <v>223</v>
      </c>
      <c r="G18" s="28">
        <v>650</v>
      </c>
      <c r="H18" s="37">
        <v>43863</v>
      </c>
      <c r="I18" s="28" t="s">
        <v>220</v>
      </c>
    </row>
    <row r="19" spans="1:10" ht="29" x14ac:dyDescent="0.35">
      <c r="A19" s="28">
        <v>1018</v>
      </c>
      <c r="B19" s="28" t="s">
        <v>252</v>
      </c>
      <c r="C19" s="28" t="s">
        <v>218</v>
      </c>
      <c r="D19" s="28">
        <v>4900</v>
      </c>
      <c r="E19" s="28">
        <v>28</v>
      </c>
      <c r="F19" s="28" t="s">
        <v>227</v>
      </c>
      <c r="G19" s="28">
        <v>450</v>
      </c>
      <c r="H19" s="28" t="s">
        <v>253</v>
      </c>
      <c r="I19" s="28" t="s">
        <v>224</v>
      </c>
    </row>
    <row r="20" spans="1:10" x14ac:dyDescent="0.35">
      <c r="A20" s="28">
        <v>1019</v>
      </c>
      <c r="B20" s="28" t="s">
        <v>254</v>
      </c>
      <c r="C20" s="28" t="s">
        <v>231</v>
      </c>
      <c r="D20" s="28">
        <v>5800</v>
      </c>
      <c r="E20" s="28">
        <v>30</v>
      </c>
      <c r="F20" s="28" t="s">
        <v>219</v>
      </c>
      <c r="G20" s="28">
        <v>550</v>
      </c>
      <c r="H20" s="28" t="s">
        <v>255</v>
      </c>
      <c r="I20" s="28" t="s">
        <v>220</v>
      </c>
    </row>
    <row r="23" spans="1:10" ht="17.5" x14ac:dyDescent="0.35">
      <c r="A23" s="38" t="s">
        <v>256</v>
      </c>
    </row>
    <row r="24" spans="1:10" x14ac:dyDescent="0.35">
      <c r="A24" s="39"/>
    </row>
    <row r="25" spans="1:10" x14ac:dyDescent="0.35">
      <c r="A25" s="40" t="s">
        <v>257</v>
      </c>
      <c r="J25">
        <f>COUNTA(Table1[Name])</f>
        <v>19</v>
      </c>
    </row>
    <row r="26" spans="1:10" x14ac:dyDescent="0.35">
      <c r="A26" s="40" t="s">
        <v>258</v>
      </c>
      <c r="J26">
        <f>COUNTIF(Table1[Department],"=HR")</f>
        <v>5</v>
      </c>
    </row>
    <row r="27" spans="1:10" x14ac:dyDescent="0.35">
      <c r="A27" s="40" t="s">
        <v>259</v>
      </c>
      <c r="J27">
        <f>COUNTIF(Table1[Location],"=New York")</f>
        <v>7</v>
      </c>
    </row>
    <row r="31" spans="1:10" ht="17.5" x14ac:dyDescent="0.35">
      <c r="A31" s="38" t="s">
        <v>260</v>
      </c>
    </row>
    <row r="32" spans="1:10" x14ac:dyDescent="0.35">
      <c r="A32" s="39"/>
    </row>
    <row r="33" spans="1:10" x14ac:dyDescent="0.35">
      <c r="A33" s="40" t="s">
        <v>261</v>
      </c>
      <c r="J33">
        <f>AVERAGE(Table1[Salary])</f>
        <v>5342.105263157895</v>
      </c>
    </row>
    <row r="34" spans="1:10" x14ac:dyDescent="0.35">
      <c r="A34" s="40" t="s">
        <v>262</v>
      </c>
      <c r="J34">
        <f>AVERAGEIF(Table1[Department],"=Marketing",Table1[Salary])</f>
        <v>4700</v>
      </c>
    </row>
    <row r="35" spans="1:10" x14ac:dyDescent="0.35">
      <c r="A35" s="40" t="s">
        <v>263</v>
      </c>
      <c r="J35">
        <f>AVERAGEIF(Table1[Age],"&gt;30",Table1[Bonus])</f>
        <v>516.66666666666663</v>
      </c>
    </row>
    <row r="39" spans="1:10" ht="17.5" x14ac:dyDescent="0.35">
      <c r="A39" s="38" t="s">
        <v>264</v>
      </c>
    </row>
    <row r="40" spans="1:10" x14ac:dyDescent="0.35">
      <c r="A40" s="39"/>
    </row>
    <row r="41" spans="1:10" x14ac:dyDescent="0.35">
      <c r="A41" s="40" t="s">
        <v>265</v>
      </c>
      <c r="J41">
        <f>SUM(Table1[Bonus])</f>
        <v>9200</v>
      </c>
    </row>
    <row r="42" spans="1:10" x14ac:dyDescent="0.35">
      <c r="A42" s="40" t="s">
        <v>266</v>
      </c>
      <c r="J42">
        <f>SUMIF(Table1[Department],"=Sales",Table1[Salary])</f>
        <v>28000</v>
      </c>
    </row>
    <row r="43" spans="1:10" x14ac:dyDescent="0.35">
      <c r="A43" s="40" t="s">
        <v>267</v>
      </c>
      <c r="J43">
        <f>SUMIF(Table1[Age],"&lt;30",Table1[Salary])</f>
        <v>20000</v>
      </c>
    </row>
    <row r="47" spans="1:10" ht="17.5" x14ac:dyDescent="0.35">
      <c r="A47" s="38" t="s">
        <v>268</v>
      </c>
    </row>
    <row r="48" spans="1:10" x14ac:dyDescent="0.35">
      <c r="A48" s="39"/>
    </row>
    <row r="49" spans="1:11" x14ac:dyDescent="0.35">
      <c r="A49" s="40" t="s">
        <v>269</v>
      </c>
      <c r="J49" t="str">
        <f>VLOOKUP('EMP DATA'!A4,Table1[#All],3,0)</f>
        <v>IT</v>
      </c>
    </row>
    <row r="50" spans="1:11" x14ac:dyDescent="0.35">
      <c r="A50" s="40" t="s">
        <v>270</v>
      </c>
      <c r="J50" s="36">
        <f>VLOOKUP("Sophia",Table1[[Name]:[Gender]],7,0)</f>
        <v>43841</v>
      </c>
    </row>
    <row r="54" spans="1:11" ht="17.5" x14ac:dyDescent="0.35">
      <c r="A54" s="38" t="s">
        <v>271</v>
      </c>
    </row>
    <row r="55" spans="1:11" x14ac:dyDescent="0.35">
      <c r="A55" s="39"/>
    </row>
    <row r="56" spans="1:11" x14ac:dyDescent="0.35">
      <c r="A56" s="40" t="s">
        <v>272</v>
      </c>
      <c r="J56" t="s">
        <v>238</v>
      </c>
      <c r="K56">
        <f>HLOOKUP(J56,A69:S76,4,0)</f>
        <v>34</v>
      </c>
    </row>
    <row r="57" spans="1:11" x14ac:dyDescent="0.35">
      <c r="A57" s="41" t="s">
        <v>273</v>
      </c>
    </row>
    <row r="61" spans="1:11" ht="17.5" x14ac:dyDescent="0.35">
      <c r="A61" s="38" t="s">
        <v>274</v>
      </c>
    </row>
    <row r="62" spans="1:11" x14ac:dyDescent="0.35">
      <c r="A62" s="39"/>
    </row>
    <row r="63" spans="1:11" x14ac:dyDescent="0.35">
      <c r="A63" s="40" t="s">
        <v>275</v>
      </c>
      <c r="J63">
        <f>COUNTIFS(Table1[Location],"=New York",Table1[Department],"=HR")</f>
        <v>2</v>
      </c>
    </row>
    <row r="64" spans="1:11" x14ac:dyDescent="0.35">
      <c r="A64" s="40" t="s">
        <v>276</v>
      </c>
      <c r="J64">
        <f>AVERAGEIFS(Table1[Salary],Table1[Gender],"=Male",Table1[Location],"=Chicago")</f>
        <v>5933.333333333333</v>
      </c>
    </row>
    <row r="65" spans="1:19" x14ac:dyDescent="0.35">
      <c r="A65" s="40" t="s">
        <v>277</v>
      </c>
      <c r="J65">
        <f>SUMIFS(Table1[Bonus],Table1[Location],"=San Francisco",Table1[Department],"=IT")</f>
        <v>1500</v>
      </c>
    </row>
    <row r="68" spans="1:19" x14ac:dyDescent="0.35">
      <c r="A68" s="42">
        <v>1001</v>
      </c>
      <c r="B68" s="43">
        <v>1002</v>
      </c>
      <c r="C68" s="42">
        <v>1003</v>
      </c>
      <c r="D68" s="43">
        <v>1004</v>
      </c>
      <c r="E68" s="42">
        <v>1005</v>
      </c>
      <c r="F68" s="43">
        <v>1006</v>
      </c>
      <c r="G68" s="42">
        <v>1007</v>
      </c>
      <c r="H68" s="43">
        <v>1008</v>
      </c>
      <c r="I68" s="42">
        <v>1009</v>
      </c>
      <c r="J68" s="43">
        <v>1010</v>
      </c>
      <c r="K68" s="42">
        <v>1011</v>
      </c>
      <c r="L68" s="43">
        <v>1012</v>
      </c>
      <c r="M68" s="42">
        <v>1013</v>
      </c>
      <c r="N68" s="43">
        <v>1014</v>
      </c>
      <c r="O68" s="42">
        <v>1015</v>
      </c>
      <c r="P68" s="43">
        <v>1016</v>
      </c>
      <c r="Q68" s="42">
        <v>1017</v>
      </c>
      <c r="R68" s="43">
        <v>1018</v>
      </c>
      <c r="S68" s="42">
        <v>1019</v>
      </c>
    </row>
    <row r="69" spans="1:19" x14ac:dyDescent="0.35">
      <c r="A69" s="44" t="s">
        <v>217</v>
      </c>
      <c r="B69" s="45" t="s">
        <v>221</v>
      </c>
      <c r="C69" s="44" t="s">
        <v>225</v>
      </c>
      <c r="D69" s="45" t="s">
        <v>229</v>
      </c>
      <c r="E69" s="44" t="s">
        <v>230</v>
      </c>
      <c r="F69" s="45" t="s">
        <v>233</v>
      </c>
      <c r="G69" s="44" t="s">
        <v>235</v>
      </c>
      <c r="H69" s="45" t="s">
        <v>237</v>
      </c>
      <c r="I69" s="44" t="s">
        <v>238</v>
      </c>
      <c r="J69" s="45" t="s">
        <v>240</v>
      </c>
      <c r="K69" s="44" t="s">
        <v>242</v>
      </c>
      <c r="L69" s="45" t="s">
        <v>244</v>
      </c>
      <c r="M69" s="44" t="s">
        <v>245</v>
      </c>
      <c r="N69" s="45" t="s">
        <v>247</v>
      </c>
      <c r="O69" s="44" t="s">
        <v>249</v>
      </c>
      <c r="P69" s="45" t="s">
        <v>250</v>
      </c>
      <c r="Q69" s="44" t="s">
        <v>251</v>
      </c>
      <c r="R69" s="45" t="s">
        <v>252</v>
      </c>
      <c r="S69" s="44" t="s">
        <v>254</v>
      </c>
    </row>
    <row r="70" spans="1:19" ht="29" x14ac:dyDescent="0.35">
      <c r="A70" s="44" t="s">
        <v>218</v>
      </c>
      <c r="B70" s="45" t="s">
        <v>222</v>
      </c>
      <c r="C70" s="44" t="s">
        <v>226</v>
      </c>
      <c r="D70" s="45" t="s">
        <v>218</v>
      </c>
      <c r="E70" s="44" t="s">
        <v>231</v>
      </c>
      <c r="F70" s="45" t="s">
        <v>222</v>
      </c>
      <c r="G70" s="44" t="s">
        <v>226</v>
      </c>
      <c r="H70" s="45" t="s">
        <v>218</v>
      </c>
      <c r="I70" s="44" t="s">
        <v>231</v>
      </c>
      <c r="J70" s="45" t="s">
        <v>222</v>
      </c>
      <c r="K70" s="44" t="s">
        <v>226</v>
      </c>
      <c r="L70" s="45" t="s">
        <v>231</v>
      </c>
      <c r="M70" s="44" t="s">
        <v>222</v>
      </c>
      <c r="N70" s="45" t="s">
        <v>218</v>
      </c>
      <c r="O70" s="44" t="s">
        <v>231</v>
      </c>
      <c r="P70" s="45" t="s">
        <v>222</v>
      </c>
      <c r="Q70" s="44" t="s">
        <v>226</v>
      </c>
      <c r="R70" s="45" t="s">
        <v>218</v>
      </c>
      <c r="S70" s="44" t="s">
        <v>231</v>
      </c>
    </row>
    <row r="71" spans="1:19" x14ac:dyDescent="0.35">
      <c r="A71" s="44">
        <v>5000</v>
      </c>
      <c r="B71" s="45">
        <v>4500</v>
      </c>
      <c r="C71" s="44">
        <v>6000</v>
      </c>
      <c r="D71" s="45">
        <v>5200</v>
      </c>
      <c r="E71" s="44">
        <v>5500</v>
      </c>
      <c r="F71" s="45">
        <v>4800</v>
      </c>
      <c r="G71" s="44">
        <v>6300</v>
      </c>
      <c r="H71" s="45">
        <v>5000</v>
      </c>
      <c r="I71" s="44">
        <v>5700</v>
      </c>
      <c r="J71" s="45">
        <v>4900</v>
      </c>
      <c r="K71" s="44">
        <v>6200</v>
      </c>
      <c r="L71" s="45">
        <v>5400</v>
      </c>
      <c r="M71" s="44">
        <v>4700</v>
      </c>
      <c r="N71" s="45">
        <v>5300</v>
      </c>
      <c r="O71" s="44">
        <v>5600</v>
      </c>
      <c r="P71" s="45">
        <v>4600</v>
      </c>
      <c r="Q71" s="44">
        <v>6100</v>
      </c>
      <c r="R71" s="45">
        <v>4900</v>
      </c>
      <c r="S71" s="44">
        <v>5800</v>
      </c>
    </row>
    <row r="72" spans="1:19" x14ac:dyDescent="0.35">
      <c r="A72" s="44">
        <v>29</v>
      </c>
      <c r="B72" s="45">
        <v>35</v>
      </c>
      <c r="C72" s="44">
        <v>40</v>
      </c>
      <c r="D72" s="45">
        <v>28</v>
      </c>
      <c r="E72" s="44">
        <v>32</v>
      </c>
      <c r="F72" s="45">
        <v>31</v>
      </c>
      <c r="G72" s="44">
        <v>38</v>
      </c>
      <c r="H72" s="45">
        <v>30</v>
      </c>
      <c r="I72" s="44">
        <v>34</v>
      </c>
      <c r="J72" s="45">
        <v>27</v>
      </c>
      <c r="K72" s="44">
        <v>42</v>
      </c>
      <c r="L72" s="45">
        <v>33</v>
      </c>
      <c r="M72" s="44">
        <v>30</v>
      </c>
      <c r="N72" s="45">
        <v>32</v>
      </c>
      <c r="O72" s="44">
        <v>36</v>
      </c>
      <c r="P72" s="45">
        <v>33</v>
      </c>
      <c r="Q72" s="44">
        <v>41</v>
      </c>
      <c r="R72" s="45">
        <v>28</v>
      </c>
      <c r="S72" s="44">
        <v>30</v>
      </c>
    </row>
    <row r="73" spans="1:19" ht="29" x14ac:dyDescent="0.35">
      <c r="A73" s="44" t="s">
        <v>219</v>
      </c>
      <c r="B73" s="45" t="s">
        <v>223</v>
      </c>
      <c r="C73" s="44" t="s">
        <v>227</v>
      </c>
      <c r="D73" s="45" t="s">
        <v>219</v>
      </c>
      <c r="E73" s="44" t="s">
        <v>223</v>
      </c>
      <c r="F73" s="45" t="s">
        <v>219</v>
      </c>
      <c r="G73" s="44" t="s">
        <v>227</v>
      </c>
      <c r="H73" s="45" t="s">
        <v>223</v>
      </c>
      <c r="I73" s="44" t="s">
        <v>219</v>
      </c>
      <c r="J73" s="45" t="s">
        <v>227</v>
      </c>
      <c r="K73" s="44" t="s">
        <v>223</v>
      </c>
      <c r="L73" s="45" t="s">
        <v>219</v>
      </c>
      <c r="M73" s="44" t="s">
        <v>227</v>
      </c>
      <c r="N73" s="45" t="s">
        <v>223</v>
      </c>
      <c r="O73" s="44" t="s">
        <v>227</v>
      </c>
      <c r="P73" s="45" t="s">
        <v>219</v>
      </c>
      <c r="Q73" s="44" t="s">
        <v>223</v>
      </c>
      <c r="R73" s="45" t="s">
        <v>227</v>
      </c>
      <c r="S73" s="44" t="s">
        <v>219</v>
      </c>
    </row>
    <row r="74" spans="1:19" x14ac:dyDescent="0.35">
      <c r="A74" s="44">
        <v>500</v>
      </c>
      <c r="B74" s="45">
        <v>300</v>
      </c>
      <c r="C74" s="44">
        <v>700</v>
      </c>
      <c r="D74" s="45">
        <v>450</v>
      </c>
      <c r="E74" s="44">
        <v>400</v>
      </c>
      <c r="F74" s="45">
        <v>350</v>
      </c>
      <c r="G74" s="44">
        <v>800</v>
      </c>
      <c r="H74" s="45">
        <v>500</v>
      </c>
      <c r="I74" s="44">
        <v>600</v>
      </c>
      <c r="J74" s="45">
        <v>300</v>
      </c>
      <c r="K74" s="44">
        <v>700</v>
      </c>
      <c r="L74" s="45">
        <v>400</v>
      </c>
      <c r="M74" s="44">
        <v>250</v>
      </c>
      <c r="N74" s="45">
        <v>550</v>
      </c>
      <c r="O74" s="44">
        <v>450</v>
      </c>
      <c r="P74" s="45">
        <v>300</v>
      </c>
      <c r="Q74" s="44">
        <v>650</v>
      </c>
      <c r="R74" s="45">
        <v>450</v>
      </c>
      <c r="S74" s="44">
        <v>550</v>
      </c>
    </row>
    <row r="75" spans="1:19" ht="29" x14ac:dyDescent="0.35">
      <c r="A75" s="46">
        <v>43435</v>
      </c>
      <c r="B75" s="47">
        <v>43628</v>
      </c>
      <c r="C75" s="44" t="s">
        <v>228</v>
      </c>
      <c r="D75" s="47">
        <v>43745</v>
      </c>
      <c r="E75" s="44" t="s">
        <v>232</v>
      </c>
      <c r="F75" s="45" t="s">
        <v>234</v>
      </c>
      <c r="G75" s="44" t="s">
        <v>236</v>
      </c>
      <c r="H75" s="47">
        <v>43841</v>
      </c>
      <c r="I75" s="44" t="s">
        <v>239</v>
      </c>
      <c r="J75" s="45" t="s">
        <v>241</v>
      </c>
      <c r="K75" s="44" t="s">
        <v>243</v>
      </c>
      <c r="L75" s="47">
        <v>43716</v>
      </c>
      <c r="M75" s="44" t="s">
        <v>246</v>
      </c>
      <c r="N75" s="45" t="s">
        <v>248</v>
      </c>
      <c r="O75" s="46">
        <v>44384</v>
      </c>
      <c r="P75" s="47">
        <v>43681</v>
      </c>
      <c r="Q75" s="46">
        <v>43863</v>
      </c>
      <c r="R75" s="45" t="s">
        <v>253</v>
      </c>
      <c r="S75" s="44" t="s">
        <v>255</v>
      </c>
    </row>
    <row r="76" spans="1:19" x14ac:dyDescent="0.35">
      <c r="A76" s="48" t="s">
        <v>220</v>
      </c>
      <c r="B76" s="49" t="s">
        <v>224</v>
      </c>
      <c r="C76" s="48" t="s">
        <v>220</v>
      </c>
      <c r="D76" s="49" t="s">
        <v>224</v>
      </c>
      <c r="E76" s="48" t="s">
        <v>220</v>
      </c>
      <c r="F76" s="49" t="s">
        <v>224</v>
      </c>
      <c r="G76" s="48" t="s">
        <v>220</v>
      </c>
      <c r="H76" s="49" t="s">
        <v>224</v>
      </c>
      <c r="I76" s="48" t="s">
        <v>220</v>
      </c>
      <c r="J76" s="49" t="s">
        <v>224</v>
      </c>
      <c r="K76" s="48" t="s">
        <v>220</v>
      </c>
      <c r="L76" s="49" t="s">
        <v>224</v>
      </c>
      <c r="M76" s="48" t="s">
        <v>220</v>
      </c>
      <c r="N76" s="49" t="s">
        <v>224</v>
      </c>
      <c r="O76" s="48" t="s">
        <v>220</v>
      </c>
      <c r="P76" s="49" t="s">
        <v>224</v>
      </c>
      <c r="Q76" s="48" t="s">
        <v>220</v>
      </c>
      <c r="R76" s="49" t="s">
        <v>224</v>
      </c>
      <c r="S76" s="48" t="s">
        <v>220</v>
      </c>
    </row>
  </sheetData>
  <dataValidations count="1">
    <dataValidation type="list" allowBlank="1" showInputMessage="1" showErrorMessage="1" sqref="J56" xr:uid="{1E4D4864-3A46-46B9-818B-1F45C89E920F}">
      <formula1>$A$69:$S$69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3C97-2234-47F7-9826-97C67A4486E6}">
  <dimension ref="A1:K19"/>
  <sheetViews>
    <sheetView workbookViewId="0">
      <selection activeCell="J16" sqref="J16"/>
    </sheetView>
  </sheetViews>
  <sheetFormatPr defaultRowHeight="14.5" x14ac:dyDescent="0.35"/>
  <cols>
    <col min="2" max="2" width="29.54296875" customWidth="1"/>
    <col min="3" max="3" width="9.453125" bestFit="1" customWidth="1"/>
    <col min="4" max="4" width="12.36328125" customWidth="1"/>
  </cols>
  <sheetData>
    <row r="1" spans="1:11" x14ac:dyDescent="0.35">
      <c r="A1" s="94" t="s">
        <v>278</v>
      </c>
      <c r="B1" s="95"/>
      <c r="C1" s="95"/>
      <c r="D1" s="95"/>
      <c r="E1" s="95"/>
      <c r="F1" s="95"/>
      <c r="G1" s="95"/>
      <c r="H1" s="95"/>
      <c r="I1" s="11"/>
    </row>
    <row r="2" spans="1:11" x14ac:dyDescent="0.35">
      <c r="A2" s="95"/>
      <c r="B2" s="95"/>
      <c r="C2" s="95"/>
      <c r="D2" s="95"/>
      <c r="E2" s="95"/>
      <c r="F2" s="95"/>
      <c r="G2" s="95"/>
      <c r="H2" s="95"/>
      <c r="I2" s="11"/>
    </row>
    <row r="3" spans="1:11" x14ac:dyDescent="0.35">
      <c r="A3" s="95"/>
      <c r="B3" s="95"/>
      <c r="C3" s="95"/>
      <c r="D3" s="95"/>
      <c r="E3" s="95"/>
      <c r="F3" s="95"/>
      <c r="G3" s="95"/>
      <c r="H3" s="95"/>
      <c r="I3" s="11"/>
    </row>
    <row r="4" spans="1:11" x14ac:dyDescent="0.35">
      <c r="A4" s="67" t="s">
        <v>297</v>
      </c>
      <c r="B4" s="67"/>
      <c r="C4" s="67"/>
      <c r="D4" s="67"/>
      <c r="E4" s="67"/>
      <c r="F4" s="67"/>
      <c r="G4" s="67"/>
      <c r="H4" s="67"/>
      <c r="I4" s="11"/>
    </row>
    <row r="5" spans="1:11" x14ac:dyDescent="0.35">
      <c r="A5" s="96" t="s">
        <v>281</v>
      </c>
      <c r="B5" s="97"/>
      <c r="C5" s="97"/>
      <c r="D5" s="97"/>
      <c r="E5" s="97"/>
      <c r="F5" s="97"/>
      <c r="G5" s="97"/>
      <c r="H5" s="97"/>
      <c r="I5" s="98"/>
    </row>
    <row r="6" spans="1:11" x14ac:dyDescent="0.35">
      <c r="A6" s="70" t="s">
        <v>279</v>
      </c>
      <c r="B6" s="70"/>
      <c r="C6" s="70"/>
      <c r="D6" s="70"/>
      <c r="E6" s="70"/>
      <c r="F6" s="70"/>
      <c r="G6" s="70"/>
      <c r="H6" s="70"/>
      <c r="I6" s="71"/>
    </row>
    <row r="7" spans="1:11" x14ac:dyDescent="0.35">
      <c r="A7" s="99" t="s">
        <v>280</v>
      </c>
      <c r="B7" s="99"/>
      <c r="C7" s="99"/>
      <c r="D7" s="99"/>
      <c r="E7" s="99"/>
      <c r="F7" s="99"/>
      <c r="G7" s="99"/>
      <c r="H7" s="99"/>
      <c r="I7" s="100"/>
    </row>
    <row r="8" spans="1:11" x14ac:dyDescent="0.35">
      <c r="A8" s="11" t="s">
        <v>282</v>
      </c>
      <c r="B8" s="11" t="s">
        <v>283</v>
      </c>
      <c r="C8" s="11" t="s">
        <v>284</v>
      </c>
      <c r="D8" s="35" t="s">
        <v>285</v>
      </c>
      <c r="E8" s="11" t="s">
        <v>286</v>
      </c>
      <c r="I8" s="11"/>
    </row>
    <row r="9" spans="1:11" x14ac:dyDescent="0.35">
      <c r="A9" s="11">
        <v>1</v>
      </c>
      <c r="B9" s="11" t="s">
        <v>288</v>
      </c>
      <c r="C9" s="11">
        <v>3</v>
      </c>
      <c r="D9" s="11">
        <v>40</v>
      </c>
      <c r="E9" s="11">
        <f>C9*D9</f>
        <v>120</v>
      </c>
      <c r="I9" s="11"/>
    </row>
    <row r="10" spans="1:11" x14ac:dyDescent="0.35">
      <c r="A10" s="11">
        <v>2</v>
      </c>
      <c r="B10" s="11" t="s">
        <v>289</v>
      </c>
      <c r="C10" s="11">
        <v>6</v>
      </c>
      <c r="D10" s="11">
        <v>5</v>
      </c>
      <c r="E10" s="11">
        <f t="shared" ref="E10:E17" si="0">C10*D10</f>
        <v>30</v>
      </c>
      <c r="I10" s="11"/>
    </row>
    <row r="11" spans="1:11" x14ac:dyDescent="0.35">
      <c r="A11" s="11">
        <v>3</v>
      </c>
      <c r="B11" s="11" t="s">
        <v>290</v>
      </c>
      <c r="C11" s="11">
        <v>4</v>
      </c>
      <c r="D11" s="11">
        <v>20</v>
      </c>
      <c r="E11" s="11">
        <f t="shared" si="0"/>
        <v>80</v>
      </c>
      <c r="I11" s="11"/>
      <c r="K11" s="7"/>
    </row>
    <row r="12" spans="1:11" x14ac:dyDescent="0.35">
      <c r="A12" s="11">
        <v>4</v>
      </c>
      <c r="B12" s="11" t="s">
        <v>291</v>
      </c>
      <c r="C12" s="11">
        <v>8</v>
      </c>
      <c r="D12" s="11">
        <v>25</v>
      </c>
      <c r="E12" s="11">
        <f t="shared" si="0"/>
        <v>200</v>
      </c>
      <c r="I12" s="11"/>
    </row>
    <row r="13" spans="1:11" x14ac:dyDescent="0.35">
      <c r="A13" s="11">
        <v>5</v>
      </c>
      <c r="B13" s="11" t="s">
        <v>292</v>
      </c>
      <c r="C13" s="11">
        <v>76</v>
      </c>
      <c r="D13" s="11">
        <v>50</v>
      </c>
      <c r="E13" s="11">
        <f t="shared" si="0"/>
        <v>3800</v>
      </c>
      <c r="I13" s="11"/>
    </row>
    <row r="14" spans="1:11" x14ac:dyDescent="0.35">
      <c r="A14" s="11">
        <v>6</v>
      </c>
      <c r="B14" s="11" t="s">
        <v>293</v>
      </c>
      <c r="C14" s="11">
        <v>31</v>
      </c>
      <c r="D14" s="11">
        <v>10</v>
      </c>
      <c r="E14" s="11">
        <f t="shared" si="0"/>
        <v>310</v>
      </c>
      <c r="I14" s="11"/>
    </row>
    <row r="15" spans="1:11" x14ac:dyDescent="0.35">
      <c r="A15" s="11">
        <v>7</v>
      </c>
      <c r="B15" s="11" t="s">
        <v>294</v>
      </c>
      <c r="C15" s="11">
        <v>8</v>
      </c>
      <c r="D15" s="11">
        <v>12</v>
      </c>
      <c r="E15" s="11">
        <f t="shared" si="0"/>
        <v>96</v>
      </c>
      <c r="I15" s="11"/>
    </row>
    <row r="16" spans="1:11" x14ac:dyDescent="0.35">
      <c r="A16" s="11">
        <v>8</v>
      </c>
      <c r="B16" s="11" t="s">
        <v>295</v>
      </c>
      <c r="C16" s="11">
        <v>12</v>
      </c>
      <c r="D16" s="11">
        <v>3</v>
      </c>
      <c r="E16" s="11">
        <f t="shared" si="0"/>
        <v>36</v>
      </c>
      <c r="I16" s="11"/>
    </row>
    <row r="17" spans="1:9" x14ac:dyDescent="0.35">
      <c r="A17" s="11">
        <v>9</v>
      </c>
      <c r="B17" s="11" t="s">
        <v>296</v>
      </c>
      <c r="C17" s="11">
        <v>6</v>
      </c>
      <c r="D17" s="11">
        <v>45</v>
      </c>
      <c r="E17" s="11">
        <f t="shared" si="0"/>
        <v>270</v>
      </c>
      <c r="I17" s="11"/>
    </row>
    <row r="18" spans="1:9" x14ac:dyDescent="0.35">
      <c r="D18" s="11" t="s">
        <v>23</v>
      </c>
      <c r="E18" s="11">
        <f>SUM(E9:F17)</f>
        <v>4942</v>
      </c>
      <c r="I18" s="11"/>
    </row>
    <row r="19" spans="1:9" x14ac:dyDescent="0.35">
      <c r="A19" s="93" t="s">
        <v>287</v>
      </c>
      <c r="B19" s="93"/>
      <c r="C19" s="93"/>
      <c r="D19" s="93"/>
      <c r="E19" s="93"/>
      <c r="F19" s="93"/>
      <c r="G19" s="7"/>
      <c r="H19" s="7"/>
      <c r="I19" s="12"/>
    </row>
  </sheetData>
  <mergeCells count="6">
    <mergeCell ref="A19:F19"/>
    <mergeCell ref="A1:H3"/>
    <mergeCell ref="A4:H4"/>
    <mergeCell ref="A5:I5"/>
    <mergeCell ref="A6:I6"/>
    <mergeCell ref="A7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67FF-56B5-406F-A88E-7ABD3DFAAEA0}">
  <dimension ref="A1:R65"/>
  <sheetViews>
    <sheetView zoomScale="94" workbookViewId="0">
      <selection activeCell="G66" sqref="G66"/>
    </sheetView>
  </sheetViews>
  <sheetFormatPr defaultRowHeight="14.5" x14ac:dyDescent="0.35"/>
  <cols>
    <col min="1" max="1" width="11.26953125" customWidth="1"/>
    <col min="2" max="2" width="12.7265625" customWidth="1"/>
    <col min="3" max="3" width="14.54296875" customWidth="1"/>
    <col min="4" max="4" width="11.26953125" customWidth="1"/>
    <col min="5" max="5" width="11.1796875" bestFit="1" customWidth="1"/>
    <col min="6" max="6" width="16.54296875" bestFit="1" customWidth="1"/>
    <col min="7" max="7" width="15.7265625" bestFit="1" customWidth="1"/>
    <col min="12" max="12" width="18.81640625" bestFit="1" customWidth="1"/>
    <col min="13" max="13" width="15.6328125" bestFit="1" customWidth="1"/>
    <col min="14" max="14" width="10.36328125" bestFit="1" customWidth="1"/>
    <col min="15" max="15" width="9.81640625" bestFit="1" customWidth="1"/>
    <col min="16" max="16" width="11.1796875" bestFit="1" customWidth="1"/>
    <col min="17" max="17" width="7.26953125" bestFit="1" customWidth="1"/>
    <col min="18" max="18" width="10.7265625" bestFit="1" customWidth="1"/>
    <col min="19" max="34" width="5.1796875" bestFit="1" customWidth="1"/>
    <col min="35" max="35" width="6.1796875" bestFit="1" customWidth="1"/>
    <col min="36" max="40" width="5.1796875" bestFit="1" customWidth="1"/>
    <col min="41" max="61" width="6.1796875" bestFit="1" customWidth="1"/>
    <col min="62" max="62" width="10.7265625" bestFit="1" customWidth="1"/>
  </cols>
  <sheetData>
    <row r="1" spans="1:18" x14ac:dyDescent="0.3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</row>
    <row r="2" spans="1:18" x14ac:dyDescent="0.35">
      <c r="A2" t="s">
        <v>305</v>
      </c>
      <c r="B2">
        <v>15000</v>
      </c>
      <c r="C2">
        <v>2500</v>
      </c>
      <c r="D2">
        <v>5</v>
      </c>
      <c r="E2" t="s">
        <v>306</v>
      </c>
      <c r="F2" t="s">
        <v>307</v>
      </c>
      <c r="G2" t="s">
        <v>308</v>
      </c>
    </row>
    <row r="3" spans="1:18" x14ac:dyDescent="0.35">
      <c r="A3" t="s">
        <v>309</v>
      </c>
      <c r="B3">
        <v>7200</v>
      </c>
      <c r="C3">
        <v>1080</v>
      </c>
      <c r="D3">
        <v>3</v>
      </c>
      <c r="E3" t="s">
        <v>310</v>
      </c>
      <c r="F3" t="s">
        <v>311</v>
      </c>
      <c r="G3" t="s">
        <v>312</v>
      </c>
    </row>
    <row r="4" spans="1:18" x14ac:dyDescent="0.35">
      <c r="A4" t="s">
        <v>313</v>
      </c>
      <c r="B4">
        <v>10500</v>
      </c>
      <c r="C4">
        <v>1575</v>
      </c>
      <c r="D4">
        <v>2</v>
      </c>
      <c r="E4" t="s">
        <v>314</v>
      </c>
      <c r="F4" t="s">
        <v>315</v>
      </c>
      <c r="G4" t="s">
        <v>316</v>
      </c>
    </row>
    <row r="5" spans="1:18" x14ac:dyDescent="0.35">
      <c r="A5" t="s">
        <v>317</v>
      </c>
      <c r="B5">
        <v>3800</v>
      </c>
      <c r="C5">
        <v>570</v>
      </c>
      <c r="D5">
        <v>1</v>
      </c>
      <c r="E5" t="s">
        <v>318</v>
      </c>
      <c r="F5" t="s">
        <v>319</v>
      </c>
      <c r="G5" t="s">
        <v>320</v>
      </c>
    </row>
    <row r="6" spans="1:18" x14ac:dyDescent="0.35">
      <c r="A6" t="s">
        <v>321</v>
      </c>
      <c r="B6">
        <v>6000</v>
      </c>
      <c r="C6">
        <v>900</v>
      </c>
      <c r="D6">
        <v>4</v>
      </c>
      <c r="E6" t="s">
        <v>322</v>
      </c>
      <c r="F6" t="s">
        <v>323</v>
      </c>
      <c r="G6" t="s">
        <v>308</v>
      </c>
    </row>
    <row r="7" spans="1:18" x14ac:dyDescent="0.35">
      <c r="A7" t="s">
        <v>324</v>
      </c>
      <c r="B7">
        <v>25000</v>
      </c>
      <c r="C7">
        <v>1200</v>
      </c>
      <c r="D7">
        <v>1</v>
      </c>
      <c r="E7" t="s">
        <v>306</v>
      </c>
      <c r="F7" t="s">
        <v>325</v>
      </c>
      <c r="G7" t="s">
        <v>326</v>
      </c>
      <c r="L7" s="50" t="s">
        <v>417</v>
      </c>
      <c r="M7" s="50" t="s">
        <v>416</v>
      </c>
    </row>
    <row r="8" spans="1:18" x14ac:dyDescent="0.35">
      <c r="A8" t="s">
        <v>327</v>
      </c>
      <c r="B8">
        <v>8500</v>
      </c>
      <c r="C8">
        <v>1275</v>
      </c>
      <c r="D8">
        <v>5</v>
      </c>
      <c r="E8" t="s">
        <v>328</v>
      </c>
      <c r="F8" t="s">
        <v>329</v>
      </c>
      <c r="G8" t="s">
        <v>312</v>
      </c>
      <c r="L8" s="50" t="s">
        <v>414</v>
      </c>
      <c r="M8" t="s">
        <v>320</v>
      </c>
      <c r="N8" t="s">
        <v>308</v>
      </c>
      <c r="O8" t="s">
        <v>312</v>
      </c>
      <c r="P8" t="s">
        <v>326</v>
      </c>
      <c r="Q8" t="s">
        <v>316</v>
      </c>
      <c r="R8" t="s">
        <v>415</v>
      </c>
    </row>
    <row r="9" spans="1:18" x14ac:dyDescent="0.35">
      <c r="A9" t="s">
        <v>330</v>
      </c>
      <c r="B9">
        <v>12000</v>
      </c>
      <c r="C9">
        <v>1800</v>
      </c>
      <c r="D9">
        <v>2</v>
      </c>
      <c r="E9" t="s">
        <v>314</v>
      </c>
      <c r="F9" t="s">
        <v>331</v>
      </c>
      <c r="G9" t="s">
        <v>316</v>
      </c>
      <c r="L9" s="51" t="s">
        <v>314</v>
      </c>
      <c r="N9">
        <v>63200</v>
      </c>
      <c r="O9">
        <v>57500</v>
      </c>
      <c r="Q9">
        <v>35000</v>
      </c>
      <c r="R9">
        <v>155700</v>
      </c>
    </row>
    <row r="10" spans="1:18" x14ac:dyDescent="0.35">
      <c r="A10" t="s">
        <v>332</v>
      </c>
      <c r="B10">
        <v>1200</v>
      </c>
      <c r="C10">
        <v>180</v>
      </c>
      <c r="D10">
        <v>10</v>
      </c>
      <c r="E10" t="s">
        <v>322</v>
      </c>
      <c r="F10" t="s">
        <v>333</v>
      </c>
      <c r="G10" t="s">
        <v>320</v>
      </c>
      <c r="L10" s="51" t="s">
        <v>306</v>
      </c>
      <c r="N10">
        <v>115000</v>
      </c>
      <c r="O10">
        <v>52000</v>
      </c>
      <c r="P10">
        <v>44000</v>
      </c>
      <c r="Q10">
        <v>24000</v>
      </c>
      <c r="R10">
        <v>235000</v>
      </c>
    </row>
    <row r="11" spans="1:18" x14ac:dyDescent="0.35">
      <c r="A11" t="s">
        <v>334</v>
      </c>
      <c r="B11">
        <v>18000</v>
      </c>
      <c r="C11">
        <v>2700</v>
      </c>
      <c r="D11">
        <v>3</v>
      </c>
      <c r="E11" t="s">
        <v>306</v>
      </c>
      <c r="F11" t="s">
        <v>335</v>
      </c>
      <c r="G11" t="s">
        <v>308</v>
      </c>
      <c r="L11" s="51" t="s">
        <v>328</v>
      </c>
      <c r="O11">
        <v>15300</v>
      </c>
      <c r="P11">
        <v>13200</v>
      </c>
      <c r="Q11">
        <v>22400</v>
      </c>
      <c r="R11">
        <v>50900</v>
      </c>
    </row>
    <row r="12" spans="1:18" x14ac:dyDescent="0.35">
      <c r="A12" t="s">
        <v>336</v>
      </c>
      <c r="B12">
        <v>9000</v>
      </c>
      <c r="C12">
        <v>1350</v>
      </c>
      <c r="D12">
        <v>4</v>
      </c>
      <c r="E12" t="s">
        <v>310</v>
      </c>
      <c r="F12" t="s">
        <v>337</v>
      </c>
      <c r="G12" t="s">
        <v>326</v>
      </c>
      <c r="L12" s="51" t="s">
        <v>310</v>
      </c>
      <c r="M12">
        <v>11200</v>
      </c>
      <c r="O12">
        <v>15200</v>
      </c>
      <c r="P12">
        <v>25800</v>
      </c>
      <c r="R12">
        <v>52200</v>
      </c>
    </row>
    <row r="13" spans="1:18" x14ac:dyDescent="0.35">
      <c r="A13" t="s">
        <v>338</v>
      </c>
      <c r="B13">
        <v>7500</v>
      </c>
      <c r="C13">
        <v>1125</v>
      </c>
      <c r="D13">
        <v>5</v>
      </c>
      <c r="E13" t="s">
        <v>328</v>
      </c>
      <c r="F13" t="s">
        <v>339</v>
      </c>
      <c r="G13" t="s">
        <v>316</v>
      </c>
      <c r="L13" s="51" t="s">
        <v>318</v>
      </c>
      <c r="M13">
        <v>8300</v>
      </c>
      <c r="N13">
        <v>5300</v>
      </c>
      <c r="O13">
        <v>4200</v>
      </c>
      <c r="P13">
        <v>4800</v>
      </c>
      <c r="Q13">
        <v>14900</v>
      </c>
      <c r="R13">
        <v>37500</v>
      </c>
    </row>
    <row r="14" spans="1:18" x14ac:dyDescent="0.35">
      <c r="A14" t="s">
        <v>340</v>
      </c>
      <c r="B14">
        <v>13500</v>
      </c>
      <c r="C14">
        <v>2025</v>
      </c>
      <c r="D14">
        <v>1</v>
      </c>
      <c r="E14" t="s">
        <v>306</v>
      </c>
      <c r="F14" t="s">
        <v>341</v>
      </c>
      <c r="G14" t="s">
        <v>312</v>
      </c>
      <c r="L14" s="51" t="s">
        <v>322</v>
      </c>
      <c r="M14">
        <v>17000</v>
      </c>
      <c r="N14">
        <v>6000</v>
      </c>
      <c r="Q14">
        <v>6300</v>
      </c>
      <c r="R14">
        <v>29300</v>
      </c>
    </row>
    <row r="15" spans="1:18" x14ac:dyDescent="0.35">
      <c r="A15" t="s">
        <v>342</v>
      </c>
      <c r="B15">
        <v>22000</v>
      </c>
      <c r="C15">
        <v>3300</v>
      </c>
      <c r="D15">
        <v>2</v>
      </c>
      <c r="E15" t="s">
        <v>314</v>
      </c>
      <c r="F15" t="s">
        <v>343</v>
      </c>
      <c r="G15" t="s">
        <v>308</v>
      </c>
      <c r="L15" s="51" t="s">
        <v>415</v>
      </c>
      <c r="M15">
        <v>36500</v>
      </c>
      <c r="N15">
        <v>189500</v>
      </c>
      <c r="O15">
        <v>144200</v>
      </c>
      <c r="P15">
        <v>87800</v>
      </c>
      <c r="Q15">
        <v>102600</v>
      </c>
      <c r="R15">
        <v>560600</v>
      </c>
    </row>
    <row r="16" spans="1:18" x14ac:dyDescent="0.35">
      <c r="A16" t="s">
        <v>344</v>
      </c>
      <c r="B16">
        <v>4500</v>
      </c>
      <c r="C16">
        <v>675</v>
      </c>
      <c r="D16">
        <v>3</v>
      </c>
      <c r="E16" t="s">
        <v>318</v>
      </c>
      <c r="F16" t="s">
        <v>345</v>
      </c>
      <c r="G16" t="s">
        <v>320</v>
      </c>
    </row>
    <row r="17" spans="1:7" x14ac:dyDescent="0.35">
      <c r="A17" t="s">
        <v>346</v>
      </c>
      <c r="B17">
        <v>2700</v>
      </c>
      <c r="C17">
        <v>405</v>
      </c>
      <c r="D17">
        <v>5</v>
      </c>
      <c r="E17" t="s">
        <v>322</v>
      </c>
      <c r="F17" t="s">
        <v>347</v>
      </c>
      <c r="G17" t="s">
        <v>316</v>
      </c>
    </row>
    <row r="18" spans="1:7" x14ac:dyDescent="0.35">
      <c r="A18" t="s">
        <v>348</v>
      </c>
      <c r="B18">
        <v>14000</v>
      </c>
      <c r="C18">
        <v>2100</v>
      </c>
      <c r="D18">
        <v>1</v>
      </c>
      <c r="E18" t="s">
        <v>306</v>
      </c>
      <c r="F18" t="s">
        <v>349</v>
      </c>
      <c r="G18" t="s">
        <v>308</v>
      </c>
    </row>
    <row r="19" spans="1:7" x14ac:dyDescent="0.35">
      <c r="A19" t="s">
        <v>350</v>
      </c>
      <c r="B19">
        <v>9800</v>
      </c>
      <c r="C19">
        <v>1470</v>
      </c>
      <c r="D19">
        <v>2</v>
      </c>
      <c r="E19" t="s">
        <v>310</v>
      </c>
      <c r="F19" t="s">
        <v>351</v>
      </c>
      <c r="G19" t="s">
        <v>326</v>
      </c>
    </row>
    <row r="20" spans="1:7" x14ac:dyDescent="0.35">
      <c r="A20" t="s">
        <v>352</v>
      </c>
      <c r="B20">
        <v>16000</v>
      </c>
      <c r="C20">
        <v>2400</v>
      </c>
      <c r="D20">
        <v>2</v>
      </c>
      <c r="E20" t="s">
        <v>314</v>
      </c>
      <c r="F20" t="s">
        <v>353</v>
      </c>
      <c r="G20" t="s">
        <v>312</v>
      </c>
    </row>
    <row r="21" spans="1:7" x14ac:dyDescent="0.35">
      <c r="A21" t="s">
        <v>354</v>
      </c>
      <c r="B21">
        <v>5000</v>
      </c>
      <c r="C21">
        <v>750</v>
      </c>
      <c r="D21">
        <v>6</v>
      </c>
      <c r="E21" t="s">
        <v>328</v>
      </c>
      <c r="F21" t="s">
        <v>355</v>
      </c>
      <c r="G21" t="s">
        <v>316</v>
      </c>
    </row>
    <row r="22" spans="1:7" x14ac:dyDescent="0.35">
      <c r="A22" t="s">
        <v>356</v>
      </c>
      <c r="B22">
        <v>11500</v>
      </c>
      <c r="C22">
        <v>1725</v>
      </c>
      <c r="D22">
        <v>3</v>
      </c>
      <c r="E22" t="s">
        <v>306</v>
      </c>
      <c r="F22" t="s">
        <v>357</v>
      </c>
      <c r="G22" t="s">
        <v>308</v>
      </c>
    </row>
    <row r="23" spans="1:7" x14ac:dyDescent="0.35">
      <c r="A23" t="s">
        <v>358</v>
      </c>
      <c r="B23">
        <v>3000</v>
      </c>
      <c r="C23">
        <v>450</v>
      </c>
      <c r="D23">
        <v>4</v>
      </c>
      <c r="E23" t="s">
        <v>322</v>
      </c>
      <c r="F23" t="s">
        <v>359</v>
      </c>
      <c r="G23" t="s">
        <v>320</v>
      </c>
    </row>
    <row r="24" spans="1:7" x14ac:dyDescent="0.35">
      <c r="A24" t="s">
        <v>360</v>
      </c>
      <c r="B24">
        <v>20000</v>
      </c>
      <c r="C24">
        <v>3000</v>
      </c>
      <c r="D24">
        <v>1</v>
      </c>
      <c r="E24" t="s">
        <v>306</v>
      </c>
      <c r="F24" t="s">
        <v>361</v>
      </c>
      <c r="G24" t="s">
        <v>312</v>
      </c>
    </row>
    <row r="25" spans="1:7" x14ac:dyDescent="0.35">
      <c r="A25" t="s">
        <v>362</v>
      </c>
      <c r="B25">
        <v>4800</v>
      </c>
      <c r="C25">
        <v>720</v>
      </c>
      <c r="D25">
        <v>2</v>
      </c>
      <c r="E25" t="s">
        <v>318</v>
      </c>
      <c r="F25" t="s">
        <v>363</v>
      </c>
      <c r="G25" t="s">
        <v>326</v>
      </c>
    </row>
    <row r="26" spans="1:7" x14ac:dyDescent="0.35">
      <c r="A26" t="s">
        <v>364</v>
      </c>
      <c r="B26">
        <v>12500</v>
      </c>
      <c r="C26">
        <v>1875</v>
      </c>
      <c r="D26">
        <v>1</v>
      </c>
      <c r="E26" t="s">
        <v>314</v>
      </c>
      <c r="F26" t="s">
        <v>365</v>
      </c>
      <c r="G26" t="s">
        <v>316</v>
      </c>
    </row>
    <row r="27" spans="1:7" x14ac:dyDescent="0.35">
      <c r="A27" t="s">
        <v>366</v>
      </c>
      <c r="B27">
        <v>35000</v>
      </c>
      <c r="C27">
        <v>5250</v>
      </c>
      <c r="D27">
        <v>1</v>
      </c>
      <c r="E27" t="s">
        <v>306</v>
      </c>
      <c r="F27" t="s">
        <v>367</v>
      </c>
      <c r="G27" t="s">
        <v>308</v>
      </c>
    </row>
    <row r="28" spans="1:7" x14ac:dyDescent="0.35">
      <c r="A28" t="s">
        <v>368</v>
      </c>
      <c r="B28">
        <v>2200</v>
      </c>
      <c r="C28">
        <v>330</v>
      </c>
      <c r="D28">
        <v>6</v>
      </c>
      <c r="E28" t="s">
        <v>322</v>
      </c>
      <c r="F28" t="s">
        <v>369</v>
      </c>
      <c r="G28" t="s">
        <v>320</v>
      </c>
    </row>
    <row r="29" spans="1:7" x14ac:dyDescent="0.35">
      <c r="A29" t="s">
        <v>370</v>
      </c>
      <c r="B29">
        <v>8000</v>
      </c>
      <c r="C29">
        <v>1200</v>
      </c>
      <c r="D29">
        <v>3</v>
      </c>
      <c r="E29" t="s">
        <v>310</v>
      </c>
      <c r="F29" t="s">
        <v>371</v>
      </c>
      <c r="G29" t="s">
        <v>312</v>
      </c>
    </row>
    <row r="30" spans="1:7" x14ac:dyDescent="0.35">
      <c r="A30" t="s">
        <v>372</v>
      </c>
      <c r="B30">
        <v>5400</v>
      </c>
      <c r="C30">
        <v>810</v>
      </c>
      <c r="D30">
        <v>4</v>
      </c>
      <c r="E30" t="s">
        <v>328</v>
      </c>
      <c r="F30" t="s">
        <v>373</v>
      </c>
      <c r="G30" t="s">
        <v>326</v>
      </c>
    </row>
    <row r="31" spans="1:7" x14ac:dyDescent="0.35">
      <c r="A31" t="s">
        <v>374</v>
      </c>
      <c r="B31">
        <v>28000</v>
      </c>
      <c r="C31">
        <v>4200</v>
      </c>
      <c r="D31">
        <v>2</v>
      </c>
      <c r="E31" t="s">
        <v>314</v>
      </c>
      <c r="F31" t="s">
        <v>375</v>
      </c>
      <c r="G31" t="s">
        <v>308</v>
      </c>
    </row>
    <row r="32" spans="1:7" x14ac:dyDescent="0.35">
      <c r="A32" t="s">
        <v>376</v>
      </c>
      <c r="B32">
        <v>6500</v>
      </c>
      <c r="C32">
        <v>975</v>
      </c>
      <c r="D32">
        <v>2</v>
      </c>
      <c r="E32" t="s">
        <v>318</v>
      </c>
      <c r="F32" t="s">
        <v>377</v>
      </c>
      <c r="G32" t="s">
        <v>316</v>
      </c>
    </row>
    <row r="33" spans="1:7" x14ac:dyDescent="0.35">
      <c r="A33" t="s">
        <v>378</v>
      </c>
      <c r="B33">
        <v>18500</v>
      </c>
      <c r="C33">
        <v>2775</v>
      </c>
      <c r="D33">
        <v>2</v>
      </c>
      <c r="E33" t="s">
        <v>306</v>
      </c>
      <c r="F33" t="s">
        <v>325</v>
      </c>
      <c r="G33" t="s">
        <v>312</v>
      </c>
    </row>
    <row r="34" spans="1:7" x14ac:dyDescent="0.35">
      <c r="A34" t="s">
        <v>379</v>
      </c>
      <c r="B34">
        <v>3200</v>
      </c>
      <c r="C34">
        <v>480</v>
      </c>
      <c r="D34">
        <v>4</v>
      </c>
      <c r="E34" t="s">
        <v>322</v>
      </c>
      <c r="F34" t="s">
        <v>380</v>
      </c>
      <c r="G34" t="s">
        <v>320</v>
      </c>
    </row>
    <row r="35" spans="1:7" x14ac:dyDescent="0.35">
      <c r="A35" t="s">
        <v>381</v>
      </c>
      <c r="B35">
        <v>7000</v>
      </c>
      <c r="C35">
        <v>1050</v>
      </c>
      <c r="D35">
        <v>3</v>
      </c>
      <c r="E35" t="s">
        <v>310</v>
      </c>
      <c r="F35" t="s">
        <v>382</v>
      </c>
      <c r="G35" t="s">
        <v>326</v>
      </c>
    </row>
    <row r="36" spans="1:7" x14ac:dyDescent="0.35">
      <c r="A36" t="s">
        <v>383</v>
      </c>
      <c r="B36">
        <v>9900</v>
      </c>
      <c r="C36">
        <v>1485</v>
      </c>
      <c r="D36">
        <v>3</v>
      </c>
      <c r="E36" t="s">
        <v>328</v>
      </c>
      <c r="F36" t="s">
        <v>384</v>
      </c>
      <c r="G36" t="s">
        <v>316</v>
      </c>
    </row>
    <row r="37" spans="1:7" x14ac:dyDescent="0.35">
      <c r="A37" t="s">
        <v>385</v>
      </c>
      <c r="B37">
        <v>13200</v>
      </c>
      <c r="C37">
        <v>1980</v>
      </c>
      <c r="D37">
        <v>1</v>
      </c>
      <c r="E37" t="s">
        <v>314</v>
      </c>
      <c r="F37" t="s">
        <v>386</v>
      </c>
      <c r="G37" t="s">
        <v>308</v>
      </c>
    </row>
    <row r="38" spans="1:7" x14ac:dyDescent="0.35">
      <c r="A38" t="s">
        <v>387</v>
      </c>
      <c r="B38">
        <v>4200</v>
      </c>
      <c r="C38">
        <v>630</v>
      </c>
      <c r="D38">
        <v>2</v>
      </c>
      <c r="E38" t="s">
        <v>318</v>
      </c>
      <c r="F38" t="s">
        <v>388</v>
      </c>
      <c r="G38" t="s">
        <v>312</v>
      </c>
    </row>
    <row r="39" spans="1:7" x14ac:dyDescent="0.35">
      <c r="A39" t="s">
        <v>389</v>
      </c>
      <c r="B39">
        <v>7800</v>
      </c>
      <c r="C39">
        <v>1170</v>
      </c>
      <c r="D39">
        <v>3</v>
      </c>
      <c r="E39" t="s">
        <v>328</v>
      </c>
      <c r="F39" t="s">
        <v>390</v>
      </c>
      <c r="G39" t="s">
        <v>326</v>
      </c>
    </row>
    <row r="40" spans="1:7" x14ac:dyDescent="0.35">
      <c r="A40" t="s">
        <v>391</v>
      </c>
      <c r="B40">
        <v>24000</v>
      </c>
      <c r="C40">
        <v>3600</v>
      </c>
      <c r="D40">
        <v>1</v>
      </c>
      <c r="E40" t="s">
        <v>306</v>
      </c>
      <c r="F40" t="s">
        <v>392</v>
      </c>
      <c r="G40" t="s">
        <v>316</v>
      </c>
    </row>
    <row r="41" spans="1:7" x14ac:dyDescent="0.35">
      <c r="A41" t="s">
        <v>393</v>
      </c>
      <c r="B41">
        <v>3500</v>
      </c>
      <c r="C41">
        <v>525</v>
      </c>
      <c r="D41">
        <v>5</v>
      </c>
      <c r="E41" t="s">
        <v>322</v>
      </c>
      <c r="F41" t="s">
        <v>394</v>
      </c>
      <c r="G41" t="s">
        <v>320</v>
      </c>
    </row>
    <row r="42" spans="1:7" x14ac:dyDescent="0.35">
      <c r="A42" t="s">
        <v>395</v>
      </c>
      <c r="B42">
        <v>14500</v>
      </c>
      <c r="C42">
        <v>2175</v>
      </c>
      <c r="D42">
        <v>1</v>
      </c>
      <c r="E42" t="s">
        <v>314</v>
      </c>
      <c r="F42" t="s">
        <v>396</v>
      </c>
      <c r="G42" t="s">
        <v>312</v>
      </c>
    </row>
    <row r="43" spans="1:7" x14ac:dyDescent="0.35">
      <c r="A43" t="s">
        <v>397</v>
      </c>
      <c r="B43">
        <v>5300</v>
      </c>
      <c r="C43">
        <v>795</v>
      </c>
      <c r="D43">
        <v>2</v>
      </c>
      <c r="E43" t="s">
        <v>318</v>
      </c>
      <c r="F43" t="s">
        <v>398</v>
      </c>
      <c r="G43" t="s">
        <v>308</v>
      </c>
    </row>
    <row r="44" spans="1:7" x14ac:dyDescent="0.35">
      <c r="A44" t="s">
        <v>399</v>
      </c>
      <c r="B44">
        <v>19000</v>
      </c>
      <c r="C44">
        <v>2850</v>
      </c>
      <c r="D44">
        <v>1</v>
      </c>
      <c r="E44" t="s">
        <v>306</v>
      </c>
      <c r="F44" t="s">
        <v>361</v>
      </c>
      <c r="G44" t="s">
        <v>326</v>
      </c>
    </row>
    <row r="45" spans="1:7" x14ac:dyDescent="0.35">
      <c r="A45" t="s">
        <v>400</v>
      </c>
      <c r="B45">
        <v>3600</v>
      </c>
      <c r="C45">
        <v>540</v>
      </c>
      <c r="D45">
        <v>6</v>
      </c>
      <c r="E45" t="s">
        <v>322</v>
      </c>
      <c r="F45" t="s">
        <v>401</v>
      </c>
      <c r="G45" t="s">
        <v>316</v>
      </c>
    </row>
    <row r="46" spans="1:7" x14ac:dyDescent="0.35">
      <c r="A46" t="s">
        <v>402</v>
      </c>
      <c r="B46">
        <v>11200</v>
      </c>
      <c r="C46">
        <v>1680</v>
      </c>
      <c r="D46">
        <v>3</v>
      </c>
      <c r="E46" t="s">
        <v>310</v>
      </c>
      <c r="F46" t="s">
        <v>403</v>
      </c>
      <c r="G46" t="s">
        <v>320</v>
      </c>
    </row>
    <row r="47" spans="1:7" x14ac:dyDescent="0.35">
      <c r="A47" t="s">
        <v>404</v>
      </c>
      <c r="B47">
        <v>6800</v>
      </c>
      <c r="C47">
        <v>1020</v>
      </c>
      <c r="D47">
        <v>2</v>
      </c>
      <c r="E47" t="s">
        <v>328</v>
      </c>
      <c r="F47" t="s">
        <v>405</v>
      </c>
      <c r="G47" t="s">
        <v>312</v>
      </c>
    </row>
    <row r="48" spans="1:7" x14ac:dyDescent="0.35">
      <c r="A48" t="s">
        <v>406</v>
      </c>
      <c r="B48">
        <v>21500</v>
      </c>
      <c r="C48">
        <v>3225</v>
      </c>
      <c r="D48">
        <v>2</v>
      </c>
      <c r="E48" t="s">
        <v>306</v>
      </c>
      <c r="F48" t="s">
        <v>407</v>
      </c>
      <c r="G48" t="s">
        <v>308</v>
      </c>
    </row>
    <row r="49" spans="1:7" x14ac:dyDescent="0.35">
      <c r="A49" t="s">
        <v>408</v>
      </c>
      <c r="B49">
        <v>8400</v>
      </c>
      <c r="C49">
        <v>1260</v>
      </c>
      <c r="D49">
        <v>4</v>
      </c>
      <c r="E49" t="s">
        <v>318</v>
      </c>
      <c r="F49" t="s">
        <v>409</v>
      </c>
      <c r="G49" t="s">
        <v>316</v>
      </c>
    </row>
    <row r="50" spans="1:7" x14ac:dyDescent="0.35">
      <c r="A50" t="s">
        <v>410</v>
      </c>
      <c r="B50">
        <v>27000</v>
      </c>
      <c r="C50">
        <v>4050</v>
      </c>
      <c r="D50">
        <v>1</v>
      </c>
      <c r="E50" t="s">
        <v>314</v>
      </c>
      <c r="F50" t="s">
        <v>411</v>
      </c>
      <c r="G50" t="s">
        <v>312</v>
      </c>
    </row>
    <row r="51" spans="1:7" x14ac:dyDescent="0.35">
      <c r="A51" t="s">
        <v>412</v>
      </c>
      <c r="B51">
        <v>3900</v>
      </c>
      <c r="C51">
        <v>585</v>
      </c>
      <c r="D51">
        <v>3</v>
      </c>
      <c r="E51" t="s">
        <v>322</v>
      </c>
      <c r="F51" t="s">
        <v>413</v>
      </c>
      <c r="G51" t="s">
        <v>320</v>
      </c>
    </row>
    <row r="54" spans="1:7" x14ac:dyDescent="0.35">
      <c r="A54" t="s">
        <v>106</v>
      </c>
      <c r="B54" t="s">
        <v>419</v>
      </c>
      <c r="G54">
        <f>SUMIF(E2:E51,"=Electronics",B2:B51)</f>
        <v>235000</v>
      </c>
    </row>
    <row r="55" spans="1:7" x14ac:dyDescent="0.35">
      <c r="A55" t="s">
        <v>108</v>
      </c>
      <c r="B55" t="s">
        <v>420</v>
      </c>
      <c r="G55">
        <f>SUMIF(G2:G51,"=Credit Card",B2:B51)</f>
        <v>189500</v>
      </c>
    </row>
    <row r="56" spans="1:7" x14ac:dyDescent="0.35">
      <c r="A56" t="s">
        <v>110</v>
      </c>
      <c r="B56" t="s">
        <v>421</v>
      </c>
      <c r="G56">
        <f>SUMIFS(B2:B51,E2:E51,"=Electronics",G2:G51,"=Credit Card")</f>
        <v>115000</v>
      </c>
    </row>
    <row r="57" spans="1:7" x14ac:dyDescent="0.35">
      <c r="A57" t="s">
        <v>112</v>
      </c>
      <c r="B57" t="s">
        <v>422</v>
      </c>
      <c r="G57">
        <f>SUMIFS(B2:B51,E2:E51,"=Appliances",D2:D51,"&gt;2")</f>
        <v>0</v>
      </c>
    </row>
    <row r="58" spans="1:7" x14ac:dyDescent="0.35">
      <c r="A58" t="s">
        <v>114</v>
      </c>
      <c r="B58" t="s">
        <v>423</v>
      </c>
      <c r="G58">
        <f>COUNTIF(E2:E51,"=Fashion")</f>
        <v>7</v>
      </c>
    </row>
    <row r="59" spans="1:7" x14ac:dyDescent="0.35">
      <c r="A59" t="s">
        <v>116</v>
      </c>
      <c r="B59" t="s">
        <v>424</v>
      </c>
      <c r="G59">
        <f>COUNTIF(G2:G51,"=UPI")</f>
        <v>11</v>
      </c>
    </row>
    <row r="60" spans="1:7" x14ac:dyDescent="0.35">
      <c r="A60" t="s">
        <v>118</v>
      </c>
      <c r="B60" t="s">
        <v>425</v>
      </c>
      <c r="G60">
        <f>COUNTIFS(E2:E51,"=Furniture",D2:D51,"=3")</f>
        <v>4</v>
      </c>
    </row>
    <row r="61" spans="1:7" x14ac:dyDescent="0.35">
      <c r="A61" t="s">
        <v>120</v>
      </c>
      <c r="B61" t="s">
        <v>426</v>
      </c>
      <c r="G61">
        <f>COUNTIFS(E2:E51,"=Stationery",G2:G51,"=Cash on Delivery")</f>
        <v>6</v>
      </c>
    </row>
    <row r="62" spans="1:7" x14ac:dyDescent="0.35">
      <c r="A62" t="s">
        <v>123</v>
      </c>
      <c r="B62" t="s">
        <v>427</v>
      </c>
      <c r="G62">
        <f>AVERAGEIF(E2:E51,"=Home Decor",B2:B51)</f>
        <v>5357.1428571428569</v>
      </c>
    </row>
    <row r="63" spans="1:7" x14ac:dyDescent="0.35">
      <c r="A63" t="s">
        <v>125</v>
      </c>
      <c r="B63" t="s">
        <v>428</v>
      </c>
      <c r="G63">
        <f>AVERAGEIF(G2:G51,"=Debit Card",D2:D51)</f>
        <v>2.0909090909090908</v>
      </c>
    </row>
    <row r="64" spans="1:7" x14ac:dyDescent="0.35">
      <c r="A64" t="s">
        <v>127</v>
      </c>
      <c r="B64" t="s">
        <v>429</v>
      </c>
      <c r="G64">
        <f>AVERAGEIFS(B2:B51,E2:E51,"=Appliances",D2:D51,"&gt;1")</f>
        <v>17700</v>
      </c>
    </row>
    <row r="65" spans="1:7" x14ac:dyDescent="0.35">
      <c r="A65" t="s">
        <v>418</v>
      </c>
      <c r="B65" t="s">
        <v>430</v>
      </c>
      <c r="G65">
        <f>AVERAGEIFS(B2:B51,E2:E51,"=Electronics",G2:G51,"=Credit Card")</f>
        <v>19166.666666666668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ECFD-F0D3-4BAC-8E08-A2CFD89846A5}">
  <dimension ref="A1:V31"/>
  <sheetViews>
    <sheetView tabSelected="1" topLeftCell="K1" workbookViewId="0">
      <selection activeCell="J5" sqref="J5:T5"/>
    </sheetView>
  </sheetViews>
  <sheetFormatPr defaultRowHeight="14.5" x14ac:dyDescent="0.35"/>
  <cols>
    <col min="1" max="1" width="13.26953125" customWidth="1"/>
    <col min="2" max="2" width="14.6328125" bestFit="1" customWidth="1"/>
    <col min="3" max="3" width="12.6328125" customWidth="1"/>
    <col min="4" max="4" width="15.6328125" bestFit="1" customWidth="1"/>
    <col min="5" max="5" width="20.81640625" bestFit="1" customWidth="1"/>
    <col min="6" max="6" width="10.36328125" bestFit="1" customWidth="1"/>
    <col min="7" max="7" width="13.26953125" bestFit="1" customWidth="1"/>
    <col min="22" max="22" width="13.81640625" bestFit="1" customWidth="1"/>
  </cols>
  <sheetData>
    <row r="1" spans="1:22" x14ac:dyDescent="0.35">
      <c r="A1" s="52" t="s">
        <v>431</v>
      </c>
      <c r="B1" s="52" t="s">
        <v>209</v>
      </c>
      <c r="C1" s="52" t="s">
        <v>212</v>
      </c>
      <c r="D1" s="52" t="s">
        <v>210</v>
      </c>
      <c r="E1" s="52" t="s">
        <v>432</v>
      </c>
      <c r="F1" s="52" t="s">
        <v>211</v>
      </c>
      <c r="G1" s="52" t="s">
        <v>433</v>
      </c>
    </row>
    <row r="2" spans="1:22" x14ac:dyDescent="0.35">
      <c r="A2" s="53">
        <v>1</v>
      </c>
      <c r="B2" s="53" t="s">
        <v>434</v>
      </c>
      <c r="C2" s="53">
        <v>34</v>
      </c>
      <c r="D2" s="53" t="s">
        <v>231</v>
      </c>
      <c r="E2" s="53" t="s">
        <v>435</v>
      </c>
      <c r="F2" s="54">
        <v>75000</v>
      </c>
      <c r="G2" s="55">
        <v>42078</v>
      </c>
    </row>
    <row r="3" spans="1:22" x14ac:dyDescent="0.35">
      <c r="A3" s="53">
        <v>2</v>
      </c>
      <c r="B3" s="53" t="s">
        <v>436</v>
      </c>
      <c r="C3" s="53">
        <v>28</v>
      </c>
      <c r="D3" s="53" t="s">
        <v>222</v>
      </c>
      <c r="E3" s="53" t="s">
        <v>437</v>
      </c>
      <c r="F3" s="54">
        <v>60000</v>
      </c>
      <c r="G3" s="55">
        <v>42909</v>
      </c>
    </row>
    <row r="4" spans="1:22" ht="15" thickBot="1" x14ac:dyDescent="0.4">
      <c r="A4" s="53">
        <v>3</v>
      </c>
      <c r="B4" s="53" t="s">
        <v>438</v>
      </c>
      <c r="C4" s="53">
        <v>45</v>
      </c>
      <c r="D4" s="53" t="s">
        <v>218</v>
      </c>
      <c r="E4" s="53" t="s">
        <v>439</v>
      </c>
      <c r="F4" s="54">
        <v>90000</v>
      </c>
      <c r="G4" s="55">
        <v>41217</v>
      </c>
      <c r="J4" s="56" t="s">
        <v>495</v>
      </c>
      <c r="V4" t="s">
        <v>515</v>
      </c>
    </row>
    <row r="5" spans="1:22" x14ac:dyDescent="0.35">
      <c r="A5" s="53">
        <v>4</v>
      </c>
      <c r="B5" s="53" t="s">
        <v>440</v>
      </c>
      <c r="C5" s="53">
        <v>29</v>
      </c>
      <c r="D5" s="53" t="s">
        <v>226</v>
      </c>
      <c r="E5" s="53" t="s">
        <v>441</v>
      </c>
      <c r="F5" s="54">
        <v>85000</v>
      </c>
      <c r="G5" s="55">
        <v>43326</v>
      </c>
      <c r="J5" s="112" t="s">
        <v>496</v>
      </c>
      <c r="K5" s="113"/>
      <c r="L5" s="113"/>
      <c r="M5" s="113"/>
      <c r="N5" s="113"/>
      <c r="O5" s="113"/>
      <c r="P5" s="113"/>
      <c r="Q5" s="113"/>
      <c r="R5" s="113"/>
      <c r="S5" s="113"/>
      <c r="T5" s="114"/>
      <c r="V5">
        <f>SUMIF(Table2[Department],"=Marketing",Table2[Salary])</f>
        <v>415000</v>
      </c>
    </row>
    <row r="6" spans="1:22" x14ac:dyDescent="0.35">
      <c r="A6" s="53">
        <v>5</v>
      </c>
      <c r="B6" s="53" t="s">
        <v>442</v>
      </c>
      <c r="C6" s="53">
        <v>31</v>
      </c>
      <c r="D6" s="53" t="s">
        <v>443</v>
      </c>
      <c r="E6" s="53" t="s">
        <v>444</v>
      </c>
      <c r="F6" s="54">
        <v>65000</v>
      </c>
      <c r="G6" s="55">
        <v>42427</v>
      </c>
      <c r="J6" s="102" t="s">
        <v>497</v>
      </c>
      <c r="K6" s="103"/>
      <c r="L6" s="103"/>
      <c r="M6" s="103"/>
      <c r="N6" s="103"/>
      <c r="O6" s="103"/>
      <c r="P6" s="103"/>
      <c r="Q6" s="103"/>
      <c r="R6" s="103"/>
      <c r="S6" s="103"/>
      <c r="T6" s="104"/>
      <c r="V6">
        <f>SUMIF(Table2[Age],"&lt;30",Table2[Salary])</f>
        <v>518000</v>
      </c>
    </row>
    <row r="7" spans="1:22" x14ac:dyDescent="0.35">
      <c r="A7" s="53">
        <v>6</v>
      </c>
      <c r="B7" s="53" t="s">
        <v>445</v>
      </c>
      <c r="C7" s="53">
        <v>41</v>
      </c>
      <c r="D7" s="53" t="s">
        <v>231</v>
      </c>
      <c r="E7" s="53" t="s">
        <v>446</v>
      </c>
      <c r="F7" s="54">
        <v>50000</v>
      </c>
      <c r="G7" s="55">
        <v>41775</v>
      </c>
      <c r="J7" s="102" t="s">
        <v>498</v>
      </c>
      <c r="K7" s="103"/>
      <c r="L7" s="103"/>
      <c r="M7" s="103"/>
      <c r="N7" s="103"/>
      <c r="O7" s="103"/>
      <c r="P7" s="103"/>
      <c r="Q7" s="103"/>
      <c r="R7" s="103"/>
      <c r="S7" s="103"/>
      <c r="T7" s="104"/>
      <c r="V7">
        <f>COUNTIF(Table2[Department],"=Sales")</f>
        <v>6</v>
      </c>
    </row>
    <row r="8" spans="1:22" x14ac:dyDescent="0.35">
      <c r="A8" s="53">
        <v>7</v>
      </c>
      <c r="B8" s="53" t="s">
        <v>447</v>
      </c>
      <c r="C8" s="53">
        <v>37</v>
      </c>
      <c r="D8" s="53" t="s">
        <v>222</v>
      </c>
      <c r="E8" s="53" t="s">
        <v>448</v>
      </c>
      <c r="F8" s="54">
        <v>80000</v>
      </c>
      <c r="G8" s="55">
        <v>41526</v>
      </c>
      <c r="J8" s="102" t="s">
        <v>499</v>
      </c>
      <c r="K8" s="103"/>
      <c r="L8" s="103"/>
      <c r="M8" s="103"/>
      <c r="N8" s="103"/>
      <c r="O8" s="103"/>
      <c r="P8" s="103"/>
      <c r="Q8" s="103"/>
      <c r="R8" s="103"/>
      <c r="S8" s="103"/>
      <c r="T8" s="104"/>
      <c r="V8">
        <f>COUNTIF(Table2[Salary],"&gt;70000")</f>
        <v>14</v>
      </c>
    </row>
    <row r="9" spans="1:22" x14ac:dyDescent="0.35">
      <c r="A9" s="53">
        <v>8</v>
      </c>
      <c r="B9" s="53" t="s">
        <v>449</v>
      </c>
      <c r="C9" s="53">
        <v>33</v>
      </c>
      <c r="D9" s="53" t="s">
        <v>218</v>
      </c>
      <c r="E9" s="53" t="s">
        <v>450</v>
      </c>
      <c r="F9" s="54">
        <v>70000</v>
      </c>
      <c r="G9" s="55">
        <v>42738</v>
      </c>
      <c r="J9" s="102" t="s">
        <v>500</v>
      </c>
      <c r="K9" s="103"/>
      <c r="L9" s="103"/>
      <c r="M9" s="103"/>
      <c r="N9" s="103"/>
      <c r="O9" s="103"/>
      <c r="P9" s="103"/>
      <c r="Q9" s="103"/>
      <c r="R9" s="103"/>
      <c r="S9" s="103"/>
      <c r="T9" s="104"/>
      <c r="V9">
        <f>AVERAGEIF(Table2[Department],"=IT",Table2[Salary])</f>
        <v>83000</v>
      </c>
    </row>
    <row r="10" spans="1:22" x14ac:dyDescent="0.35">
      <c r="A10" s="53">
        <v>9</v>
      </c>
      <c r="B10" s="53" t="s">
        <v>451</v>
      </c>
      <c r="C10" s="53">
        <v>40</v>
      </c>
      <c r="D10" s="53" t="s">
        <v>226</v>
      </c>
      <c r="E10" s="53" t="s">
        <v>452</v>
      </c>
      <c r="F10" s="54">
        <v>75000</v>
      </c>
      <c r="G10" s="55">
        <v>42210</v>
      </c>
      <c r="J10" s="102" t="s">
        <v>501</v>
      </c>
      <c r="K10" s="103"/>
      <c r="L10" s="103"/>
      <c r="M10" s="103"/>
      <c r="N10" s="103"/>
      <c r="O10" s="103"/>
      <c r="P10" s="103"/>
      <c r="Q10" s="103"/>
      <c r="R10" s="103"/>
      <c r="S10" s="103"/>
      <c r="T10" s="104"/>
      <c r="V10">
        <f>AVERAGEIF(Table2[Age],"&gt;30",Table2[Salary])</f>
        <v>74200</v>
      </c>
    </row>
    <row r="11" spans="1:22" x14ac:dyDescent="0.35">
      <c r="A11" s="53">
        <v>10</v>
      </c>
      <c r="B11" s="53" t="s">
        <v>453</v>
      </c>
      <c r="C11" s="53">
        <v>27</v>
      </c>
      <c r="D11" s="53" t="s">
        <v>443</v>
      </c>
      <c r="E11" s="53" t="s">
        <v>454</v>
      </c>
      <c r="F11" s="54">
        <v>68000</v>
      </c>
      <c r="G11" s="55">
        <v>43567</v>
      </c>
      <c r="J11" s="102" t="s">
        <v>502</v>
      </c>
      <c r="K11" s="103"/>
      <c r="L11" s="103"/>
      <c r="M11" s="103"/>
      <c r="N11" s="103"/>
      <c r="O11" s="103"/>
      <c r="P11" s="103"/>
      <c r="Q11" s="103"/>
      <c r="R11" s="103"/>
      <c r="S11" s="103"/>
      <c r="T11" s="104"/>
      <c r="V11">
        <f>SUMIFS(Table2[Salary],Table2[Department],"=HR",Table2[Salary],"&gt;65000")</f>
        <v>313000</v>
      </c>
    </row>
    <row r="12" spans="1:22" x14ac:dyDescent="0.35">
      <c r="A12" s="53">
        <v>11</v>
      </c>
      <c r="B12" s="53" t="s">
        <v>455</v>
      </c>
      <c r="C12" s="53">
        <v>35</v>
      </c>
      <c r="D12" s="53" t="s">
        <v>231</v>
      </c>
      <c r="E12" s="53" t="s">
        <v>456</v>
      </c>
      <c r="F12" s="54">
        <v>72000</v>
      </c>
      <c r="G12" s="55">
        <v>42662</v>
      </c>
      <c r="J12" s="102" t="s">
        <v>503</v>
      </c>
      <c r="K12" s="103"/>
      <c r="L12" s="103"/>
      <c r="M12" s="103"/>
      <c r="N12" s="103"/>
      <c r="O12" s="103"/>
      <c r="P12" s="103"/>
      <c r="Q12" s="103"/>
      <c r="R12" s="103"/>
      <c r="S12" s="103"/>
      <c r="T12" s="104"/>
      <c r="V12">
        <f>SUMIFS(Table2[Salary],Table2[Department],"=Finance",Table2[Age],"&gt;35")</f>
        <v>0</v>
      </c>
    </row>
    <row r="13" spans="1:22" x14ac:dyDescent="0.35">
      <c r="A13" s="53">
        <v>12</v>
      </c>
      <c r="B13" s="53" t="s">
        <v>457</v>
      </c>
      <c r="C13" s="53">
        <v>30</v>
      </c>
      <c r="D13" s="53" t="s">
        <v>222</v>
      </c>
      <c r="E13" s="53" t="s">
        <v>458</v>
      </c>
      <c r="F13" s="54">
        <v>55000</v>
      </c>
      <c r="G13" s="55">
        <v>43435</v>
      </c>
      <c r="J13" s="102" t="s">
        <v>504</v>
      </c>
      <c r="K13" s="103"/>
      <c r="L13" s="103"/>
      <c r="M13" s="103"/>
      <c r="N13" s="103"/>
      <c r="O13" s="103"/>
      <c r="P13" s="103"/>
      <c r="Q13" s="103"/>
      <c r="R13" s="103"/>
      <c r="S13" s="103"/>
      <c r="T13" s="104"/>
      <c r="V13">
        <f>COUNTIFS(Table2[Department],"=Sales",Table2[Salary],"&lt;60000")</f>
        <v>3</v>
      </c>
    </row>
    <row r="14" spans="1:22" x14ac:dyDescent="0.35">
      <c r="A14" s="53">
        <v>13</v>
      </c>
      <c r="B14" s="53" t="s">
        <v>459</v>
      </c>
      <c r="C14" s="53">
        <v>42</v>
      </c>
      <c r="D14" s="53" t="s">
        <v>218</v>
      </c>
      <c r="E14" s="53" t="s">
        <v>460</v>
      </c>
      <c r="F14" s="54">
        <v>85000</v>
      </c>
      <c r="G14" s="55">
        <v>41447</v>
      </c>
      <c r="J14" s="102" t="s">
        <v>505</v>
      </c>
      <c r="K14" s="103"/>
      <c r="L14" s="103"/>
      <c r="M14" s="103"/>
      <c r="N14" s="103"/>
      <c r="O14" s="103"/>
      <c r="P14" s="103"/>
      <c r="Q14" s="103"/>
      <c r="R14" s="103"/>
      <c r="S14" s="103"/>
      <c r="T14" s="104"/>
      <c r="V14">
        <f>COUNTIFS(Table2[Age],"&gt;32",Table2[Salary],"&gt;75000")</f>
        <v>6</v>
      </c>
    </row>
    <row r="15" spans="1:22" x14ac:dyDescent="0.35">
      <c r="A15" s="53">
        <v>14</v>
      </c>
      <c r="B15" s="53" t="s">
        <v>461</v>
      </c>
      <c r="C15" s="53">
        <v>32</v>
      </c>
      <c r="D15" s="53" t="s">
        <v>226</v>
      </c>
      <c r="E15" s="53" t="s">
        <v>462</v>
      </c>
      <c r="F15" s="54">
        <v>78000</v>
      </c>
      <c r="G15" s="55">
        <v>42093</v>
      </c>
      <c r="J15" s="102" t="s">
        <v>506</v>
      </c>
      <c r="K15" s="103"/>
      <c r="L15" s="103"/>
      <c r="M15" s="103"/>
      <c r="N15" s="103"/>
      <c r="O15" s="103"/>
      <c r="P15" s="103"/>
      <c r="Q15" s="103"/>
      <c r="R15" s="103"/>
      <c r="S15" s="103"/>
      <c r="T15" s="104"/>
      <c r="V15">
        <f>AVERAGEIFS(Table2[Salary],Table2[Department],"=Marketing",Table2[Salary],"&gt;60000")</f>
        <v>75000</v>
      </c>
    </row>
    <row r="16" spans="1:22" x14ac:dyDescent="0.35">
      <c r="A16" s="53">
        <v>15</v>
      </c>
      <c r="B16" s="53" t="s">
        <v>463</v>
      </c>
      <c r="C16" s="53">
        <v>29</v>
      </c>
      <c r="D16" s="53" t="s">
        <v>443</v>
      </c>
      <c r="E16" s="53" t="s">
        <v>464</v>
      </c>
      <c r="F16" s="54">
        <v>70000</v>
      </c>
      <c r="G16" s="55">
        <v>43235</v>
      </c>
      <c r="J16" s="102" t="s">
        <v>507</v>
      </c>
      <c r="K16" s="103"/>
      <c r="L16" s="103"/>
      <c r="M16" s="103"/>
      <c r="N16" s="103"/>
      <c r="O16" s="103"/>
      <c r="P16" s="103"/>
      <c r="Q16" s="103"/>
      <c r="R16" s="103"/>
      <c r="S16" s="103"/>
      <c r="T16" s="104"/>
      <c r="V16">
        <f>AVERAGEIFS(Table2[Salary],Table2[Department],"=Finance",Table2[Age],"&lt;32")</f>
        <v>67666.666666666672</v>
      </c>
    </row>
    <row r="17" spans="1:22" x14ac:dyDescent="0.35">
      <c r="A17" s="53">
        <v>16</v>
      </c>
      <c r="B17" s="53" t="s">
        <v>465</v>
      </c>
      <c r="C17" s="53">
        <v>26</v>
      </c>
      <c r="D17" s="53" t="s">
        <v>231</v>
      </c>
      <c r="E17" s="53" t="s">
        <v>466</v>
      </c>
      <c r="F17" s="54">
        <v>55000</v>
      </c>
      <c r="G17" s="55">
        <v>43850</v>
      </c>
      <c r="J17" s="102" t="s">
        <v>508</v>
      </c>
      <c r="K17" s="103"/>
      <c r="L17" s="103"/>
      <c r="M17" s="103"/>
      <c r="N17" s="103"/>
      <c r="O17" s="103"/>
      <c r="P17" s="103"/>
      <c r="Q17" s="103"/>
      <c r="R17" s="103"/>
      <c r="S17" s="103"/>
      <c r="T17" s="104"/>
      <c r="V17" t="str">
        <f>VLOOKUP("Laura Baker",Table2[[#All],[Name]:[Hire Date]],4,FALSE)</f>
        <v>Content Creator</v>
      </c>
    </row>
    <row r="18" spans="1:22" ht="15" thickBot="1" x14ac:dyDescent="0.4">
      <c r="A18" s="53">
        <v>17</v>
      </c>
      <c r="B18" s="53" t="s">
        <v>467</v>
      </c>
      <c r="C18" s="53">
        <v>38</v>
      </c>
      <c r="D18" s="53" t="s">
        <v>222</v>
      </c>
      <c r="E18" s="53" t="s">
        <v>468</v>
      </c>
      <c r="F18" s="54">
        <v>65000</v>
      </c>
      <c r="G18" s="55">
        <v>41833</v>
      </c>
      <c r="J18" s="105" t="s">
        <v>509</v>
      </c>
      <c r="K18" s="106"/>
      <c r="L18" s="106"/>
      <c r="M18" s="106"/>
      <c r="N18" s="106"/>
      <c r="O18" s="106"/>
      <c r="P18" s="106"/>
      <c r="Q18" s="106"/>
      <c r="R18" s="106"/>
      <c r="S18" s="106"/>
      <c r="T18" s="107"/>
      <c r="V18" s="36">
        <f>VLOOKUP(A20,Table2[#All],7,0)</f>
        <v>41187</v>
      </c>
    </row>
    <row r="19" spans="1:22" x14ac:dyDescent="0.35">
      <c r="A19" s="53">
        <v>18</v>
      </c>
      <c r="B19" s="53" t="s">
        <v>469</v>
      </c>
      <c r="C19" s="53">
        <v>31</v>
      </c>
      <c r="D19" s="53" t="s">
        <v>218</v>
      </c>
      <c r="E19" s="53" t="s">
        <v>470</v>
      </c>
      <c r="F19" s="54">
        <v>60000</v>
      </c>
      <c r="G19" s="55">
        <v>43003</v>
      </c>
      <c r="J19" s="108" t="s">
        <v>510</v>
      </c>
      <c r="K19" s="109"/>
      <c r="L19" s="109"/>
      <c r="M19" s="109"/>
      <c r="N19" s="109"/>
      <c r="O19" s="109"/>
      <c r="P19" s="109"/>
      <c r="Q19" s="109"/>
      <c r="R19" s="109"/>
      <c r="S19" s="109"/>
      <c r="T19" s="110"/>
      <c r="V19" t="str">
        <f>VLOOKUP(Table2[[#This Row],[Name]],Table2[[#All],[Name]:[Hire Date]],4,0)</f>
        <v>HR Coordinator</v>
      </c>
    </row>
    <row r="20" spans="1:22" x14ac:dyDescent="0.35">
      <c r="A20" s="53">
        <v>19</v>
      </c>
      <c r="B20" s="53" t="s">
        <v>471</v>
      </c>
      <c r="C20" s="53">
        <v>44</v>
      </c>
      <c r="D20" s="53" t="s">
        <v>226</v>
      </c>
      <c r="E20" s="53" t="s">
        <v>472</v>
      </c>
      <c r="F20" s="54">
        <v>90000</v>
      </c>
      <c r="G20" s="55">
        <v>41187</v>
      </c>
      <c r="J20" s="72" t="s">
        <v>511</v>
      </c>
      <c r="K20" s="73"/>
      <c r="L20" s="73"/>
      <c r="M20" s="73"/>
      <c r="N20" s="73"/>
      <c r="O20" s="73"/>
      <c r="P20" s="73"/>
      <c r="Q20" s="73"/>
      <c r="R20" s="73"/>
      <c r="S20" s="73"/>
      <c r="T20" s="111"/>
      <c r="V20">
        <f>VLOOKUP(A11,Table2[#All],6,0)</f>
        <v>68000</v>
      </c>
    </row>
    <row r="21" spans="1:22" x14ac:dyDescent="0.35">
      <c r="A21" s="53">
        <v>20</v>
      </c>
      <c r="B21" s="53" t="s">
        <v>473</v>
      </c>
      <c r="C21" s="53">
        <v>33</v>
      </c>
      <c r="D21" s="53" t="s">
        <v>443</v>
      </c>
      <c r="E21" s="53" t="s">
        <v>474</v>
      </c>
      <c r="F21" s="54">
        <v>75000</v>
      </c>
      <c r="G21" s="55">
        <v>42358</v>
      </c>
      <c r="J21" s="72" t="s">
        <v>512</v>
      </c>
      <c r="K21" s="73"/>
      <c r="L21" s="73"/>
      <c r="M21" s="73"/>
      <c r="N21" s="73"/>
      <c r="O21" s="73"/>
      <c r="P21" s="73"/>
      <c r="Q21" s="73"/>
      <c r="R21" s="73"/>
      <c r="S21" s="73"/>
      <c r="T21" s="111"/>
      <c r="V21" t="str">
        <f>VLOOKUP("Eric Hill",Table2[[#All],[Name]:[Hire Date]],4,0)</f>
        <v>IT Manager</v>
      </c>
    </row>
    <row r="22" spans="1:22" x14ac:dyDescent="0.35">
      <c r="A22" s="53">
        <v>21</v>
      </c>
      <c r="B22" s="53" t="s">
        <v>475</v>
      </c>
      <c r="C22" s="53">
        <v>28</v>
      </c>
      <c r="D22" s="53" t="s">
        <v>231</v>
      </c>
      <c r="E22" s="53" t="s">
        <v>476</v>
      </c>
      <c r="F22" s="54">
        <v>58000</v>
      </c>
      <c r="G22" s="55">
        <v>43186</v>
      </c>
      <c r="J22" s="72" t="s">
        <v>513</v>
      </c>
      <c r="K22" s="73"/>
      <c r="L22" s="73"/>
      <c r="M22" s="73"/>
      <c r="N22" s="73"/>
      <c r="O22" s="73"/>
      <c r="P22" s="73"/>
      <c r="Q22" s="73"/>
      <c r="R22" s="73"/>
      <c r="S22" s="73"/>
      <c r="T22" s="111"/>
      <c r="V22">
        <f>VLOOKUP(A26,Table2[#All],3,0)</f>
        <v>34</v>
      </c>
    </row>
    <row r="23" spans="1:22" ht="15" thickBot="1" x14ac:dyDescent="0.4">
      <c r="A23" s="53">
        <v>22</v>
      </c>
      <c r="B23" s="53" t="s">
        <v>477</v>
      </c>
      <c r="C23" s="53">
        <v>36</v>
      </c>
      <c r="D23" s="53" t="s">
        <v>222</v>
      </c>
      <c r="E23" s="53" t="s">
        <v>478</v>
      </c>
      <c r="F23" s="54">
        <v>70000</v>
      </c>
      <c r="G23" s="55">
        <v>42590</v>
      </c>
      <c r="J23" s="75" t="s">
        <v>514</v>
      </c>
      <c r="K23" s="76"/>
      <c r="L23" s="76"/>
      <c r="M23" s="76"/>
      <c r="N23" s="76"/>
      <c r="O23" s="76"/>
      <c r="P23" s="76"/>
      <c r="Q23" s="76"/>
      <c r="R23" s="76"/>
      <c r="S23" s="76"/>
      <c r="T23" s="101"/>
      <c r="V23" s="36">
        <f>VLOOKUP(B7,Table2[[#All],[Name]:[Hire Date]],6,0)</f>
        <v>41775</v>
      </c>
    </row>
    <row r="24" spans="1:22" x14ac:dyDescent="0.35">
      <c r="A24" s="53">
        <v>23</v>
      </c>
      <c r="B24" s="53" t="s">
        <v>479</v>
      </c>
      <c r="C24" s="53">
        <v>39</v>
      </c>
      <c r="D24" s="53" t="s">
        <v>218</v>
      </c>
      <c r="E24" s="53" t="s">
        <v>480</v>
      </c>
      <c r="F24" s="54">
        <v>68000</v>
      </c>
      <c r="G24" s="55">
        <v>41955</v>
      </c>
    </row>
    <row r="25" spans="1:22" x14ac:dyDescent="0.35">
      <c r="A25" s="53">
        <v>24</v>
      </c>
      <c r="B25" s="53" t="s">
        <v>481</v>
      </c>
      <c r="C25" s="53">
        <v>30</v>
      </c>
      <c r="D25" s="53" t="s">
        <v>226</v>
      </c>
      <c r="E25" s="53" t="s">
        <v>482</v>
      </c>
      <c r="F25" s="54">
        <v>82000</v>
      </c>
      <c r="G25" s="55">
        <v>43285</v>
      </c>
    </row>
    <row r="26" spans="1:22" x14ac:dyDescent="0.35">
      <c r="A26" s="53">
        <v>25</v>
      </c>
      <c r="B26" s="53" t="s">
        <v>483</v>
      </c>
      <c r="C26" s="53">
        <v>34</v>
      </c>
      <c r="D26" s="53" t="s">
        <v>443</v>
      </c>
      <c r="E26" s="53" t="s">
        <v>484</v>
      </c>
      <c r="F26" s="54">
        <v>73000</v>
      </c>
      <c r="G26" s="55">
        <v>42776</v>
      </c>
    </row>
    <row r="27" spans="1:22" x14ac:dyDescent="0.35">
      <c r="A27" s="53">
        <v>26</v>
      </c>
      <c r="B27" s="53" t="s">
        <v>485</v>
      </c>
      <c r="C27" s="53">
        <v>27</v>
      </c>
      <c r="D27" s="53" t="s">
        <v>231</v>
      </c>
      <c r="E27" s="53" t="s">
        <v>486</v>
      </c>
      <c r="F27" s="54">
        <v>60000</v>
      </c>
      <c r="G27" s="55">
        <v>43631</v>
      </c>
    </row>
    <row r="28" spans="1:22" x14ac:dyDescent="0.35">
      <c r="A28" s="53">
        <v>27</v>
      </c>
      <c r="B28" s="53" t="s">
        <v>487</v>
      </c>
      <c r="C28" s="53">
        <v>45</v>
      </c>
      <c r="D28" s="53" t="s">
        <v>222</v>
      </c>
      <c r="E28" s="53" t="s">
        <v>488</v>
      </c>
      <c r="F28" s="54">
        <v>85000</v>
      </c>
      <c r="G28" s="55">
        <v>41339</v>
      </c>
    </row>
    <row r="29" spans="1:22" x14ac:dyDescent="0.35">
      <c r="A29" s="53">
        <v>28</v>
      </c>
      <c r="B29" s="53" t="s">
        <v>489</v>
      </c>
      <c r="C29" s="53">
        <v>29</v>
      </c>
      <c r="D29" s="53" t="s">
        <v>218</v>
      </c>
      <c r="E29" s="53" t="s">
        <v>490</v>
      </c>
      <c r="F29" s="54">
        <v>62000</v>
      </c>
      <c r="G29" s="55">
        <v>43384</v>
      </c>
    </row>
    <row r="30" spans="1:22" x14ac:dyDescent="0.35">
      <c r="A30" s="53">
        <v>29</v>
      </c>
      <c r="B30" s="53" t="s">
        <v>491</v>
      </c>
      <c r="C30" s="53">
        <v>40</v>
      </c>
      <c r="D30" s="53" t="s">
        <v>226</v>
      </c>
      <c r="E30" s="53" t="s">
        <v>492</v>
      </c>
      <c r="F30" s="54">
        <v>88000</v>
      </c>
      <c r="G30" s="55">
        <v>42029</v>
      </c>
    </row>
    <row r="31" spans="1:22" x14ac:dyDescent="0.35">
      <c r="A31" s="53">
        <v>30</v>
      </c>
      <c r="B31" s="53" t="s">
        <v>493</v>
      </c>
      <c r="C31" s="53">
        <v>32</v>
      </c>
      <c r="D31" s="53" t="s">
        <v>443</v>
      </c>
      <c r="E31" s="53" t="s">
        <v>494</v>
      </c>
      <c r="F31" s="54">
        <v>70000</v>
      </c>
      <c r="G31" s="55">
        <v>42692</v>
      </c>
    </row>
  </sheetData>
  <mergeCells count="19">
    <mergeCell ref="J16:T16"/>
    <mergeCell ref="J5:T5"/>
    <mergeCell ref="J6:T6"/>
    <mergeCell ref="J7:T7"/>
    <mergeCell ref="J8:T8"/>
    <mergeCell ref="J9:T9"/>
    <mergeCell ref="J10:T10"/>
    <mergeCell ref="J11:T11"/>
    <mergeCell ref="J12:T12"/>
    <mergeCell ref="J13:T13"/>
    <mergeCell ref="J14:T14"/>
    <mergeCell ref="J15:T15"/>
    <mergeCell ref="J23:T23"/>
    <mergeCell ref="J17:T17"/>
    <mergeCell ref="J18:T18"/>
    <mergeCell ref="J19:T19"/>
    <mergeCell ref="J20:T20"/>
    <mergeCell ref="J21:T21"/>
    <mergeCell ref="J22:T2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marksheet</vt:lpstr>
      <vt:lpstr>practice</vt:lpstr>
      <vt:lpstr>salary sheet</vt:lpstr>
      <vt:lpstr>vlookup</vt:lpstr>
      <vt:lpstr>Sheet2</vt:lpstr>
      <vt:lpstr>EMP DATA</vt:lpstr>
      <vt:lpstr>CASH MEMO</vt:lpstr>
      <vt:lpstr>SALESDATA</vt:lpstr>
      <vt:lpstr>1emp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2024-12-02T11:11:56Z</dcterms:created>
  <dcterms:modified xsi:type="dcterms:W3CDTF">2025-01-10T06:05:34Z</dcterms:modified>
</cp:coreProperties>
</file>