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https://imperiallondon.sharepoint.com/sites/GDP-Group6-CI/Shared Documents/General/Criteria/Energy effiency - Digital access/"/>
    </mc:Choice>
  </mc:AlternateContent>
  <xr:revisionPtr revIDLastSave="474" documentId="8_{01CA8946-3CD7-4B7F-AE55-683D2C734EE8}" xr6:coauthVersionLast="47" xr6:coauthVersionMax="47" xr10:uidLastSave="{D9E76A44-164D-466F-BFF6-DB196B0FCEC7}"/>
  <bookViews>
    <workbookView xWindow="5520" yWindow="280" windowWidth="15210" windowHeight="13400" xr2:uid="{00000000-000D-0000-FFFF-FFFF00000000}"/>
  </bookViews>
  <sheets>
    <sheet name="EE" sheetId="1" r:id="rId1"/>
    <sheet name="D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O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M12" i="1"/>
  <c r="M8" i="1"/>
  <c r="L15" i="1"/>
  <c r="M15" i="1"/>
  <c r="K15" i="1"/>
  <c r="L16" i="1"/>
  <c r="M16" i="1"/>
  <c r="K16" i="1"/>
  <c r="K12" i="1"/>
  <c r="M3" i="1"/>
  <c r="M4" i="1"/>
  <c r="M5" i="1"/>
  <c r="M6" i="1"/>
  <c r="M7" i="1"/>
  <c r="M9" i="1"/>
  <c r="M10" i="1"/>
  <c r="M11" i="1"/>
  <c r="M13" i="1"/>
  <c r="M14" i="1"/>
  <c r="M2" i="1"/>
  <c r="K2" i="1"/>
  <c r="K3" i="1"/>
  <c r="K4" i="1"/>
  <c r="K5" i="1"/>
  <c r="K6" i="1"/>
  <c r="K7" i="1"/>
  <c r="K8" i="1"/>
  <c r="K9" i="1"/>
  <c r="K10" i="1"/>
  <c r="K11" i="1"/>
  <c r="K13" i="1"/>
  <c r="K14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2" i="1"/>
  <c r="H2" i="1"/>
  <c r="J2" i="1"/>
  <c r="O17" i="1" l="1"/>
  <c r="N17" i="1"/>
</calcChain>
</file>

<file path=xl/sharedStrings.xml><?xml version="1.0" encoding="utf-8"?>
<sst xmlns="http://schemas.openxmlformats.org/spreadsheetml/2006/main" count="56" uniqueCount="56">
  <si>
    <t>Mode​</t>
  </si>
  <si>
    <t>Type</t>
  </si>
  <si>
    <t>Energy Consumption (kWh per ton-km)</t>
  </si>
  <si>
    <r>
      <t xml:space="preserve"> Fuel Efficiency (L per ton-km)</t>
    </r>
    <r>
      <rPr>
        <sz val="11"/>
        <color rgb="FF000000"/>
        <rFont val="Calibri"/>
        <family val="2"/>
        <scheme val="minor"/>
      </rPr>
      <t>​</t>
    </r>
  </si>
  <si>
    <t>Emission (kg CO2 per ton-km)​</t>
  </si>
  <si>
    <t xml:space="preserve">Energy Efficiency </t>
  </si>
  <si>
    <t>Nor Energy Consumption</t>
  </si>
  <si>
    <t>Nor Fuel Efficiency</t>
  </si>
  <si>
    <t xml:space="preserve">Nor Emission </t>
  </si>
  <si>
    <t>Energy efficiency score</t>
  </si>
  <si>
    <t xml:space="preserve">Normalised Energy Consumption </t>
  </si>
  <si>
    <t xml:space="preserve">Normalised Fuel Efficiency </t>
  </si>
  <si>
    <t>Normalised Emission</t>
  </si>
  <si>
    <t xml:space="preserve">Normalised Energy Efficiency </t>
  </si>
  <si>
    <t>Normalised Energy Efficiency %</t>
  </si>
  <si>
    <t>Higher score = Higher efficiency</t>
  </si>
  <si>
    <r>
      <t>Water</t>
    </r>
    <r>
      <rPr>
        <sz val="11"/>
        <color rgb="FF000000"/>
        <rFont val="Calibri"/>
        <family val="2"/>
        <scheme val="minor"/>
      </rPr>
      <t>​</t>
    </r>
  </si>
  <si>
    <t>Freezer Boat​</t>
  </si>
  <si>
    <t>Ferry with Freezer​</t>
  </si>
  <si>
    <t>Mid-Size ferry​</t>
  </si>
  <si>
    <t>Large ferry​</t>
  </si>
  <si>
    <t>River Barges​</t>
  </si>
  <si>
    <t>Voadeiras​</t>
  </si>
  <si>
    <r>
      <t>Road</t>
    </r>
    <r>
      <rPr>
        <sz val="11"/>
        <color rgb="FF000000"/>
        <rFont val="Calibri"/>
        <family val="2"/>
        <scheme val="minor"/>
      </rPr>
      <t>​</t>
    </r>
  </si>
  <si>
    <t>Refrigerator truck (Mercedes-Benz Actros, Volvo FH with refrigerated body)​</t>
  </si>
  <si>
    <t>Pickup Truck (Toyota Hilux, Ford Ranger)​</t>
  </si>
  <si>
    <t>Vans (Mercedes-Benz Sprinter)​</t>
  </si>
  <si>
    <t>Normal Truck (Volvo FMX, MAN TGS)​</t>
  </si>
  <si>
    <r>
      <t>Air</t>
    </r>
    <r>
      <rPr>
        <sz val="11"/>
        <color rgb="FF000000"/>
        <rFont val="Calibri"/>
        <family val="2"/>
        <scheme val="minor"/>
      </rPr>
      <t>​</t>
    </r>
  </si>
  <si>
    <t>Medium Propeller Planes (ATR 42)​</t>
  </si>
  <si>
    <t>Large Cargo Planes (Boeing 737-400 Freighter)​</t>
  </si>
  <si>
    <t>Helicopters (Sikorsky S-76)​</t>
  </si>
  <si>
    <r>
      <t>Train</t>
    </r>
    <r>
      <rPr>
        <sz val="11"/>
        <color rgb="FF000000"/>
        <rFont val="Calibri"/>
        <family val="2"/>
        <scheme val="minor"/>
      </rPr>
      <t>​</t>
    </r>
  </si>
  <si>
    <t>Standard Cargo Train​</t>
  </si>
  <si>
    <t>Refrigerated Cargo​</t>
  </si>
  <si>
    <t>Area</t>
  </si>
  <si>
    <t>Network Coverage (%)</t>
  </si>
  <si>
    <t>Internet Penetration Rate (%)</t>
  </si>
  <si>
    <t>Data Transfer Speed (Mbps)</t>
  </si>
  <si>
    <t>State of Amazonas</t>
  </si>
  <si>
    <t xml:space="preserve">More connected area </t>
  </si>
  <si>
    <t>State</t>
  </si>
  <si>
    <t>% digital access of total</t>
  </si>
  <si>
    <t xml:space="preserve">Acre </t>
  </si>
  <si>
    <t>Incremental improvement with a higher factor for less connected cities</t>
  </si>
  <si>
    <t xml:space="preserve">Amapa </t>
  </si>
  <si>
    <t>Just Macapá 5</t>
  </si>
  <si>
    <t xml:space="preserve">Para </t>
  </si>
  <si>
    <t xml:space="preserve">Amazonas </t>
  </si>
  <si>
    <t>Just Manaus 10</t>
  </si>
  <si>
    <t xml:space="preserve">Mato Grosso </t>
  </si>
  <si>
    <t xml:space="preserve">Rondônia </t>
  </si>
  <si>
    <t xml:space="preserve">Roraima </t>
  </si>
  <si>
    <t>Just Boa Vista 10</t>
  </si>
  <si>
    <t>Tocantins</t>
  </si>
  <si>
    <t xml:space="preserve">Maranhão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</si>
</sst>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0EC"/>
        <bgColor indexed="64"/>
      </patternFill>
    </fill>
    <fill>
      <patternFill patternType="solid">
        <fgColor rgb="FFDCE6F2"/>
        <bgColor indexed="64"/>
      </patternFill>
    </fill>
  </fills>
  <borders count="25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theme="0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medium">
        <color rgb="FFFFFFFF"/>
      </right>
      <top/>
      <bottom/>
      <diagonal/>
    </border>
    <border>
      <left style="thin">
        <color indexed="64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/>
      <diagonal/>
    </border>
    <border>
      <left/>
      <right style="medium">
        <color rgb="FFFFFFFF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24" xfId="0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="72" zoomScaleNormal="70" workbookViewId="0">
      <selection activeCell="U6" sqref="U6"/>
    </sheetView>
  </sheetViews>
  <sheetFormatPr defaultRowHeight="15"/>
  <cols>
    <col min="1" max="1" width="12.5703125" customWidth="1"/>
    <col min="2" max="2" width="34.42578125" bestFit="1" customWidth="1"/>
    <col min="3" max="3" width="19" customWidth="1"/>
    <col min="4" max="4" width="17" customWidth="1"/>
    <col min="5" max="5" width="17.28515625" customWidth="1"/>
    <col min="6" max="6" width="13.140625" customWidth="1"/>
    <col min="7" max="7" width="18.28515625" hidden="1" customWidth="1"/>
    <col min="8" max="8" width="13" hidden="1" customWidth="1"/>
    <col min="9" max="10" width="14.85546875" hidden="1" customWidth="1"/>
    <col min="11" max="15" width="14.85546875" customWidth="1"/>
    <col min="16" max="16" width="13.7109375" customWidth="1"/>
  </cols>
  <sheetData>
    <row r="1" spans="1:16" ht="45" customHeight="1">
      <c r="A1" s="13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 ht="21" customHeight="1">
      <c r="A2" s="28" t="s">
        <v>16</v>
      </c>
      <c r="B2" s="17" t="s">
        <v>17</v>
      </c>
      <c r="C2" s="18">
        <v>0.1</v>
      </c>
      <c r="D2" s="19">
        <v>0.03</v>
      </c>
      <c r="E2" s="20">
        <v>0</v>
      </c>
      <c r="F2" s="21">
        <f>(0.3*C2+0.3*D2+0.4*E2)</f>
        <v>3.9E-2</v>
      </c>
      <c r="G2" s="20">
        <f>((0.05)/(C$14-C$7))*10</f>
        <v>0.10101010101010102</v>
      </c>
      <c r="H2" s="20">
        <f>((D2-0.015)/(D$14-0.015))*10</f>
        <v>0.10101010101010099</v>
      </c>
      <c r="I2" s="20">
        <v>0</v>
      </c>
      <c r="J2" s="20">
        <f>0.4*G2+0.2*H2+0.4*I2</f>
        <v>6.0606060606060615E-2</v>
      </c>
      <c r="K2" s="20">
        <f>C2/15.59</f>
        <v>6.4143681847338039E-3</v>
      </c>
      <c r="L2" s="20">
        <f>D2/4.69</f>
        <v>6.396588486140724E-3</v>
      </c>
      <c r="M2" s="20">
        <f>E2/6.54</f>
        <v>0</v>
      </c>
      <c r="N2" s="21">
        <f>(0.3*K2+0.3*L2+0.4*M2)</f>
        <v>3.8432870012623582E-3</v>
      </c>
      <c r="O2" s="21">
        <f>N2*100</f>
        <v>0.38432870012623582</v>
      </c>
      <c r="P2" s="20">
        <f>100-O2</f>
        <v>99.615671299873767</v>
      </c>
    </row>
    <row r="3" spans="1:16" ht="18.95" customHeight="1">
      <c r="A3" s="29"/>
      <c r="B3" s="17" t="s">
        <v>18</v>
      </c>
      <c r="C3" s="18">
        <v>0.15</v>
      </c>
      <c r="D3" s="19">
        <v>0.05</v>
      </c>
      <c r="E3" s="20">
        <v>0.108</v>
      </c>
      <c r="F3" s="21">
        <f t="shared" ref="F3:F16" si="0">(0.3*C3+0.3*D3+0.4*E3)</f>
        <v>0.1032</v>
      </c>
      <c r="G3" s="20">
        <f>((C3-C$7)/(C$14-C$7))*10</f>
        <v>0.20202020202020199</v>
      </c>
      <c r="H3" s="20">
        <f>((D3-0.015)/(D$14-0.015))*10</f>
        <v>0.2356902356902357</v>
      </c>
      <c r="I3" s="20">
        <f>0.026*10</f>
        <v>0.26</v>
      </c>
      <c r="J3" s="20">
        <f>0.4*G3+0.2*H3+0.4*I3</f>
        <v>0.23194612794612796</v>
      </c>
      <c r="K3" s="20">
        <f t="shared" ref="K3:K16" si="1">C3/15.59</f>
        <v>9.6215522771007055E-3</v>
      </c>
      <c r="L3" s="20">
        <f t="shared" ref="L3:L16" si="2">D3/4.69</f>
        <v>1.0660980810234541E-2</v>
      </c>
      <c r="M3" s="20">
        <f t="shared" ref="M3:M16" si="3">E3/6.54</f>
        <v>1.6513761467889909E-2</v>
      </c>
      <c r="N3" s="21">
        <f t="shared" ref="N3:N16" si="4">(0.3*K3+0.3*L3+0.4*M3)</f>
        <v>1.2690264513356538E-2</v>
      </c>
      <c r="O3" s="21">
        <f t="shared" ref="O3:O16" si="5">N3*100</f>
        <v>1.2690264513356537</v>
      </c>
      <c r="P3" s="20">
        <f t="shared" ref="P3:P16" si="6">100-O3</f>
        <v>98.730973548664352</v>
      </c>
    </row>
    <row r="4" spans="1:16" ht="19.5" customHeight="1">
      <c r="A4" s="29"/>
      <c r="B4" s="17" t="s">
        <v>19</v>
      </c>
      <c r="C4" s="18">
        <v>0.12</v>
      </c>
      <c r="D4" s="19">
        <v>0.04</v>
      </c>
      <c r="E4" s="20">
        <v>0.108</v>
      </c>
      <c r="F4" s="21">
        <f t="shared" si="0"/>
        <v>9.1200000000000003E-2</v>
      </c>
      <c r="G4" s="20">
        <f t="shared" ref="G4:G16" si="7">((C4-C$7)/(C$14-C$7))*10</f>
        <v>0.14141414141414138</v>
      </c>
      <c r="H4" s="20">
        <f>((D4-0.015)/(D$14-0.015))*10</f>
        <v>0.16835016835016836</v>
      </c>
      <c r="I4" s="20">
        <f t="shared" ref="I4:I6" si="8">0.026*10</f>
        <v>0.26</v>
      </c>
      <c r="J4" s="20">
        <f t="shared" ref="J3:J16" si="9">0.4*G4+0.2*H4+0.4*I4</f>
        <v>0.19423569023569023</v>
      </c>
      <c r="K4" s="20">
        <f t="shared" si="1"/>
        <v>7.6972418216805644E-3</v>
      </c>
      <c r="L4" s="20">
        <f t="shared" si="2"/>
        <v>8.5287846481876331E-3</v>
      </c>
      <c r="M4" s="20">
        <f t="shared" si="3"/>
        <v>1.6513761467889909E-2</v>
      </c>
      <c r="N4" s="21">
        <f t="shared" si="4"/>
        <v>1.1473312528116423E-2</v>
      </c>
      <c r="O4" s="21">
        <f t="shared" si="5"/>
        <v>1.1473312528116424</v>
      </c>
      <c r="P4" s="20">
        <f t="shared" si="6"/>
        <v>98.85266874718836</v>
      </c>
    </row>
    <row r="5" spans="1:16" ht="24" customHeight="1">
      <c r="A5" s="29"/>
      <c r="B5" s="17" t="s">
        <v>20</v>
      </c>
      <c r="C5" s="18">
        <v>0.09</v>
      </c>
      <c r="D5" s="19">
        <v>0.03</v>
      </c>
      <c r="E5" s="20">
        <v>0.108</v>
      </c>
      <c r="F5" s="21">
        <f t="shared" si="0"/>
        <v>7.9199999999999993E-2</v>
      </c>
      <c r="G5" s="20">
        <f t="shared" si="7"/>
        <v>8.0808080808080787E-2</v>
      </c>
      <c r="H5" s="20">
        <f>((D5-0.015)/(D$14-0.015))*10</f>
        <v>0.10101010101010099</v>
      </c>
      <c r="I5" s="20">
        <f t="shared" si="8"/>
        <v>0.26</v>
      </c>
      <c r="J5" s="20">
        <f t="shared" si="9"/>
        <v>0.15652525252525251</v>
      </c>
      <c r="K5" s="20">
        <f t="shared" si="1"/>
        <v>5.7729313662604233E-3</v>
      </c>
      <c r="L5" s="20">
        <f t="shared" si="2"/>
        <v>6.396588486140724E-3</v>
      </c>
      <c r="M5" s="20">
        <f t="shared" si="3"/>
        <v>1.6513761467889909E-2</v>
      </c>
      <c r="N5" s="21">
        <f t="shared" si="4"/>
        <v>1.0256360542876309E-2</v>
      </c>
      <c r="O5" s="21">
        <f t="shared" si="5"/>
        <v>1.0256360542876308</v>
      </c>
      <c r="P5" s="20">
        <f t="shared" si="6"/>
        <v>98.974363945712369</v>
      </c>
    </row>
    <row r="6" spans="1:16" ht="18.95" customHeight="1">
      <c r="A6" s="29"/>
      <c r="B6" s="17" t="s">
        <v>21</v>
      </c>
      <c r="C6" s="18">
        <v>0.08</v>
      </c>
      <c r="D6" s="19">
        <v>2.5000000000000001E-2</v>
      </c>
      <c r="E6" s="20">
        <v>0.108</v>
      </c>
      <c r="F6" s="21">
        <f t="shared" si="0"/>
        <v>7.4700000000000003E-2</v>
      </c>
      <c r="G6" s="20">
        <f t="shared" si="7"/>
        <v>6.0606060606060594E-2</v>
      </c>
      <c r="H6" s="20">
        <f>((D6-0.015)/(D$14-0.015))*10</f>
        <v>6.7340067340067339E-2</v>
      </c>
      <c r="I6" s="20">
        <f t="shared" si="8"/>
        <v>0.26</v>
      </c>
      <c r="J6" s="20">
        <f t="shared" si="9"/>
        <v>0.14171043771043773</v>
      </c>
      <c r="K6" s="20">
        <f t="shared" si="1"/>
        <v>5.1314945477870435E-3</v>
      </c>
      <c r="L6" s="20">
        <f t="shared" si="2"/>
        <v>5.3304904051172707E-3</v>
      </c>
      <c r="M6" s="20">
        <f t="shared" si="3"/>
        <v>1.6513761467889909E-2</v>
      </c>
      <c r="N6" s="21">
        <f t="shared" si="4"/>
        <v>9.7441000730272582E-3</v>
      </c>
      <c r="O6" s="21">
        <f t="shared" si="5"/>
        <v>0.97441000730272587</v>
      </c>
      <c r="P6" s="20">
        <f t="shared" si="6"/>
        <v>99.025589992697277</v>
      </c>
    </row>
    <row r="7" spans="1:16" ht="22.5" customHeight="1">
      <c r="A7" s="30"/>
      <c r="B7" s="17" t="s">
        <v>22</v>
      </c>
      <c r="C7" s="18">
        <v>0.05</v>
      </c>
      <c r="D7" s="19">
        <v>1.4999999999999999E-2</v>
      </c>
      <c r="E7" s="20">
        <v>8.1000000000000003E-2</v>
      </c>
      <c r="F7" s="21">
        <f t="shared" si="0"/>
        <v>5.1900000000000002E-2</v>
      </c>
      <c r="G7" s="20">
        <f t="shared" si="7"/>
        <v>0</v>
      </c>
      <c r="H7" s="20">
        <f>((D7-0.015)/(D$14-0.015))*10</f>
        <v>0</v>
      </c>
      <c r="I7" s="20">
        <f>0.081/4.2*10</f>
        <v>0.19285714285714284</v>
      </c>
      <c r="J7" s="20">
        <f t="shared" si="9"/>
        <v>7.7142857142857138E-2</v>
      </c>
      <c r="K7" s="20">
        <f t="shared" si="1"/>
        <v>3.207184092366902E-3</v>
      </c>
      <c r="L7" s="20">
        <f t="shared" si="2"/>
        <v>3.198294243070362E-3</v>
      </c>
      <c r="M7" s="20">
        <f t="shared" si="3"/>
        <v>1.2385321100917432E-2</v>
      </c>
      <c r="N7" s="21">
        <f t="shared" si="4"/>
        <v>6.8757719409981519E-3</v>
      </c>
      <c r="O7" s="21">
        <f t="shared" si="5"/>
        <v>0.68757719409981521</v>
      </c>
      <c r="P7" s="20">
        <f t="shared" si="6"/>
        <v>99.312422805900184</v>
      </c>
    </row>
    <row r="8" spans="1:16" ht="46.5" customHeight="1">
      <c r="A8" s="28" t="s">
        <v>23</v>
      </c>
      <c r="B8" s="17" t="s">
        <v>24</v>
      </c>
      <c r="C8" s="18">
        <v>0.8</v>
      </c>
      <c r="D8" s="19">
        <v>0.24</v>
      </c>
      <c r="E8" s="20">
        <v>7.0999999999999994E-2</v>
      </c>
      <c r="F8" s="21">
        <f t="shared" si="0"/>
        <v>0.34039999999999998</v>
      </c>
      <c r="G8" s="20">
        <f t="shared" si="7"/>
        <v>1.5151515151515151</v>
      </c>
      <c r="H8" s="20">
        <f>((D8-0.015)/(D$14-0.015))*10</f>
        <v>1.5151515151515149</v>
      </c>
      <c r="I8" s="20">
        <f>0.071/4.2*10</f>
        <v>0.169047619047619</v>
      </c>
      <c r="J8" s="20">
        <f t="shared" si="9"/>
        <v>0.97670995670995664</v>
      </c>
      <c r="K8" s="20">
        <f t="shared" si="1"/>
        <v>5.1314945477870431E-2</v>
      </c>
      <c r="L8" s="20">
        <f t="shared" si="2"/>
        <v>5.1172707889125792E-2</v>
      </c>
      <c r="M8" s="20">
        <f>E8/6.54</f>
        <v>1.0856269113149845E-2</v>
      </c>
      <c r="N8" s="21">
        <f t="shared" si="4"/>
        <v>3.5088803655358804E-2</v>
      </c>
      <c r="O8" s="21">
        <f t="shared" si="5"/>
        <v>3.5088803655358802</v>
      </c>
      <c r="P8" s="20">
        <f t="shared" si="6"/>
        <v>96.491119634464127</v>
      </c>
    </row>
    <row r="9" spans="1:16" ht="27" customHeight="1">
      <c r="A9" s="29"/>
      <c r="B9" s="17" t="s">
        <v>25</v>
      </c>
      <c r="C9" s="18">
        <v>1.5</v>
      </c>
      <c r="D9" s="19">
        <v>0.45</v>
      </c>
      <c r="E9" s="20">
        <v>0.215</v>
      </c>
      <c r="F9" s="21">
        <f t="shared" si="0"/>
        <v>0.67099999999999993</v>
      </c>
      <c r="G9" s="20">
        <f t="shared" si="7"/>
        <v>2.9292929292929291</v>
      </c>
      <c r="H9" s="20">
        <f>((D9-0.015)/(D$14-0.015))*10</f>
        <v>2.9292929292929291</v>
      </c>
      <c r="I9" s="20">
        <f>0.215/4.2*10</f>
        <v>0.51190476190476186</v>
      </c>
      <c r="J9" s="20">
        <f t="shared" si="9"/>
        <v>1.9623376623376623</v>
      </c>
      <c r="K9" s="20">
        <f t="shared" si="1"/>
        <v>9.6215522771007062E-2</v>
      </c>
      <c r="L9" s="20">
        <f t="shared" si="2"/>
        <v>9.5948827292110864E-2</v>
      </c>
      <c r="M9" s="20">
        <f t="shared" si="3"/>
        <v>3.2874617737003058E-2</v>
      </c>
      <c r="N9" s="21">
        <f t="shared" si="4"/>
        <v>7.0799152113736608E-2</v>
      </c>
      <c r="O9" s="21">
        <f t="shared" si="5"/>
        <v>7.0799152113736605</v>
      </c>
      <c r="P9" s="20">
        <f t="shared" si="6"/>
        <v>92.92008478862634</v>
      </c>
    </row>
    <row r="10" spans="1:16" ht="24.6" customHeight="1">
      <c r="A10" s="29"/>
      <c r="B10" s="17" t="s">
        <v>26</v>
      </c>
      <c r="C10" s="18">
        <v>1.2</v>
      </c>
      <c r="D10" s="19">
        <v>0.36</v>
      </c>
      <c r="E10" s="20">
        <v>0.107</v>
      </c>
      <c r="F10" s="21">
        <f t="shared" si="0"/>
        <v>0.51079999999999992</v>
      </c>
      <c r="G10" s="20">
        <f t="shared" si="7"/>
        <v>2.3232323232323231</v>
      </c>
      <c r="H10" s="20">
        <f>((D10-0.015)/(D$14-0.015))*10</f>
        <v>2.3232323232323231</v>
      </c>
      <c r="I10" s="20">
        <f>0.107/4.2*10</f>
        <v>0.25476190476190474</v>
      </c>
      <c r="J10" s="20">
        <f t="shared" si="9"/>
        <v>1.495844155844156</v>
      </c>
      <c r="K10" s="20">
        <f t="shared" si="1"/>
        <v>7.6972418216805644E-2</v>
      </c>
      <c r="L10" s="20">
        <f t="shared" si="2"/>
        <v>7.6759061833688691E-2</v>
      </c>
      <c r="M10" s="20">
        <f t="shared" si="3"/>
        <v>1.6360856269113148E-2</v>
      </c>
      <c r="N10" s="21">
        <f t="shared" si="4"/>
        <v>5.2663786522793556E-2</v>
      </c>
      <c r="O10" s="21">
        <f t="shared" si="5"/>
        <v>5.2663786522793554</v>
      </c>
      <c r="P10" s="20">
        <f t="shared" si="6"/>
        <v>94.733621347720643</v>
      </c>
    </row>
    <row r="11" spans="1:16" ht="27.95" customHeight="1">
      <c r="A11" s="30"/>
      <c r="B11" s="17" t="s">
        <v>27</v>
      </c>
      <c r="C11" s="18">
        <v>0.6</v>
      </c>
      <c r="D11" s="19">
        <v>0.18</v>
      </c>
      <c r="E11" s="20">
        <v>4.7E-2</v>
      </c>
      <c r="F11" s="21">
        <f t="shared" si="0"/>
        <v>0.25279999999999997</v>
      </c>
      <c r="G11" s="20">
        <f t="shared" si="7"/>
        <v>1.1111111111111109</v>
      </c>
      <c r="H11" s="20">
        <f>((D11-0.015)/(D$14-0.015))*10</f>
        <v>1.1111111111111109</v>
      </c>
      <c r="I11" s="20">
        <f>0.047/4.2*10</f>
        <v>0.1119047619047619</v>
      </c>
      <c r="J11" s="20">
        <f t="shared" si="9"/>
        <v>0.71142857142857141</v>
      </c>
      <c r="K11" s="20">
        <f t="shared" si="1"/>
        <v>3.8486209108402822E-2</v>
      </c>
      <c r="L11" s="20">
        <f t="shared" si="2"/>
        <v>3.8379530916844345E-2</v>
      </c>
      <c r="M11" s="20">
        <f t="shared" si="3"/>
        <v>7.1865443425076451E-3</v>
      </c>
      <c r="N11" s="21">
        <f t="shared" si="4"/>
        <v>2.5934339744577206E-2</v>
      </c>
      <c r="O11" s="21">
        <f t="shared" si="5"/>
        <v>2.5934339744577208</v>
      </c>
      <c r="P11" s="20">
        <f t="shared" si="6"/>
        <v>97.406566025542276</v>
      </c>
    </row>
    <row r="12" spans="1:16" ht="21.95" customHeight="1">
      <c r="A12" s="28" t="s">
        <v>28</v>
      </c>
      <c r="B12" s="17" t="s">
        <v>29</v>
      </c>
      <c r="C12" s="18">
        <v>1.5</v>
      </c>
      <c r="D12" s="19">
        <v>0.45</v>
      </c>
      <c r="E12" s="22">
        <v>0.44800000000000001</v>
      </c>
      <c r="F12" s="21">
        <f t="shared" si="0"/>
        <v>0.76419999999999999</v>
      </c>
      <c r="G12" s="23">
        <f t="shared" si="7"/>
        <v>2.9292929292929291</v>
      </c>
      <c r="H12" s="18">
        <f>((D12-0.015)/(D$14-0.015))*10</f>
        <v>2.9292929292929291</v>
      </c>
      <c r="I12" s="18">
        <f>0.448/4.2*10</f>
        <v>1.0666666666666667</v>
      </c>
      <c r="J12" s="22">
        <f t="shared" si="9"/>
        <v>2.1842424242424241</v>
      </c>
      <c r="K12" s="22">
        <f>C12/15.59</f>
        <v>9.6215522771007062E-2</v>
      </c>
      <c r="L12" s="22">
        <f t="shared" si="2"/>
        <v>9.5948827292110864E-2</v>
      </c>
      <c r="M12" s="22">
        <f>E12/6.54</f>
        <v>6.8501529051987767E-2</v>
      </c>
      <c r="N12" s="21">
        <f t="shared" si="4"/>
        <v>8.5049916639730494E-2</v>
      </c>
      <c r="O12" s="21">
        <f t="shared" si="5"/>
        <v>8.5049916639730494</v>
      </c>
      <c r="P12" s="20">
        <f t="shared" si="6"/>
        <v>91.495008336026956</v>
      </c>
    </row>
    <row r="13" spans="1:16" ht="30" customHeight="1">
      <c r="A13" s="29"/>
      <c r="B13" s="17" t="s">
        <v>30</v>
      </c>
      <c r="C13" s="18">
        <v>3.2</v>
      </c>
      <c r="D13" s="19">
        <v>0.96</v>
      </c>
      <c r="E13" s="22">
        <v>0.378</v>
      </c>
      <c r="F13" s="21">
        <f t="shared" si="0"/>
        <v>1.3992</v>
      </c>
      <c r="G13" s="22">
        <f t="shared" si="7"/>
        <v>6.3636363636363651</v>
      </c>
      <c r="H13" s="22">
        <f>((D13-0.015)/(D$14-0.015))*10</f>
        <v>6.3636363636363624</v>
      </c>
      <c r="I13" s="22">
        <f>0.378/4.2*10</f>
        <v>0.89999999999999991</v>
      </c>
      <c r="J13" s="22">
        <f t="shared" si="9"/>
        <v>4.1781818181818187</v>
      </c>
      <c r="K13" s="22">
        <f t="shared" si="1"/>
        <v>0.20525978191148173</v>
      </c>
      <c r="L13" s="22">
        <f t="shared" si="2"/>
        <v>0.20469083155650317</v>
      </c>
      <c r="M13" s="22">
        <f t="shared" si="3"/>
        <v>5.7798165137614682E-2</v>
      </c>
      <c r="N13" s="21">
        <f t="shared" si="4"/>
        <v>0.14610445009544135</v>
      </c>
      <c r="O13" s="21">
        <f t="shared" si="5"/>
        <v>14.610445009544135</v>
      </c>
      <c r="P13" s="20">
        <f t="shared" si="6"/>
        <v>85.389554990455864</v>
      </c>
    </row>
    <row r="14" spans="1:16" ht="24" customHeight="1">
      <c r="A14" s="30"/>
      <c r="B14" s="17" t="s">
        <v>31</v>
      </c>
      <c r="C14" s="18">
        <v>5</v>
      </c>
      <c r="D14" s="24">
        <v>1.5</v>
      </c>
      <c r="E14" s="22">
        <v>4.2</v>
      </c>
      <c r="F14" s="21">
        <f t="shared" si="0"/>
        <v>3.63</v>
      </c>
      <c r="G14" s="22">
        <f t="shared" si="7"/>
        <v>10</v>
      </c>
      <c r="H14" s="22">
        <f>((D14-0.015)/(D$14-0.015))*10</f>
        <v>10</v>
      </c>
      <c r="I14" s="22">
        <f>4.2/4.2*10</f>
        <v>10</v>
      </c>
      <c r="J14" s="22">
        <f t="shared" si="9"/>
        <v>10</v>
      </c>
      <c r="K14" s="22">
        <f t="shared" si="1"/>
        <v>0.32071840923669021</v>
      </c>
      <c r="L14" s="22">
        <f t="shared" si="2"/>
        <v>0.3198294243070362</v>
      </c>
      <c r="M14" s="22">
        <f t="shared" si="3"/>
        <v>0.64220183486238536</v>
      </c>
      <c r="N14" s="21">
        <f t="shared" si="4"/>
        <v>0.44904508400807208</v>
      </c>
      <c r="O14" s="21">
        <f t="shared" si="5"/>
        <v>44.90450840080721</v>
      </c>
      <c r="P14" s="20">
        <f t="shared" si="6"/>
        <v>55.09549159919279</v>
      </c>
    </row>
    <row r="15" spans="1:16" ht="21.95" customHeight="1">
      <c r="A15" s="28" t="s">
        <v>32</v>
      </c>
      <c r="B15" s="17" t="s">
        <v>33</v>
      </c>
      <c r="C15" s="18">
        <v>0.5</v>
      </c>
      <c r="D15" s="18">
        <v>0.15</v>
      </c>
      <c r="E15" s="18">
        <v>0.26</v>
      </c>
      <c r="F15" s="21">
        <f t="shared" si="0"/>
        <v>0.29900000000000004</v>
      </c>
      <c r="G15" s="18">
        <f t="shared" si="7"/>
        <v>0.90909090909090917</v>
      </c>
      <c r="H15" s="18">
        <f>((D15-0.015)/(D$14-0.015))*10</f>
        <v>0.90909090909090917</v>
      </c>
      <c r="I15" s="18">
        <f>0.26/4.2*10</f>
        <v>0.61904761904761907</v>
      </c>
      <c r="J15" s="18">
        <f t="shared" si="9"/>
        <v>0.79307359307359315</v>
      </c>
      <c r="K15" s="18">
        <f t="shared" si="1"/>
        <v>3.2071840923669021E-2</v>
      </c>
      <c r="L15" s="18">
        <f t="shared" si="2"/>
        <v>3.1982942430703619E-2</v>
      </c>
      <c r="M15" s="18">
        <f t="shared" si="3"/>
        <v>3.9755351681957186E-2</v>
      </c>
      <c r="N15" s="21">
        <f t="shared" si="4"/>
        <v>3.5118575679094668E-2</v>
      </c>
      <c r="O15" s="21">
        <f t="shared" si="5"/>
        <v>3.511857567909467</v>
      </c>
      <c r="P15" s="20">
        <f t="shared" si="6"/>
        <v>96.488142432090527</v>
      </c>
    </row>
    <row r="16" spans="1:16" ht="23.1" customHeight="1">
      <c r="A16" s="29"/>
      <c r="B16" s="26" t="s">
        <v>34</v>
      </c>
      <c r="C16" s="27">
        <v>0.7</v>
      </c>
      <c r="D16" s="27">
        <v>0.21</v>
      </c>
      <c r="E16" s="27">
        <v>0.29899999999999999</v>
      </c>
      <c r="F16" s="21">
        <f t="shared" si="0"/>
        <v>0.3926</v>
      </c>
      <c r="G16" s="27">
        <f t="shared" si="7"/>
        <v>1.3131313131313129</v>
      </c>
      <c r="H16" s="27">
        <f>((D16-0.015)/(D$14-0.015))*10</f>
        <v>1.3131313131313129</v>
      </c>
      <c r="I16" s="27">
        <f>0.299/4.2*10</f>
        <v>0.71190476190476182</v>
      </c>
      <c r="J16" s="27">
        <f t="shared" si="9"/>
        <v>1.0726406926406926</v>
      </c>
      <c r="K16" s="27">
        <f t="shared" si="1"/>
        <v>4.4900577293136623E-2</v>
      </c>
      <c r="L16" s="27">
        <f t="shared" si="2"/>
        <v>4.4776119402985072E-2</v>
      </c>
      <c r="M16" s="27">
        <f t="shared" si="3"/>
        <v>4.5718654434250765E-2</v>
      </c>
      <c r="N16" s="21">
        <f t="shared" si="4"/>
        <v>4.519047078253681E-2</v>
      </c>
      <c r="O16" s="21">
        <f t="shared" si="5"/>
        <v>4.5190470782536813</v>
      </c>
      <c r="P16" s="20">
        <f t="shared" si="6"/>
        <v>95.480952921746322</v>
      </c>
    </row>
    <row r="17" spans="1:16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31">
        <f>SUM(N2:N16)</f>
        <v>0.99987767584097864</v>
      </c>
      <c r="O17" s="31">
        <f>SUM(O2:O16)</f>
        <v>99.987767584097867</v>
      </c>
      <c r="P17" s="18"/>
    </row>
    <row r="18" spans="1:16">
      <c r="E18" s="25"/>
      <c r="F18" s="25"/>
    </row>
    <row r="19" spans="1:16">
      <c r="E19" s="25"/>
      <c r="F19" s="25"/>
    </row>
  </sheetData>
  <mergeCells count="4">
    <mergeCell ref="A2:A7"/>
    <mergeCell ref="A8:A11"/>
    <mergeCell ref="A12:A14"/>
    <mergeCell ref="A15:A16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sqref="A1:D3"/>
    </sheetView>
  </sheetViews>
  <sheetFormatPr defaultRowHeight="15"/>
  <cols>
    <col min="1" max="1" width="11.7109375" customWidth="1"/>
    <col min="2" max="2" width="21.7109375" customWidth="1"/>
    <col min="3" max="3" width="11.140625" customWidth="1"/>
    <col min="4" max="4" width="10.5703125" customWidth="1"/>
  </cols>
  <sheetData>
    <row r="1" spans="1:5" ht="91.5" customHeight="1">
      <c r="A1" s="4" t="s">
        <v>35</v>
      </c>
      <c r="B1" s="5" t="s">
        <v>36</v>
      </c>
      <c r="C1" s="6" t="s">
        <v>37</v>
      </c>
      <c r="D1" s="7" t="s">
        <v>38</v>
      </c>
    </row>
    <row r="2" spans="1:5" ht="47.45" customHeight="1">
      <c r="A2" s="8" t="s">
        <v>39</v>
      </c>
      <c r="B2" s="1">
        <v>20</v>
      </c>
      <c r="C2" s="1">
        <v>72</v>
      </c>
      <c r="D2" s="9">
        <v>10</v>
      </c>
    </row>
    <row r="3" spans="1:5" ht="45" customHeight="1">
      <c r="A3" s="10" t="s">
        <v>40</v>
      </c>
      <c r="B3" s="11">
        <v>95</v>
      </c>
      <c r="C3" s="11">
        <v>82</v>
      </c>
      <c r="D3" s="12">
        <v>60</v>
      </c>
    </row>
    <row r="7" spans="1:5">
      <c r="A7" s="3" t="s">
        <v>41</v>
      </c>
      <c r="B7" s="3" t="s">
        <v>42</v>
      </c>
    </row>
    <row r="8" spans="1:5">
      <c r="A8" s="3" t="s">
        <v>43</v>
      </c>
      <c r="B8" s="3">
        <v>5</v>
      </c>
      <c r="E8" t="s">
        <v>44</v>
      </c>
    </row>
    <row r="9" spans="1:5">
      <c r="A9" s="3" t="s">
        <v>45</v>
      </c>
      <c r="B9" s="3" t="s">
        <v>46</v>
      </c>
    </row>
    <row r="10" spans="1:5">
      <c r="A10" s="3" t="s">
        <v>47</v>
      </c>
      <c r="B10" s="3">
        <v>30</v>
      </c>
      <c r="C10" s="2"/>
    </row>
    <row r="11" spans="1:5">
      <c r="A11" s="3" t="s">
        <v>48</v>
      </c>
      <c r="B11" s="3" t="s">
        <v>49</v>
      </c>
    </row>
    <row r="12" spans="1:5">
      <c r="A12" s="3" t="s">
        <v>50</v>
      </c>
      <c r="B12" s="3">
        <v>40</v>
      </c>
    </row>
    <row r="13" spans="1:5">
      <c r="A13" s="3" t="s">
        <v>51</v>
      </c>
      <c r="B13" s="3">
        <v>30</v>
      </c>
    </row>
    <row r="14" spans="1:5">
      <c r="A14" s="3" t="s">
        <v>52</v>
      </c>
      <c r="B14" s="3" t="s">
        <v>53</v>
      </c>
    </row>
    <row r="15" spans="1:5">
      <c r="A15" s="3" t="s">
        <v>54</v>
      </c>
      <c r="B15" s="3">
        <v>20</v>
      </c>
    </row>
    <row r="16" spans="1:5">
      <c r="A16" s="3" t="s">
        <v>55</v>
      </c>
      <c r="B16" s="3">
        <v>40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AC32A7-F908-42A4-BE2D-B8C213120F67}"/>
</file>

<file path=customXml/itemProps2.xml><?xml version="1.0" encoding="utf-8"?>
<ds:datastoreItem xmlns:ds="http://schemas.openxmlformats.org/officeDocument/2006/customXml" ds:itemID="{AA42042F-B460-4B86-B215-4CC416BCAEC8}"/>
</file>

<file path=customXml/itemProps3.xml><?xml version="1.0" encoding="utf-8"?>
<ds:datastoreItem xmlns:ds="http://schemas.openxmlformats.org/officeDocument/2006/customXml" ds:itemID="{DD35EFE6-7EA2-4017-BD9C-5A2BFEFFDE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Abeer Abou Jneid</dc:creator>
  <cp:keywords/>
  <dc:description/>
  <cp:lastModifiedBy>Bassil, Mia</cp:lastModifiedBy>
  <cp:revision/>
  <dcterms:created xsi:type="dcterms:W3CDTF">2024-06-11T19:30:50Z</dcterms:created>
  <dcterms:modified xsi:type="dcterms:W3CDTF">2024-06-23T20:09:51Z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  <property fmtid="{D5CDD505-2E9C-101B-9397-08002B2CF9AE}" pid="3" name="MediaServiceImageTags">
    <vt:lpwstr/>
  </property>
</Properties>
</file>