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3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drawings/drawing4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34.xml" ContentType="application/vnd.openxmlformats-officedocument.spreadsheetml.table+xml"/>
  <Override PartName="/xl/drawings/drawing7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000838A7-4076-44D7-8F82-1F1BC5F4F808}" xr6:coauthVersionLast="45" xr6:coauthVersionMax="45" xr10:uidLastSave="{00000000-0000-0000-0000-000000000000}"/>
  <bookViews>
    <workbookView xWindow="735" yWindow="735" windowWidth="15375" windowHeight="7875" tabRatio="846" xr2:uid="{00000000-000D-0000-FFFF-FFFF00000000}"/>
  </bookViews>
  <sheets>
    <sheet name="Introduction" sheetId="1" r:id="rId1"/>
    <sheet name="P&amp;L AS-IS" sheetId="2" r:id="rId2"/>
    <sheet name="P&amp;L TO-BE" sheetId="27" r:id="rId3"/>
    <sheet name="Assumption" sheetId="13" r:id="rId4"/>
    <sheet name="Workers AS-IS" sheetId="11" r:id="rId5"/>
    <sheet name="Workers TO-BE" sheetId="26" r:id="rId6"/>
    <sheet name="Staffing AS-IS" sheetId="17" r:id="rId7"/>
    <sheet name="Staffing TO-BE" sheetId="24" r:id="rId8"/>
    <sheet name="Component" sheetId="14" r:id="rId9"/>
    <sheet name="Sunny Day AS-IS" sheetId="22" r:id="rId10"/>
    <sheet name="Rainy Day AS-IS" sheetId="23" r:id="rId11"/>
    <sheet name="Sunny Day TO-BE" sheetId="28" r:id="rId12"/>
    <sheet name="Rainy Day TO-BE" sheetId="29" r:id="rId13"/>
    <sheet name="Assembly Comparison" sheetId="30" r:id="rId14"/>
    <sheet name="Picking AS-IS" sheetId="15" r:id="rId15"/>
    <sheet name="Picking TO-BE" sheetId="25" r:id="rId16"/>
    <sheet name="Attitude Survey" sheetId="18" r:id="rId17"/>
  </sheets>
  <definedNames>
    <definedName name="Assumption_1.01">Assumption!$B$13</definedName>
    <definedName name="Assumption_1.02">Assumption!$B$14</definedName>
    <definedName name="Assumption_1.03">Assumption!$B$15</definedName>
    <definedName name="Assumption_1.04">Assumption!$B$16</definedName>
    <definedName name="Assumption_1.05">Assumption!$B$17</definedName>
    <definedName name="Assumption_1.06">Assumption!$B$18</definedName>
    <definedName name="Assumption_2.01">Assumption!$B$20</definedName>
    <definedName name="Assumption_2.02">Assumption!$B$21</definedName>
    <definedName name="Assumption_2.03">Assumption!$B$22</definedName>
    <definedName name="Assumption_2.04">Assumption!$B$23</definedName>
    <definedName name="Assumption_3.01">Assumption!$B$25</definedName>
    <definedName name="Assumption_3.02">Assumption!$B$26</definedName>
    <definedName name="Assumption_3.03">Assumption!$B$27</definedName>
    <definedName name="Average_Case_Scenario" localSheetId="2">#REF!</definedName>
    <definedName name="Average_Case_Scenario" localSheetId="12">#REF!</definedName>
    <definedName name="Average_Case_Scenario" localSheetId="7">#REF!</definedName>
    <definedName name="Average_Case_Scenario" localSheetId="11">#REF!</definedName>
    <definedName name="Average_Case_Scenario" localSheetId="5">#REF!</definedName>
    <definedName name="Average_Case_Scenario">#REF!</definedName>
    <definedName name="BasicInformation_1">Assumption!$B$2</definedName>
    <definedName name="BasicInformation_2">Assumption!$B$3</definedName>
    <definedName name="BasicInformation_3">Assumption!$B$4</definedName>
    <definedName name="BasicInformation_4">Assumption!$B$5</definedName>
    <definedName name="BasicInformation_5">Assumption!$B$6</definedName>
    <definedName name="BasicInformation_6">Assumption!$B$7</definedName>
    <definedName name="Component_Total_Cost" localSheetId="2">Table114[[#Totals],[Cost (CAD)]]</definedName>
    <definedName name="Component_Total_Cost" localSheetId="12">Table114[[#Totals],[Cost (CAD)]]</definedName>
    <definedName name="Component_Total_Cost" localSheetId="7">Table114[[#Totals],[Cost (CAD)]]</definedName>
    <definedName name="Component_Total_Cost" localSheetId="11">Table114[[#Totals],[Cost (CAD)]]</definedName>
    <definedName name="Component_Total_Cost" localSheetId="5">Table114[[#Totals],[Cost (CAD)]]</definedName>
    <definedName name="Component_Total_Cost">Table114[[#Totals],[Cost (CAD)]]</definedName>
    <definedName name="Picking_Average_Time_ASIS" localSheetId="2">Table3[[#Totals],[Total avg Time]]</definedName>
    <definedName name="Picking_Average_Time_ASIS" localSheetId="12">Table3[[#Totals],[Total avg Time]]</definedName>
    <definedName name="Picking_Average_Time_ASIS" localSheetId="11">Table3[[#Totals],[Total avg Time]]</definedName>
    <definedName name="Picking_Average_Time_ASIS" localSheetId="5">Table3[[#Totals],[Total avg Time]]</definedName>
    <definedName name="Picking_Average_Time_ASIS">Table3[[#Totals],[Total avg Time]]</definedName>
    <definedName name="ProduceMinutes" localSheetId="2">'P&amp;L TO-BE'!$B$19</definedName>
    <definedName name="ProduceMinutes">'P&amp;L AS-IS'!$B$18</definedName>
    <definedName name="Total_Pay_ASIS" localSheetId="7">Table10[[#Totals],[Pay / Day]]</definedName>
    <definedName name="TotalCostsPerDay" localSheetId="2">'P&amp;L TO-BE'!$B$31</definedName>
    <definedName name="TotalCostsPerDay">'P&amp;L AS-IS'!$B$30</definedName>
    <definedName name="TotalProfitPerDay" localSheetId="2">'P&amp;L TO-BE'!$B$32</definedName>
    <definedName name="TotalProfitPerDay">'P&amp;L AS-IS'!$B$31</definedName>
    <definedName name="TrackRCostPerDay" localSheetId="2">'P&amp;L TO-BE'!$B$27</definedName>
    <definedName name="TrackRCostPerDay">'P&amp;L AS-IS'!$B$26</definedName>
    <definedName name="TrackRsPerDay" localSheetId="2">'P&amp;L TO-BE'!$B$23</definedName>
    <definedName name="TrackRsPerDay">'P&amp;L AS-IS'!$B$22</definedName>
  </definedNames>
  <calcPr calcId="191029"/>
  <pivotCaches>
    <pivotCache cacheId="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27" l="1"/>
  <c r="B18" i="2"/>
  <c r="R8" i="29" l="1"/>
  <c r="R9" i="29" s="1"/>
  <c r="R10" i="29" s="1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1" i="29"/>
  <c r="B12" i="27" l="1"/>
  <c r="B11" i="27"/>
  <c r="B11" i="2"/>
  <c r="B12" i="2" s="1"/>
  <c r="O8" i="29"/>
  <c r="B21" i="27"/>
  <c r="B20" i="2"/>
  <c r="D44" i="25"/>
  <c r="C43" i="25"/>
  <c r="H43" i="25" s="1"/>
  <c r="B13" i="27" l="1"/>
  <c r="O9" i="29"/>
  <c r="O10" i="29" s="1"/>
  <c r="O11" i="29" s="1"/>
  <c r="O12" i="29" s="1"/>
  <c r="O13" i="29" s="1"/>
  <c r="O14" i="29" s="1"/>
  <c r="D57" i="29"/>
  <c r="D58" i="29" s="1"/>
  <c r="D59" i="29" s="1"/>
  <c r="L15" i="29" s="1"/>
  <c r="D46" i="29"/>
  <c r="D47" i="29" s="1"/>
  <c r="D48" i="29" s="1"/>
  <c r="D49" i="29" s="1"/>
  <c r="D50" i="29" s="1"/>
  <c r="D51" i="29" s="1"/>
  <c r="D52" i="29" s="1"/>
  <c r="D53" i="29" s="1"/>
  <c r="L12" i="29" s="1"/>
  <c r="D36" i="29"/>
  <c r="D37" i="29" s="1"/>
  <c r="D38" i="29" s="1"/>
  <c r="D39" i="29" s="1"/>
  <c r="D40" i="29" s="1"/>
  <c r="D41" i="29" s="1"/>
  <c r="D42" i="29" s="1"/>
  <c r="N23" i="29"/>
  <c r="N12" i="29"/>
  <c r="N19" i="29"/>
  <c r="N26" i="29"/>
  <c r="N30" i="29"/>
  <c r="N9" i="29"/>
  <c r="H27" i="29"/>
  <c r="H26" i="29"/>
  <c r="H25" i="29"/>
  <c r="H24" i="29"/>
  <c r="H21" i="29"/>
  <c r="H20" i="29"/>
  <c r="H17" i="29"/>
  <c r="H14" i="29"/>
  <c r="H13" i="29"/>
  <c r="H11" i="29"/>
  <c r="H10" i="29"/>
  <c r="H8" i="29"/>
  <c r="J30" i="29"/>
  <c r="Q30" i="29" s="1"/>
  <c r="R30" i="29" s="1"/>
  <c r="R31" i="29" s="1"/>
  <c r="E5" i="30"/>
  <c r="D8" i="29"/>
  <c r="D9" i="29" s="1"/>
  <c r="D10" i="29" s="1"/>
  <c r="D11" i="29" s="1"/>
  <c r="D12" i="29" s="1"/>
  <c r="D13" i="29" s="1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113" i="29"/>
  <c r="D114" i="29" s="1"/>
  <c r="L31" i="29" s="1"/>
  <c r="D112" i="29"/>
  <c r="D102" i="29"/>
  <c r="D103" i="29" s="1"/>
  <c r="D104" i="29" s="1"/>
  <c r="D105" i="29" s="1"/>
  <c r="D106" i="29" s="1"/>
  <c r="D107" i="29" s="1"/>
  <c r="D108" i="29" s="1"/>
  <c r="L30" i="29" s="1"/>
  <c r="D101" i="29"/>
  <c r="D89" i="29"/>
  <c r="D90" i="29" s="1"/>
  <c r="D91" i="29" s="1"/>
  <c r="D92" i="29" s="1"/>
  <c r="D93" i="29" s="1"/>
  <c r="D94" i="29" s="1"/>
  <c r="D95" i="29" s="1"/>
  <c r="D96" i="29" s="1"/>
  <c r="D97" i="29" s="1"/>
  <c r="L26" i="29" s="1"/>
  <c r="D77" i="29"/>
  <c r="D78" i="29" s="1"/>
  <c r="D79" i="29" s="1"/>
  <c r="D80" i="29" s="1"/>
  <c r="D81" i="29" s="1"/>
  <c r="D82" i="29" s="1"/>
  <c r="D83" i="29" s="1"/>
  <c r="D84" i="29" s="1"/>
  <c r="D85" i="29" s="1"/>
  <c r="D63" i="29"/>
  <c r="D64" i="29" s="1"/>
  <c r="D65" i="29" s="1"/>
  <c r="D66" i="29" s="1"/>
  <c r="D67" i="29" s="1"/>
  <c r="D68" i="29" s="1"/>
  <c r="D69" i="29" s="1"/>
  <c r="D70" i="29" s="1"/>
  <c r="D71" i="29" s="1"/>
  <c r="D72" i="29" s="1"/>
  <c r="D73" i="29" s="1"/>
  <c r="L19" i="29" s="1"/>
  <c r="C32" i="29"/>
  <c r="H36" i="28"/>
  <c r="H35" i="28"/>
  <c r="H34" i="28"/>
  <c r="H33" i="28"/>
  <c r="H30" i="28"/>
  <c r="H29" i="28"/>
  <c r="H26" i="28"/>
  <c r="H23" i="28"/>
  <c r="H22" i="28"/>
  <c r="H20" i="28"/>
  <c r="H19" i="28"/>
  <c r="H17" i="28"/>
  <c r="D17" i="28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C41" i="28"/>
  <c r="C4" i="30" s="1"/>
  <c r="F42" i="26"/>
  <c r="F43" i="26"/>
  <c r="G42" i="26"/>
  <c r="G43" i="26"/>
  <c r="F44" i="26"/>
  <c r="G44" i="26"/>
  <c r="F45" i="26"/>
  <c r="G45" i="26"/>
  <c r="F38" i="26"/>
  <c r="G38" i="26"/>
  <c r="F37" i="26"/>
  <c r="G37" i="26"/>
  <c r="F39" i="26"/>
  <c r="G39" i="26"/>
  <c r="F36" i="26"/>
  <c r="G36" i="26"/>
  <c r="F55" i="26"/>
  <c r="G55" i="26"/>
  <c r="G63" i="26"/>
  <c r="F63" i="26"/>
  <c r="G62" i="26"/>
  <c r="F62" i="26"/>
  <c r="G61" i="26"/>
  <c r="F61" i="26"/>
  <c r="G60" i="26"/>
  <c r="F60" i="26"/>
  <c r="G59" i="26"/>
  <c r="F59" i="26"/>
  <c r="G58" i="26"/>
  <c r="F58" i="26"/>
  <c r="G57" i="26"/>
  <c r="F57" i="26"/>
  <c r="G56" i="26"/>
  <c r="F56" i="26"/>
  <c r="G54" i="26"/>
  <c r="F54" i="26"/>
  <c r="G53" i="26"/>
  <c r="F53" i="26"/>
  <c r="G52" i="26"/>
  <c r="F52" i="26"/>
  <c r="G51" i="26"/>
  <c r="F51" i="26"/>
  <c r="G50" i="26"/>
  <c r="F50" i="26"/>
  <c r="G49" i="26"/>
  <c r="F49" i="26"/>
  <c r="G48" i="26"/>
  <c r="F48" i="26"/>
  <c r="G47" i="26"/>
  <c r="F47" i="26"/>
  <c r="G46" i="26"/>
  <c r="F46" i="26"/>
  <c r="G41" i="26"/>
  <c r="F41" i="26"/>
  <c r="G40" i="26"/>
  <c r="F40" i="26"/>
  <c r="G35" i="26"/>
  <c r="F35" i="26"/>
  <c r="G34" i="26"/>
  <c r="F34" i="26"/>
  <c r="G33" i="26"/>
  <c r="F33" i="26"/>
  <c r="G32" i="26"/>
  <c r="F32" i="26"/>
  <c r="G31" i="26"/>
  <c r="F31" i="26"/>
  <c r="G30" i="26"/>
  <c r="F30" i="26"/>
  <c r="G29" i="26"/>
  <c r="F29" i="26"/>
  <c r="G28" i="26"/>
  <c r="F28" i="26"/>
  <c r="O15" i="29" l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F8" i="28"/>
  <c r="H32" i="29"/>
  <c r="O32" i="29"/>
  <c r="E4" i="30" s="1"/>
  <c r="H41" i="28"/>
  <c r="F12" i="28" s="1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E11" i="27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B29" i="27"/>
  <c r="B25" i="27"/>
  <c r="B16" i="27"/>
  <c r="B25" i="17" l="1"/>
  <c r="B22" i="27"/>
  <c r="B23" i="27" s="1"/>
  <c r="B30" i="27" s="1"/>
  <c r="H27" i="23"/>
  <c r="H26" i="23"/>
  <c r="H25" i="23"/>
  <c r="H24" i="23"/>
  <c r="H21" i="23"/>
  <c r="H20" i="23"/>
  <c r="H17" i="23"/>
  <c r="H14" i="23"/>
  <c r="H13" i="23"/>
  <c r="H11" i="23"/>
  <c r="H10" i="23"/>
  <c r="H8" i="23"/>
  <c r="H36" i="22"/>
  <c r="H35" i="22"/>
  <c r="H34" i="22"/>
  <c r="H33" i="22"/>
  <c r="H30" i="22"/>
  <c r="H29" i="22"/>
  <c r="H26" i="22"/>
  <c r="H23" i="22"/>
  <c r="H22" i="22"/>
  <c r="H20" i="22"/>
  <c r="H19" i="22"/>
  <c r="H17" i="22"/>
  <c r="L6" i="14"/>
  <c r="C33" i="25" s="1"/>
  <c r="L7" i="14"/>
  <c r="C35" i="25" s="1"/>
  <c r="L9" i="14"/>
  <c r="C42" i="25" s="1"/>
  <c r="L14" i="14"/>
  <c r="C12" i="25"/>
  <c r="C10" i="25"/>
  <c r="C19" i="25"/>
  <c r="C20" i="25"/>
  <c r="C18" i="25" l="1"/>
  <c r="C41" i="25"/>
  <c r="F11" i="27"/>
  <c r="B11" i="24"/>
  <c r="B12" i="24"/>
  <c r="B13" i="24"/>
  <c r="B14" i="24"/>
  <c r="B15" i="24"/>
  <c r="B16" i="24"/>
  <c r="B17" i="24"/>
  <c r="B18" i="24"/>
  <c r="B19" i="24"/>
  <c r="B20" i="24"/>
  <c r="B9" i="26"/>
  <c r="B8" i="26"/>
  <c r="H34" i="26" s="1"/>
  <c r="B7" i="26"/>
  <c r="H43" i="26" l="1"/>
  <c r="H45" i="26"/>
  <c r="H42" i="26"/>
  <c r="H44" i="26"/>
  <c r="H39" i="26"/>
  <c r="H37" i="26"/>
  <c r="H36" i="26"/>
  <c r="H38" i="26"/>
  <c r="C19" i="24"/>
  <c r="C15" i="24"/>
  <c r="C11" i="24"/>
  <c r="C20" i="24"/>
  <c r="C18" i="24"/>
  <c r="C14" i="24"/>
  <c r="C17" i="24"/>
  <c r="C13" i="24"/>
  <c r="C16" i="24"/>
  <c r="C12" i="24"/>
  <c r="H55" i="26"/>
  <c r="H30" i="26"/>
  <c r="H46" i="26"/>
  <c r="H50" i="26"/>
  <c r="H54" i="26"/>
  <c r="H58" i="26"/>
  <c r="H62" i="26"/>
  <c r="H29" i="26"/>
  <c r="H33" i="26"/>
  <c r="H41" i="26"/>
  <c r="H49" i="26"/>
  <c r="H53" i="26"/>
  <c r="H57" i="26"/>
  <c r="H28" i="26"/>
  <c r="H32" i="26"/>
  <c r="H40" i="26"/>
  <c r="H48" i="26"/>
  <c r="H52" i="26"/>
  <c r="H56" i="26"/>
  <c r="H60" i="26"/>
  <c r="H61" i="26"/>
  <c r="H31" i="26"/>
  <c r="H35" i="26"/>
  <c r="H47" i="26"/>
  <c r="H51" i="26"/>
  <c r="H59" i="26"/>
  <c r="H63" i="26"/>
  <c r="B21" i="24"/>
  <c r="C21" i="24" l="1"/>
  <c r="H64" i="26"/>
  <c r="B15" i="27" s="1"/>
  <c r="H20" i="25" l="1"/>
  <c r="B4" i="25"/>
  <c r="B3" i="25"/>
  <c r="B2" i="25"/>
  <c r="H8" i="15"/>
  <c r="H21" i="15"/>
  <c r="B4" i="15"/>
  <c r="E41" i="25" l="1"/>
  <c r="E37" i="25"/>
  <c r="E33" i="25"/>
  <c r="E36" i="25"/>
  <c r="E42" i="25"/>
  <c r="E38" i="25"/>
  <c r="E34" i="25"/>
  <c r="E40" i="25"/>
  <c r="E43" i="25"/>
  <c r="E39" i="25"/>
  <c r="E35" i="25"/>
  <c r="E31" i="25"/>
  <c r="E32" i="25"/>
  <c r="H35" i="25"/>
  <c r="H33" i="25"/>
  <c r="H42" i="25"/>
  <c r="H41" i="25"/>
  <c r="F42" i="25"/>
  <c r="F38" i="25"/>
  <c r="F34" i="25"/>
  <c r="F37" i="25"/>
  <c r="F43" i="25"/>
  <c r="F39" i="25"/>
  <c r="F35" i="25"/>
  <c r="F31" i="25"/>
  <c r="F41" i="25"/>
  <c r="F33" i="25"/>
  <c r="F40" i="25"/>
  <c r="F36" i="25"/>
  <c r="F32" i="25"/>
  <c r="E11" i="25"/>
  <c r="E15" i="25"/>
  <c r="E19" i="25"/>
  <c r="E12" i="25"/>
  <c r="E20" i="25"/>
  <c r="E9" i="25"/>
  <c r="E13" i="25"/>
  <c r="E17" i="25"/>
  <c r="E14" i="25"/>
  <c r="E8" i="25"/>
  <c r="E16" i="25"/>
  <c r="E10" i="25"/>
  <c r="E18" i="25"/>
  <c r="F9" i="25"/>
  <c r="F13" i="25"/>
  <c r="F17" i="25"/>
  <c r="F11" i="25"/>
  <c r="F15" i="25"/>
  <c r="F19" i="25"/>
  <c r="F8" i="25"/>
  <c r="F12" i="25"/>
  <c r="F20" i="25"/>
  <c r="F10" i="25"/>
  <c r="F14" i="25"/>
  <c r="F18" i="25"/>
  <c r="F16" i="25"/>
  <c r="H12" i="25"/>
  <c r="H19" i="25"/>
  <c r="H18" i="25"/>
  <c r="H10" i="25"/>
  <c r="D21" i="25"/>
  <c r="G42" i="25" l="1"/>
  <c r="G36" i="25"/>
  <c r="E44" i="25"/>
  <c r="G31" i="25"/>
  <c r="G35" i="25"/>
  <c r="I35" i="25" s="1"/>
  <c r="G34" i="25"/>
  <c r="G33" i="25"/>
  <c r="I33" i="25" s="1"/>
  <c r="I42" i="25"/>
  <c r="G39" i="25"/>
  <c r="G38" i="25"/>
  <c r="G37" i="25"/>
  <c r="G40" i="25"/>
  <c r="F44" i="25"/>
  <c r="G32" i="25"/>
  <c r="G43" i="25"/>
  <c r="I43" i="25" s="1"/>
  <c r="G41" i="25"/>
  <c r="I41" i="25" s="1"/>
  <c r="G16" i="25"/>
  <c r="G17" i="25"/>
  <c r="G12" i="25"/>
  <c r="G8" i="25"/>
  <c r="G13" i="25"/>
  <c r="G19" i="25"/>
  <c r="G18" i="25"/>
  <c r="G14" i="25"/>
  <c r="G9" i="25"/>
  <c r="G15" i="25"/>
  <c r="G10" i="25"/>
  <c r="G20" i="25"/>
  <c r="G11" i="25"/>
  <c r="I12" i="25"/>
  <c r="G44" i="25" l="1"/>
  <c r="I20" i="25"/>
  <c r="F21" i="25"/>
  <c r="E21" i="25"/>
  <c r="I18" i="25"/>
  <c r="I19" i="25"/>
  <c r="I10" i="25"/>
  <c r="G21" i="25" l="1"/>
  <c r="H3" i="14" l="1"/>
  <c r="H4" i="14"/>
  <c r="H5" i="14"/>
  <c r="H6" i="14"/>
  <c r="C12" i="15" s="1"/>
  <c r="H12" i="15" s="1"/>
  <c r="H7" i="14"/>
  <c r="C13" i="15" s="1"/>
  <c r="H13" i="15" s="1"/>
  <c r="H8" i="14"/>
  <c r="H9" i="14"/>
  <c r="C15" i="15" s="1"/>
  <c r="H15" i="15" s="1"/>
  <c r="H10" i="14"/>
  <c r="H11" i="14"/>
  <c r="H12" i="14"/>
  <c r="H13" i="14"/>
  <c r="H14" i="14"/>
  <c r="C20" i="15" s="1"/>
  <c r="H20" i="15" s="1"/>
  <c r="I58" i="11"/>
  <c r="G57" i="11"/>
  <c r="F57" i="11"/>
  <c r="E57" i="11"/>
  <c r="G56" i="11"/>
  <c r="F56" i="11"/>
  <c r="E56" i="11"/>
  <c r="G55" i="11"/>
  <c r="F55" i="11"/>
  <c r="E55" i="11"/>
  <c r="G54" i="11"/>
  <c r="F54" i="11"/>
  <c r="E54" i="11"/>
  <c r="G53" i="11"/>
  <c r="F53" i="11"/>
  <c r="E53" i="11"/>
  <c r="G52" i="11"/>
  <c r="F52" i="11"/>
  <c r="E52" i="11"/>
  <c r="G51" i="11"/>
  <c r="F51" i="11"/>
  <c r="E51" i="11"/>
  <c r="G50" i="11"/>
  <c r="F50" i="11"/>
  <c r="E50" i="11"/>
  <c r="G49" i="11"/>
  <c r="F49" i="11"/>
  <c r="C24" i="17" s="1"/>
  <c r="E49" i="11"/>
  <c r="G48" i="11"/>
  <c r="F48" i="11"/>
  <c r="E48" i="11"/>
  <c r="G47" i="11"/>
  <c r="F47" i="11"/>
  <c r="E47" i="11"/>
  <c r="G46" i="11"/>
  <c r="F46" i="11"/>
  <c r="C23" i="17" s="1"/>
  <c r="E46" i="11"/>
  <c r="G45" i="11"/>
  <c r="F45" i="11"/>
  <c r="E45" i="11"/>
  <c r="G44" i="11"/>
  <c r="F44" i="11"/>
  <c r="E44" i="11"/>
  <c r="G43" i="11"/>
  <c r="F43" i="11"/>
  <c r="E43" i="11"/>
  <c r="G42" i="11"/>
  <c r="F42" i="11"/>
  <c r="C22" i="17" s="1"/>
  <c r="E42" i="11"/>
  <c r="G41" i="11"/>
  <c r="F41" i="11"/>
  <c r="C21" i="17" s="1"/>
  <c r="E41" i="11"/>
  <c r="G40" i="11"/>
  <c r="F40" i="11"/>
  <c r="C20" i="17" s="1"/>
  <c r="E40" i="11"/>
  <c r="G39" i="11"/>
  <c r="F39" i="11"/>
  <c r="E39" i="11"/>
  <c r="G38" i="11"/>
  <c r="F38" i="11"/>
  <c r="E38" i="11"/>
  <c r="G37" i="11"/>
  <c r="F37" i="11"/>
  <c r="E37" i="11"/>
  <c r="G36" i="11"/>
  <c r="F36" i="11"/>
  <c r="E36" i="11"/>
  <c r="G35" i="11"/>
  <c r="F35" i="11"/>
  <c r="E35" i="11"/>
  <c r="G34" i="11"/>
  <c r="F34" i="11"/>
  <c r="E34" i="11"/>
  <c r="G33" i="11"/>
  <c r="F33" i="11"/>
  <c r="C19" i="17" s="1"/>
  <c r="E33" i="11"/>
  <c r="G32" i="11"/>
  <c r="F32" i="11"/>
  <c r="C18" i="17" s="1"/>
  <c r="E32" i="11"/>
  <c r="G31" i="11"/>
  <c r="F31" i="11"/>
  <c r="C16" i="17" s="1"/>
  <c r="E31" i="11"/>
  <c r="G30" i="11"/>
  <c r="F30" i="11"/>
  <c r="C15" i="17" s="1"/>
  <c r="E30" i="11"/>
  <c r="G29" i="11"/>
  <c r="F29" i="11"/>
  <c r="C13" i="17" s="1"/>
  <c r="E29" i="11"/>
  <c r="G28" i="11"/>
  <c r="F28" i="11"/>
  <c r="C12" i="17" s="1"/>
  <c r="E28" i="11"/>
  <c r="G27" i="11"/>
  <c r="F27" i="11"/>
  <c r="E27" i="11"/>
  <c r="G26" i="11"/>
  <c r="F26" i="11"/>
  <c r="E26" i="11"/>
  <c r="G25" i="11"/>
  <c r="F25" i="11"/>
  <c r="E25" i="11"/>
  <c r="G24" i="11"/>
  <c r="F24" i="11"/>
  <c r="C17" i="17" s="1"/>
  <c r="E24" i="11"/>
  <c r="G23" i="11"/>
  <c r="F23" i="11"/>
  <c r="C14" i="17" s="1"/>
  <c r="E23" i="11"/>
  <c r="G22" i="11"/>
  <c r="F22" i="11"/>
  <c r="E22" i="11"/>
  <c r="B2" i="17"/>
  <c r="C19" i="15" l="1"/>
  <c r="H19" i="15" s="1"/>
  <c r="L13" i="14"/>
  <c r="C17" i="15"/>
  <c r="H17" i="15" s="1"/>
  <c r="L11" i="14"/>
  <c r="C11" i="15"/>
  <c r="H11" i="15" s="1"/>
  <c r="L5" i="14"/>
  <c r="C9" i="15"/>
  <c r="H9" i="15" s="1"/>
  <c r="L3" i="14"/>
  <c r="C18" i="15"/>
  <c r="H18" i="15" s="1"/>
  <c r="L12" i="14"/>
  <c r="C16" i="15"/>
  <c r="H16" i="15" s="1"/>
  <c r="L10" i="14"/>
  <c r="C14" i="15"/>
  <c r="H14" i="15" s="1"/>
  <c r="L8" i="14"/>
  <c r="C10" i="15"/>
  <c r="H10" i="15" s="1"/>
  <c r="L4" i="14"/>
  <c r="C11" i="17"/>
  <c r="C25" i="17" s="1"/>
  <c r="B7" i="24" s="1"/>
  <c r="A4" i="29"/>
  <c r="A5" i="29" s="1"/>
  <c r="A4" i="28"/>
  <c r="A5" i="28" s="1"/>
  <c r="H22" i="15"/>
  <c r="A4" i="23"/>
  <c r="M9" i="29" l="1"/>
  <c r="M30" i="29"/>
  <c r="M23" i="29"/>
  <c r="M15" i="29"/>
  <c r="M31" i="29"/>
  <c r="M26" i="29"/>
  <c r="M19" i="29"/>
  <c r="M12" i="29"/>
  <c r="C37" i="25"/>
  <c r="H37" i="25" s="1"/>
  <c r="I37" i="25" s="1"/>
  <c r="C14" i="25"/>
  <c r="H14" i="25" s="1"/>
  <c r="I14" i="25" s="1"/>
  <c r="C39" i="25"/>
  <c r="H39" i="25" s="1"/>
  <c r="I39" i="25" s="1"/>
  <c r="C16" i="25"/>
  <c r="H16" i="25" s="1"/>
  <c r="I16" i="25" s="1"/>
  <c r="C17" i="25"/>
  <c r="H17" i="25" s="1"/>
  <c r="I17" i="25" s="1"/>
  <c r="C40" i="25"/>
  <c r="H40" i="25" s="1"/>
  <c r="I40" i="25" s="1"/>
  <c r="C32" i="25"/>
  <c r="H32" i="25" s="1"/>
  <c r="I32" i="25" s="1"/>
  <c r="C9" i="25"/>
  <c r="H9" i="25" s="1"/>
  <c r="I9" i="25" s="1"/>
  <c r="C34" i="25"/>
  <c r="H34" i="25" s="1"/>
  <c r="I34" i="25" s="1"/>
  <c r="C11" i="25"/>
  <c r="H11" i="25" s="1"/>
  <c r="I11" i="25" s="1"/>
  <c r="C38" i="25"/>
  <c r="H38" i="25" s="1"/>
  <c r="I38" i="25" s="1"/>
  <c r="C15" i="25"/>
  <c r="H15" i="25" s="1"/>
  <c r="I15" i="25" s="1"/>
  <c r="C31" i="25"/>
  <c r="H31" i="25" s="1"/>
  <c r="C8" i="25"/>
  <c r="H8" i="25" s="1"/>
  <c r="C36" i="25"/>
  <c r="H36" i="25" s="1"/>
  <c r="I36" i="25" s="1"/>
  <c r="C13" i="25"/>
  <c r="H13" i="25" s="1"/>
  <c r="I13" i="25" s="1"/>
  <c r="E50" i="29"/>
  <c r="E46" i="29"/>
  <c r="E40" i="29"/>
  <c r="E36" i="29"/>
  <c r="E30" i="29"/>
  <c r="E28" i="29"/>
  <c r="E25" i="29"/>
  <c r="E15" i="29"/>
  <c r="E13" i="29"/>
  <c r="E10" i="29"/>
  <c r="E9" i="29"/>
  <c r="E51" i="29"/>
  <c r="E31" i="29"/>
  <c r="E20" i="29"/>
  <c r="E59" i="29"/>
  <c r="E53" i="29"/>
  <c r="E49" i="29"/>
  <c r="E39" i="29"/>
  <c r="E23" i="29"/>
  <c r="E21" i="29"/>
  <c r="E18" i="29"/>
  <c r="E16" i="29"/>
  <c r="E11" i="29"/>
  <c r="E57" i="29"/>
  <c r="E41" i="29"/>
  <c r="E37" i="29"/>
  <c r="E22" i="29"/>
  <c r="E19" i="29"/>
  <c r="E12" i="29"/>
  <c r="E58" i="29"/>
  <c r="E52" i="29"/>
  <c r="E48" i="29"/>
  <c r="E42" i="29"/>
  <c r="E38" i="29"/>
  <c r="E29" i="29"/>
  <c r="E27" i="29"/>
  <c r="E26" i="29"/>
  <c r="E24" i="29"/>
  <c r="E14" i="29"/>
  <c r="E8" i="29"/>
  <c r="P8" i="29" s="1"/>
  <c r="E47" i="29"/>
  <c r="E17" i="29"/>
  <c r="E112" i="29"/>
  <c r="E101" i="29"/>
  <c r="E90" i="29"/>
  <c r="E79" i="29"/>
  <c r="E68" i="29"/>
  <c r="E82" i="29"/>
  <c r="E106" i="29"/>
  <c r="E95" i="29"/>
  <c r="E84" i="29"/>
  <c r="E69" i="29"/>
  <c r="E73" i="29"/>
  <c r="E107" i="29"/>
  <c r="E96" i="29"/>
  <c r="E85" i="29"/>
  <c r="E77" i="29"/>
  <c r="E66" i="29"/>
  <c r="E71" i="29"/>
  <c r="E104" i="29"/>
  <c r="E93" i="29"/>
  <c r="E80" i="29"/>
  <c r="E67" i="29"/>
  <c r="E105" i="29"/>
  <c r="E94" i="29"/>
  <c r="E83" i="29"/>
  <c r="E72" i="29"/>
  <c r="E64" i="29"/>
  <c r="E63" i="29"/>
  <c r="E102" i="29"/>
  <c r="E91" i="29"/>
  <c r="E78" i="29"/>
  <c r="E65" i="29"/>
  <c r="E114" i="29"/>
  <c r="E103" i="29"/>
  <c r="E92" i="29"/>
  <c r="E81" i="29"/>
  <c r="E70" i="29"/>
  <c r="E108" i="29"/>
  <c r="E113" i="29"/>
  <c r="E97" i="29"/>
  <c r="E89" i="29"/>
  <c r="E39" i="28"/>
  <c r="E21" i="28"/>
  <c r="E37" i="28"/>
  <c r="E22" i="28"/>
  <c r="E38" i="28"/>
  <c r="E23" i="28"/>
  <c r="E33" i="28"/>
  <c r="E34" i="28"/>
  <c r="E35" i="28"/>
  <c r="E24" i="28"/>
  <c r="E25" i="28"/>
  <c r="E20" i="28"/>
  <c r="E26" i="28"/>
  <c r="E28" i="28"/>
  <c r="E27" i="28"/>
  <c r="E36" i="28"/>
  <c r="E29" i="28"/>
  <c r="E32" i="28"/>
  <c r="E30" i="28"/>
  <c r="E40" i="28"/>
  <c r="E31" i="28"/>
  <c r="E17" i="28"/>
  <c r="E18" i="28"/>
  <c r="E19" i="28"/>
  <c r="A4" i="22"/>
  <c r="H44" i="25" l="1"/>
  <c r="I31" i="25"/>
  <c r="I44" i="25" s="1"/>
  <c r="P17" i="29"/>
  <c r="P18" i="29" s="1"/>
  <c r="P19" i="29" s="1"/>
  <c r="P20" i="29" s="1"/>
  <c r="P9" i="29"/>
  <c r="P10" i="29" s="1"/>
  <c r="P11" i="29" s="1"/>
  <c r="P12" i="29" s="1"/>
  <c r="P13" i="29" s="1"/>
  <c r="P14" i="29" s="1"/>
  <c r="P15" i="29" s="1"/>
  <c r="P16" i="29" s="1"/>
  <c r="H21" i="25"/>
  <c r="I8" i="25"/>
  <c r="I21" i="25" s="1"/>
  <c r="B20" i="27" s="1"/>
  <c r="P21" i="29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F17" i="28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I17" i="28"/>
  <c r="E41" i="28"/>
  <c r="F11" i="28" s="1"/>
  <c r="F101" i="29"/>
  <c r="F102" i="29" s="1"/>
  <c r="F103" i="29" s="1"/>
  <c r="F104" i="29" s="1"/>
  <c r="F105" i="29" s="1"/>
  <c r="F106" i="29" s="1"/>
  <c r="F107" i="29" s="1"/>
  <c r="F108" i="29" s="1"/>
  <c r="I101" i="29"/>
  <c r="I102" i="29" s="1"/>
  <c r="I103" i="29" s="1"/>
  <c r="I104" i="29" s="1"/>
  <c r="I105" i="29" s="1"/>
  <c r="I106" i="29" s="1"/>
  <c r="I107" i="29" s="1"/>
  <c r="I108" i="29" s="1"/>
  <c r="I89" i="29"/>
  <c r="I90" i="29" s="1"/>
  <c r="I91" i="29" s="1"/>
  <c r="I92" i="29" s="1"/>
  <c r="I93" i="29" s="1"/>
  <c r="I94" i="29" s="1"/>
  <c r="I95" i="29" s="1"/>
  <c r="I96" i="29" s="1"/>
  <c r="I97" i="29" s="1"/>
  <c r="F89" i="29"/>
  <c r="F90" i="29" s="1"/>
  <c r="F91" i="29" s="1"/>
  <c r="F92" i="29" s="1"/>
  <c r="F93" i="29" s="1"/>
  <c r="F94" i="29" s="1"/>
  <c r="F95" i="29" s="1"/>
  <c r="F96" i="29" s="1"/>
  <c r="F97" i="29" s="1"/>
  <c r="I57" i="29"/>
  <c r="I58" i="29" s="1"/>
  <c r="I59" i="29" s="1"/>
  <c r="F57" i="29"/>
  <c r="F58" i="29" s="1"/>
  <c r="F59" i="29" s="1"/>
  <c r="I46" i="29"/>
  <c r="F46" i="29"/>
  <c r="F47" i="29" s="1"/>
  <c r="F48" i="29" s="1"/>
  <c r="F49" i="29" s="1"/>
  <c r="F50" i="29" s="1"/>
  <c r="F51" i="29" s="1"/>
  <c r="F52" i="29" s="1"/>
  <c r="F53" i="29" s="1"/>
  <c r="F113" i="29"/>
  <c r="F114" i="29" s="1"/>
  <c r="F8" i="29"/>
  <c r="F9" i="29" s="1"/>
  <c r="F10" i="29" s="1"/>
  <c r="F11" i="29" s="1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I8" i="29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E32" i="29"/>
  <c r="I36" i="29"/>
  <c r="I37" i="29" s="1"/>
  <c r="I38" i="29" s="1"/>
  <c r="I39" i="29" s="1"/>
  <c r="I40" i="29" s="1"/>
  <c r="I41" i="29" s="1"/>
  <c r="I42" i="29" s="1"/>
  <c r="F36" i="29"/>
  <c r="F37" i="29" s="1"/>
  <c r="F38" i="29" s="1"/>
  <c r="F39" i="29" s="1"/>
  <c r="F40" i="29" s="1"/>
  <c r="F41" i="29" s="1"/>
  <c r="F42" i="29" s="1"/>
  <c r="I112" i="29"/>
  <c r="I113" i="29" s="1"/>
  <c r="I114" i="29" s="1"/>
  <c r="F112" i="29"/>
  <c r="I63" i="29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F63" i="29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7" i="29"/>
  <c r="F78" i="29" s="1"/>
  <c r="F79" i="29" s="1"/>
  <c r="F80" i="29" s="1"/>
  <c r="F81" i="29" s="1"/>
  <c r="F82" i="29" s="1"/>
  <c r="F83" i="29" s="1"/>
  <c r="F84" i="29" s="1"/>
  <c r="F85" i="29" s="1"/>
  <c r="I77" i="29"/>
  <c r="I78" i="29" s="1"/>
  <c r="I79" i="29" s="1"/>
  <c r="I80" i="29" s="1"/>
  <c r="I81" i="29" s="1"/>
  <c r="I82" i="29" s="1"/>
  <c r="I83" i="29" s="1"/>
  <c r="I84" i="29" s="1"/>
  <c r="I85" i="29" s="1"/>
  <c r="I47" i="29"/>
  <c r="I48" i="29" s="1"/>
  <c r="I49" i="29" s="1"/>
  <c r="I50" i="29" s="1"/>
  <c r="I51" i="29" s="1"/>
  <c r="I52" i="29" s="1"/>
  <c r="I53" i="29" s="1"/>
  <c r="N30" i="23"/>
  <c r="N26" i="23"/>
  <c r="N23" i="23"/>
  <c r="N19" i="23"/>
  <c r="N12" i="23"/>
  <c r="N9" i="23"/>
  <c r="D112" i="23"/>
  <c r="D113" i="23" s="1"/>
  <c r="D114" i="23" s="1"/>
  <c r="L31" i="23" s="1"/>
  <c r="D101" i="23"/>
  <c r="D102" i="23" s="1"/>
  <c r="D103" i="23" s="1"/>
  <c r="D104" i="23" s="1"/>
  <c r="D105" i="23" s="1"/>
  <c r="D106" i="23" s="1"/>
  <c r="D107" i="23" s="1"/>
  <c r="D108" i="23" s="1"/>
  <c r="L30" i="23" s="1"/>
  <c r="D89" i="23"/>
  <c r="D90" i="23" s="1"/>
  <c r="D91" i="23" s="1"/>
  <c r="D92" i="23" s="1"/>
  <c r="D93" i="23" s="1"/>
  <c r="D94" i="23" s="1"/>
  <c r="D95" i="23" s="1"/>
  <c r="D96" i="23" s="1"/>
  <c r="D97" i="23" s="1"/>
  <c r="L26" i="23" s="1"/>
  <c r="D77" i="23"/>
  <c r="D78" i="23" s="1"/>
  <c r="D79" i="23" s="1"/>
  <c r="D80" i="23" s="1"/>
  <c r="D81" i="23" s="1"/>
  <c r="D82" i="23" s="1"/>
  <c r="D83" i="23" s="1"/>
  <c r="D84" i="23" s="1"/>
  <c r="D85" i="23" s="1"/>
  <c r="L23" i="23" s="1"/>
  <c r="D63" i="23"/>
  <c r="D64" i="23" s="1"/>
  <c r="D65" i="23" s="1"/>
  <c r="D66" i="23" s="1"/>
  <c r="D67" i="23" s="1"/>
  <c r="D68" i="23" s="1"/>
  <c r="D69" i="23" s="1"/>
  <c r="D70" i="23" s="1"/>
  <c r="D71" i="23" s="1"/>
  <c r="D72" i="23" s="1"/>
  <c r="D73" i="23" s="1"/>
  <c r="L19" i="23" s="1"/>
  <c r="D57" i="23"/>
  <c r="D58" i="23" s="1"/>
  <c r="D59" i="23" s="1"/>
  <c r="L15" i="23" s="1"/>
  <c r="D46" i="23"/>
  <c r="D47" i="23" s="1"/>
  <c r="D48" i="23" s="1"/>
  <c r="D49" i="23" s="1"/>
  <c r="D50" i="23" s="1"/>
  <c r="D51" i="23" s="1"/>
  <c r="D52" i="23" s="1"/>
  <c r="D53" i="23" s="1"/>
  <c r="L12" i="23" s="1"/>
  <c r="D36" i="23"/>
  <c r="D37" i="23" s="1"/>
  <c r="D38" i="23" s="1"/>
  <c r="D39" i="23" s="1"/>
  <c r="D40" i="23" s="1"/>
  <c r="D41" i="23" s="1"/>
  <c r="D42" i="23" s="1"/>
  <c r="L9" i="23" s="1"/>
  <c r="D8" i="23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D25" i="23" s="1"/>
  <c r="D26" i="23" s="1"/>
  <c r="D27" i="23" s="1"/>
  <c r="D28" i="23" s="1"/>
  <c r="D29" i="23" s="1"/>
  <c r="D30" i="23" s="1"/>
  <c r="D31" i="23" s="1"/>
  <c r="A5" i="23"/>
  <c r="E30" i="23" s="1"/>
  <c r="C32" i="23"/>
  <c r="Q31" i="23"/>
  <c r="Q30" i="23"/>
  <c r="Q29" i="23"/>
  <c r="Q28" i="23"/>
  <c r="Q27" i="23"/>
  <c r="Q26" i="23"/>
  <c r="Q25" i="23"/>
  <c r="Q24" i="23"/>
  <c r="Q23" i="23"/>
  <c r="Q22" i="23"/>
  <c r="Q21" i="23"/>
  <c r="Q20" i="23"/>
  <c r="Q19" i="23"/>
  <c r="Q18" i="23"/>
  <c r="Q17" i="23"/>
  <c r="Q16" i="23"/>
  <c r="Q15" i="23"/>
  <c r="Q14" i="23"/>
  <c r="Q13" i="23"/>
  <c r="Q12" i="23"/>
  <c r="Q11" i="23"/>
  <c r="Q10" i="23"/>
  <c r="Q9" i="23"/>
  <c r="Q8" i="23"/>
  <c r="R8" i="23" s="1"/>
  <c r="O8" i="23"/>
  <c r="A5" i="22"/>
  <c r="E17" i="22" s="1"/>
  <c r="D17" i="22"/>
  <c r="D18" i="22" s="1"/>
  <c r="D19" i="22" s="1"/>
  <c r="D20" i="22" s="1"/>
  <c r="D21" i="22" s="1"/>
  <c r="D22" i="22" s="1"/>
  <c r="D23" i="22" s="1"/>
  <c r="D24" i="22" s="1"/>
  <c r="D25" i="22" s="1"/>
  <c r="D26" i="22" s="1"/>
  <c r="D27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C41" i="22"/>
  <c r="B4" i="30" s="1"/>
  <c r="I18" i="28" l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A8" i="28"/>
  <c r="A8" i="22"/>
  <c r="E36" i="22"/>
  <c r="E31" i="22"/>
  <c r="E28" i="22"/>
  <c r="E39" i="22"/>
  <c r="E58" i="23"/>
  <c r="E107" i="23"/>
  <c r="E35" i="22"/>
  <c r="E24" i="22"/>
  <c r="E8" i="23"/>
  <c r="F8" i="23" s="1"/>
  <c r="E52" i="23"/>
  <c r="E67" i="23"/>
  <c r="E95" i="23"/>
  <c r="E113" i="23"/>
  <c r="E42" i="23"/>
  <c r="E82" i="23"/>
  <c r="M31" i="23"/>
  <c r="E38" i="23"/>
  <c r="E71" i="23"/>
  <c r="E78" i="23"/>
  <c r="E103" i="23"/>
  <c r="E40" i="22"/>
  <c r="E32" i="22"/>
  <c r="E20" i="22"/>
  <c r="E31" i="23"/>
  <c r="E48" i="23"/>
  <c r="E77" i="23"/>
  <c r="I77" i="23" s="1"/>
  <c r="E91" i="23"/>
  <c r="M19" i="23"/>
  <c r="E12" i="23"/>
  <c r="E41" i="23"/>
  <c r="E37" i="23"/>
  <c r="E51" i="23"/>
  <c r="E47" i="23"/>
  <c r="E63" i="23"/>
  <c r="I63" i="23" s="1"/>
  <c r="E70" i="23"/>
  <c r="E66" i="23"/>
  <c r="E85" i="23"/>
  <c r="E81" i="23"/>
  <c r="E89" i="23"/>
  <c r="I89" i="23" s="1"/>
  <c r="E94" i="23"/>
  <c r="E90" i="23"/>
  <c r="E106" i="23"/>
  <c r="E102" i="23"/>
  <c r="M9" i="23"/>
  <c r="M23" i="23"/>
  <c r="E10" i="23"/>
  <c r="E40" i="23"/>
  <c r="E46" i="23"/>
  <c r="I46" i="23" s="1"/>
  <c r="E50" i="23"/>
  <c r="E57" i="23"/>
  <c r="I57" i="23" s="1"/>
  <c r="E73" i="23"/>
  <c r="E69" i="23"/>
  <c r="E65" i="23"/>
  <c r="E84" i="23"/>
  <c r="E80" i="23"/>
  <c r="E97" i="23"/>
  <c r="E93" i="23"/>
  <c r="E101" i="23"/>
  <c r="I101" i="23" s="1"/>
  <c r="E105" i="23"/>
  <c r="E112" i="23"/>
  <c r="I112" i="23" s="1"/>
  <c r="M12" i="23"/>
  <c r="M26" i="23"/>
  <c r="E23" i="23"/>
  <c r="E36" i="23"/>
  <c r="I36" i="23" s="1"/>
  <c r="E39" i="23"/>
  <c r="E53" i="23"/>
  <c r="E49" i="23"/>
  <c r="E59" i="23"/>
  <c r="E72" i="23"/>
  <c r="E68" i="23"/>
  <c r="E64" i="23"/>
  <c r="E83" i="23"/>
  <c r="E79" i="23"/>
  <c r="E96" i="23"/>
  <c r="E92" i="23"/>
  <c r="E108" i="23"/>
  <c r="E104" i="23"/>
  <c r="E114" i="23"/>
  <c r="M15" i="23"/>
  <c r="M30" i="23"/>
  <c r="F17" i="22"/>
  <c r="E27" i="22"/>
  <c r="E23" i="22"/>
  <c r="E19" i="22"/>
  <c r="E38" i="22"/>
  <c r="E34" i="22"/>
  <c r="E30" i="22"/>
  <c r="E26" i="22"/>
  <c r="E22" i="22"/>
  <c r="E18" i="22"/>
  <c r="I17" i="22"/>
  <c r="E37" i="22"/>
  <c r="E33" i="22"/>
  <c r="E29" i="22"/>
  <c r="E25" i="22"/>
  <c r="E21" i="22"/>
  <c r="R9" i="23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D5" i="30" s="1"/>
  <c r="E13" i="23"/>
  <c r="E15" i="23"/>
  <c r="E18" i="23"/>
  <c r="E21" i="23"/>
  <c r="E24" i="23"/>
  <c r="E26" i="23"/>
  <c r="E28" i="23"/>
  <c r="I8" i="23"/>
  <c r="E11" i="23"/>
  <c r="E16" i="23"/>
  <c r="E19" i="23"/>
  <c r="E29" i="23"/>
  <c r="E9" i="23"/>
  <c r="E14" i="23"/>
  <c r="E17" i="23"/>
  <c r="E20" i="23"/>
  <c r="E22" i="23"/>
  <c r="E25" i="23"/>
  <c r="E27" i="23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F57" i="23"/>
  <c r="F89" i="23"/>
  <c r="H32" i="23"/>
  <c r="H41" i="22"/>
  <c r="I41" i="28" l="1"/>
  <c r="F13" i="28" s="1"/>
  <c r="A12" i="22"/>
  <c r="A12" i="28"/>
  <c r="I37" i="23"/>
  <c r="I38" i="23" s="1"/>
  <c r="I39" i="23" s="1"/>
  <c r="I40" i="23" s="1"/>
  <c r="I41" i="23" s="1"/>
  <c r="I42" i="23" s="1"/>
  <c r="F58" i="23"/>
  <c r="F59" i="23" s="1"/>
  <c r="I58" i="23"/>
  <c r="I59" i="23" s="1"/>
  <c r="F101" i="23"/>
  <c r="F102" i="23" s="1"/>
  <c r="F103" i="23" s="1"/>
  <c r="F104" i="23" s="1"/>
  <c r="F105" i="23" s="1"/>
  <c r="F106" i="23" s="1"/>
  <c r="F107" i="23" s="1"/>
  <c r="F108" i="23" s="1"/>
  <c r="F77" i="23"/>
  <c r="F78" i="23" s="1"/>
  <c r="F79" i="23" s="1"/>
  <c r="F80" i="23" s="1"/>
  <c r="F81" i="23" s="1"/>
  <c r="F82" i="23" s="1"/>
  <c r="F83" i="23" s="1"/>
  <c r="F84" i="23" s="1"/>
  <c r="F85" i="23" s="1"/>
  <c r="I64" i="23"/>
  <c r="I65" i="23" s="1"/>
  <c r="I66" i="23" s="1"/>
  <c r="I67" i="23" s="1"/>
  <c r="I68" i="23" s="1"/>
  <c r="I69" i="23" s="1"/>
  <c r="I70" i="23" s="1"/>
  <c r="I71" i="23" s="1"/>
  <c r="I72" i="23" s="1"/>
  <c r="I73" i="23" s="1"/>
  <c r="O32" i="23"/>
  <c r="D4" i="30" s="1"/>
  <c r="B21" i="2" s="1"/>
  <c r="I18" i="22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F46" i="23"/>
  <c r="F47" i="23" s="1"/>
  <c r="F48" i="23" s="1"/>
  <c r="F49" i="23" s="1"/>
  <c r="F50" i="23" s="1"/>
  <c r="F51" i="23" s="1"/>
  <c r="F52" i="23" s="1"/>
  <c r="F53" i="23" s="1"/>
  <c r="F63" i="23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I9" i="23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113" i="23"/>
  <c r="I114" i="23" s="1"/>
  <c r="I47" i="23"/>
  <c r="I48" i="23" s="1"/>
  <c r="I49" i="23" s="1"/>
  <c r="I50" i="23" s="1"/>
  <c r="I51" i="23" s="1"/>
  <c r="I52" i="23" s="1"/>
  <c r="I53" i="23" s="1"/>
  <c r="F90" i="23"/>
  <c r="F91" i="23" s="1"/>
  <c r="F92" i="23" s="1"/>
  <c r="F93" i="23" s="1"/>
  <c r="F94" i="23" s="1"/>
  <c r="F95" i="23" s="1"/>
  <c r="F96" i="23" s="1"/>
  <c r="F97" i="23" s="1"/>
  <c r="E41" i="22"/>
  <c r="A11" i="22" s="1"/>
  <c r="I102" i="23"/>
  <c r="I103" i="23" s="1"/>
  <c r="I104" i="23" s="1"/>
  <c r="I105" i="23" s="1"/>
  <c r="I106" i="23" s="1"/>
  <c r="I107" i="23" s="1"/>
  <c r="I108" i="23" s="1"/>
  <c r="I90" i="23"/>
  <c r="I91" i="23" s="1"/>
  <c r="I92" i="23" s="1"/>
  <c r="I93" i="23" s="1"/>
  <c r="I94" i="23" s="1"/>
  <c r="I95" i="23" s="1"/>
  <c r="I96" i="23" s="1"/>
  <c r="I97" i="23" s="1"/>
  <c r="I78" i="23"/>
  <c r="I79" i="23" s="1"/>
  <c r="I80" i="23" s="1"/>
  <c r="I81" i="23" s="1"/>
  <c r="I82" i="23" s="1"/>
  <c r="I83" i="23" s="1"/>
  <c r="I84" i="23" s="1"/>
  <c r="I85" i="23" s="1"/>
  <c r="P8" i="23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E32" i="23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112" i="23"/>
  <c r="F113" i="23" s="1"/>
  <c r="F114" i="23" s="1"/>
  <c r="F36" i="23"/>
  <c r="F37" i="23" s="1"/>
  <c r="F38" i="23" s="1"/>
  <c r="F39" i="23" s="1"/>
  <c r="F40" i="23" s="1"/>
  <c r="F41" i="23" s="1"/>
  <c r="F42" i="23" s="1"/>
  <c r="F18" i="22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M15" i="14"/>
  <c r="B24" i="27" s="1"/>
  <c r="B26" i="27" s="1"/>
  <c r="B27" i="27" s="1"/>
  <c r="A11" i="28" l="1"/>
  <c r="B23" i="2"/>
  <c r="E11" i="2"/>
  <c r="I41" i="22"/>
  <c r="A13" i="28" l="1"/>
  <c r="A13" i="22"/>
  <c r="B24" i="2" l="1"/>
  <c r="B15" i="2"/>
  <c r="B5" i="11"/>
  <c r="B4" i="11"/>
  <c r="B3" i="11"/>
  <c r="H53" i="11" l="1"/>
  <c r="H56" i="11"/>
  <c r="H52" i="11"/>
  <c r="H57" i="11"/>
  <c r="H30" i="11"/>
  <c r="H34" i="11"/>
  <c r="H26" i="11"/>
  <c r="H35" i="11"/>
  <c r="H37" i="11"/>
  <c r="H28" i="11"/>
  <c r="H43" i="11"/>
  <c r="H45" i="11"/>
  <c r="H44" i="11"/>
  <c r="H22" i="11"/>
  <c r="H32" i="11"/>
  <c r="H47" i="11"/>
  <c r="H49" i="11"/>
  <c r="H42" i="11"/>
  <c r="H24" i="11"/>
  <c r="H38" i="11"/>
  <c r="H23" i="11"/>
  <c r="H39" i="11"/>
  <c r="H25" i="11"/>
  <c r="H41" i="11"/>
  <c r="H40" i="11"/>
  <c r="H46" i="11"/>
  <c r="H36" i="11"/>
  <c r="H27" i="11"/>
  <c r="H29" i="11"/>
  <c r="H51" i="11"/>
  <c r="H50" i="11"/>
  <c r="H31" i="11"/>
  <c r="H33" i="11"/>
  <c r="H48" i="11"/>
  <c r="H55" i="11"/>
  <c r="H54" i="11"/>
  <c r="B3" i="15"/>
  <c r="B2" i="15"/>
  <c r="B28" i="2"/>
  <c r="H58" i="11" l="1"/>
  <c r="A4" i="26" s="1"/>
  <c r="D22" i="15"/>
  <c r="B17" i="27" l="1"/>
  <c r="B31" i="27" s="1"/>
  <c r="B14" i="2"/>
  <c r="B16" i="2" s="1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G11" i="27" l="1"/>
  <c r="B32" i="27"/>
  <c r="H11" i="27" s="1"/>
  <c r="G21" i="15"/>
  <c r="I21" i="15" s="1"/>
  <c r="G17" i="15"/>
  <c r="I17" i="15" s="1"/>
  <c r="G13" i="15"/>
  <c r="I13" i="15" s="1"/>
  <c r="G19" i="15"/>
  <c r="I19" i="15" s="1"/>
  <c r="G15" i="15"/>
  <c r="I15" i="15" s="1"/>
  <c r="G18" i="15"/>
  <c r="I18" i="15" s="1"/>
  <c r="G14" i="15"/>
  <c r="I14" i="15" s="1"/>
  <c r="G10" i="15"/>
  <c r="I10" i="15" s="1"/>
  <c r="F22" i="15"/>
  <c r="A9" i="22" s="1"/>
  <c r="E22" i="15"/>
  <c r="G11" i="15"/>
  <c r="I11" i="15" s="1"/>
  <c r="G9" i="15"/>
  <c r="I9" i="15" s="1"/>
  <c r="G20" i="15"/>
  <c r="I20" i="15" s="1"/>
  <c r="G16" i="15"/>
  <c r="I16" i="15" s="1"/>
  <c r="G12" i="15"/>
  <c r="I12" i="15" s="1"/>
  <c r="G8" i="15"/>
  <c r="I8" i="15" s="1"/>
  <c r="A9" i="28" l="1"/>
  <c r="A10" i="28" s="1"/>
  <c r="F9" i="28"/>
  <c r="A10" i="22"/>
  <c r="I22" i="15"/>
  <c r="G22" i="15"/>
  <c r="B19" i="2" l="1"/>
  <c r="B22" i="2"/>
  <c r="B25" i="2"/>
  <c r="B29" i="2" l="1"/>
  <c r="F11" i="2" s="1"/>
  <c r="B26" i="2" l="1"/>
  <c r="B30" i="2" l="1"/>
  <c r="B31" i="2" s="1"/>
  <c r="H11" i="2" s="1"/>
  <c r="G11" i="2" l="1"/>
</calcChain>
</file>

<file path=xl/sharedStrings.xml><?xml version="1.0" encoding="utf-8"?>
<sst xmlns="http://schemas.openxmlformats.org/spreadsheetml/2006/main" count="1716" uniqueCount="450">
  <si>
    <t>Author</t>
  </si>
  <si>
    <t>Date</t>
  </si>
  <si>
    <t>Hours / Shift</t>
  </si>
  <si>
    <t>TrackRs / Hours</t>
  </si>
  <si>
    <t>Produce Minutes / TrackR</t>
  </si>
  <si>
    <t>Pickup Minutes / TrackR</t>
  </si>
  <si>
    <t>Component Cost / TrackR</t>
  </si>
  <si>
    <t>Income / TrackR</t>
  </si>
  <si>
    <t>Marketing Cost / TrackR</t>
  </si>
  <si>
    <t>Profit</t>
  </si>
  <si>
    <t>Total Pay / Day</t>
  </si>
  <si>
    <t>Total Profit / Day</t>
  </si>
  <si>
    <t>Total TrackRs / Day</t>
  </si>
  <si>
    <t>TrackR</t>
  </si>
  <si>
    <t>Human Resources</t>
  </si>
  <si>
    <t>Purchasing Agents</t>
  </si>
  <si>
    <t>Shipper / Receivers</t>
  </si>
  <si>
    <t>Cost</t>
  </si>
  <si>
    <t>Total Cost / TrackR</t>
  </si>
  <si>
    <t>Total TrackR Cost / Day</t>
  </si>
  <si>
    <t>Total TrackR Income / Day</t>
  </si>
  <si>
    <t>Total Costs / Day</t>
  </si>
  <si>
    <t>Daily Income</t>
  </si>
  <si>
    <t>Daily Costs</t>
  </si>
  <si>
    <t>Daily Profit</t>
  </si>
  <si>
    <t>Break-Even Analysis</t>
  </si>
  <si>
    <t>TrackR Produce Time</t>
  </si>
  <si>
    <t>Assumptions</t>
  </si>
  <si>
    <t>Basic Information</t>
  </si>
  <si>
    <t>Hyojin Ahn</t>
  </si>
  <si>
    <t>References</t>
  </si>
  <si>
    <t>Burden Rate</t>
  </si>
  <si>
    <t>UHY. (2019, September). Employers now pay average employment costs worth nearly 25% of employees’ salaries. Retrieved from UHY: https://www.uhy.com/employers-now-pay-average-employment-costs-worth-nearly-25-of-employees-salaries/</t>
  </si>
  <si>
    <t>Manufacturer</t>
  </si>
  <si>
    <t>Part Number</t>
  </si>
  <si>
    <t>Row</t>
  </si>
  <si>
    <t>Bay</t>
  </si>
  <si>
    <t>Mitchell’s Plastics</t>
  </si>
  <si>
    <t>MPC432119-2</t>
  </si>
  <si>
    <t>C</t>
  </si>
  <si>
    <t>MPC44422</t>
  </si>
  <si>
    <t>E</t>
  </si>
  <si>
    <t>American Vanadium</t>
  </si>
  <si>
    <t>SFLV25</t>
  </si>
  <si>
    <t>A</t>
  </si>
  <si>
    <t>Foxconn</t>
  </si>
  <si>
    <t>FnOFI-GN1212</t>
  </si>
  <si>
    <t>D</t>
  </si>
  <si>
    <t>Qualcomm</t>
  </si>
  <si>
    <t>BD2098733AAB</t>
  </si>
  <si>
    <t>BD20911131BB</t>
  </si>
  <si>
    <t>B</t>
  </si>
  <si>
    <t>ST Microelectronics</t>
  </si>
  <si>
    <t>HG213123-221</t>
  </si>
  <si>
    <t>STMA11233</t>
  </si>
  <si>
    <t>Samsung</t>
  </si>
  <si>
    <t>SS98AAIS</t>
  </si>
  <si>
    <t>Sandisk</t>
  </si>
  <si>
    <t>SDMALBB3033G</t>
  </si>
  <si>
    <t>BlueGiga</t>
  </si>
  <si>
    <t>BLE112</t>
  </si>
  <si>
    <t>Banda Bracelets (HK) Ltd.</t>
  </si>
  <si>
    <t>LS1121</t>
  </si>
  <si>
    <t>Starting Point</t>
  </si>
  <si>
    <t>Ending point</t>
  </si>
  <si>
    <t>Distance (metres)</t>
  </si>
  <si>
    <t>Champion</t>
  </si>
  <si>
    <t>Point A</t>
  </si>
  <si>
    <t>Minutes Max</t>
  </si>
  <si>
    <t>Minutes Min</t>
  </si>
  <si>
    <t>Minutes Avg</t>
  </si>
  <si>
    <t>Picking</t>
  </si>
  <si>
    <t>Making TrackR</t>
  </si>
  <si>
    <t>If product gets failed in final test all the components gets rebuild.</t>
  </si>
  <si>
    <t>Time taken for replacing components is part of fail rate and does not have additional impact on time for building the product from step 6 to 20.</t>
  </si>
  <si>
    <t>Description</t>
  </si>
  <si>
    <t>Comment</t>
  </si>
  <si>
    <t>Vulcanized Rubber casing</t>
  </si>
  <si>
    <t>Outer housing for TRACKR</t>
  </si>
  <si>
    <t>Rigid plastic pins</t>
  </si>
  <si>
    <t>Connects MPC432119-2 to LS1121</t>
  </si>
  <si>
    <t>Slimflex Lithium-Vanadium printed battery</t>
  </si>
  <si>
    <t>A paper thin battery operating using vanadium dipped alloys to reduce heat production and power waste.</t>
  </si>
  <si>
    <t>Main printed circuit board (PCB)</t>
  </si>
  <si>
    <t>Secure housing for orientation equipment</t>
  </si>
  <si>
    <t>Rigid plastic frame</t>
  </si>
  <si>
    <t>Micro-transmitter for LTE communication</t>
  </si>
  <si>
    <t>3-axis digital gyroscope</t>
  </si>
  <si>
    <t>2-axis analogue accelerometer</t>
  </si>
  <si>
    <t>18mm x 29mm OLED screen</t>
  </si>
  <si>
    <t>2GB FLASH NAND</t>
  </si>
  <si>
    <t>Small flash chip for data storage.</t>
  </si>
  <si>
    <t>Bluetooth 4.0 low energy chipset</t>
  </si>
  <si>
    <t>Wireless connectivity using Bluetooth 4.0 LTE</t>
  </si>
  <si>
    <t>Plastic wrist strap</t>
  </si>
  <si>
    <t>Total</t>
  </si>
  <si>
    <t>Cost (CAD)</t>
  </si>
  <si>
    <t>Version</t>
  </si>
  <si>
    <t>Brijesh Patel</t>
  </si>
  <si>
    <t>Sanket Batra</t>
  </si>
  <si>
    <t>Displayed break-even chart</t>
  </si>
  <si>
    <t>Created calculatioin the profit and loss</t>
  </si>
  <si>
    <t>Added Picking Sheet</t>
  </si>
  <si>
    <t>Added Making TrackR, Component Sheet</t>
  </si>
  <si>
    <t>Updated Component Sheet the information of location</t>
  </si>
  <si>
    <t>Referenced the "pickup minutes" from Picking Sheet</t>
  </si>
  <si>
    <t>Referenced the "produce minutes" from Making TrackR Sheet</t>
  </si>
  <si>
    <t>The making time for each TrackR model is equal.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</si>
  <si>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</si>
  <si>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</si>
  <si>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</si>
  <si>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</si>
  <si>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</si>
  <si>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</si>
  <si>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</si>
  <si>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</si>
  <si>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</si>
  <si>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</si>
  <si>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</si>
  <si>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</si>
  <si>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Fixed</t>
  </si>
  <si>
    <t>Yes</t>
  </si>
  <si>
    <t>Refered from Assumption sheet</t>
  </si>
  <si>
    <t>Has a formula or calculation</t>
  </si>
  <si>
    <t>Normal</t>
  </si>
  <si>
    <t>Calculation</t>
  </si>
  <si>
    <t>Input</t>
  </si>
  <si>
    <t>Refered from another sheet</t>
  </si>
  <si>
    <t>Facility</t>
  </si>
  <si>
    <t>Facility Cost / Hour</t>
  </si>
  <si>
    <t>The unit sell price of TrackR A.</t>
  </si>
  <si>
    <t>The unit sell price of TrackR B.</t>
  </si>
  <si>
    <t>The unit sell price of TrackR C.</t>
  </si>
  <si>
    <t>The marketing cost of single TrackR B.</t>
  </si>
  <si>
    <t>The burden rate (UHY, 2019).</t>
  </si>
  <si>
    <t>Facility cost per hour including heat, hydro, insurance and etc.</t>
  </si>
  <si>
    <t>Assumption 1.11</t>
  </si>
  <si>
    <t>Assumption 1.02</t>
  </si>
  <si>
    <t>Assumption 1.09</t>
  </si>
  <si>
    <t>Component Total_Cost</t>
  </si>
  <si>
    <t>Basic Information 2</t>
  </si>
  <si>
    <t>Total Facility Cost / Day</t>
  </si>
  <si>
    <t>Break-Even Analysis initial input value</t>
  </si>
  <si>
    <t xml:space="preserve">Changed all input values to reference values </t>
  </si>
  <si>
    <t>Gave ID in Assumption Sheet and seperated values and descriptions</t>
  </si>
  <si>
    <t>Time required for chemical welding in 23 steps.</t>
  </si>
  <si>
    <t>Pick</t>
  </si>
  <si>
    <t>Standby</t>
  </si>
  <si>
    <t>Assembly</t>
  </si>
  <si>
    <t>Role</t>
  </si>
  <si>
    <t>Employee #</t>
  </si>
  <si>
    <t>Years Old</t>
  </si>
  <si>
    <t>Shift</t>
  </si>
  <si>
    <t>Attitude Code</t>
  </si>
  <si>
    <t>Comments</t>
  </si>
  <si>
    <t>Team Lead</t>
  </si>
  <si>
    <t>Team Member</t>
  </si>
  <si>
    <t>Team Maintenance</t>
  </si>
  <si>
    <t>Shift / Maintenance Manager</t>
  </si>
  <si>
    <t>as needed</t>
  </si>
  <si>
    <t>Quality Control Tech</t>
  </si>
  <si>
    <t>Product and Process Designers</t>
  </si>
  <si>
    <t>Days</t>
  </si>
  <si>
    <t>Division</t>
  </si>
  <si>
    <t>Amount</t>
  </si>
  <si>
    <t>Per</t>
  </si>
  <si>
    <t>per hour</t>
  </si>
  <si>
    <t>CDL</t>
  </si>
  <si>
    <t>per year</t>
  </si>
  <si>
    <t>Production VP / Plant Manager</t>
  </si>
  <si>
    <t>Pay</t>
  </si>
  <si>
    <t>Pay Per</t>
  </si>
  <si>
    <t>Count</t>
  </si>
  <si>
    <t>Grand Total</t>
  </si>
  <si>
    <t>Pay / Day</t>
  </si>
  <si>
    <t>Workers</t>
  </si>
  <si>
    <t>Business days / Year</t>
  </si>
  <si>
    <t>Workers and Facility</t>
  </si>
  <si>
    <t>TrackR Division Work Hours / Shift</t>
  </si>
  <si>
    <t>CDL Division Work Hours / Shift</t>
  </si>
  <si>
    <t>TrackR Division Shift / Day</t>
  </si>
  <si>
    <t>Total TrackR Work Hours / Day</t>
  </si>
  <si>
    <t>TrackR Assembly Tables</t>
  </si>
  <si>
    <t>Tables * hours / day</t>
  </si>
  <si>
    <t>TrackR Assembly Minutes / Hour</t>
  </si>
  <si>
    <t>Calculated the Sunny Day for Assembling TrackR Process</t>
  </si>
  <si>
    <t>Calculated the Rainy Day for Assembling TrackR Process</t>
  </si>
  <si>
    <t>Calculated Fail Rate and Reliabilty to task for Rainy Day</t>
  </si>
  <si>
    <t xml:space="preserve">Task </t>
  </si>
  <si>
    <t>Action</t>
  </si>
  <si>
    <t>Duration</t>
  </si>
  <si>
    <t>Duration to Task</t>
  </si>
  <si>
    <t>Labour Task Value</t>
  </si>
  <si>
    <t>Labour to task</t>
  </si>
  <si>
    <t>Component</t>
  </si>
  <si>
    <t>Total to Task</t>
  </si>
  <si>
    <t>Unpacking</t>
  </si>
  <si>
    <t>Inspecting</t>
  </si>
  <si>
    <t>Inserting</t>
  </si>
  <si>
    <t>Depress and Insert</t>
  </si>
  <si>
    <t>Tug Testing</t>
  </si>
  <si>
    <t>Placing</t>
  </si>
  <si>
    <t>Soldering</t>
  </si>
  <si>
    <t>Visual examination</t>
  </si>
  <si>
    <t>Clamp</t>
  </si>
  <si>
    <t>Cold-soldering</t>
  </si>
  <si>
    <t>Bond Checking</t>
  </si>
  <si>
    <t>Mountinng</t>
  </si>
  <si>
    <t>Bonding of solder</t>
  </si>
  <si>
    <t>Tug testing</t>
  </si>
  <si>
    <t>Remove from Clamp</t>
  </si>
  <si>
    <t>Sealing</t>
  </si>
  <si>
    <t>Heat testing</t>
  </si>
  <si>
    <t>Radio activity testing</t>
  </si>
  <si>
    <t>Labour Cost</t>
  </si>
  <si>
    <t>per second</t>
  </si>
  <si>
    <t>Total labour cost to Assemble 1 TrackR</t>
  </si>
  <si>
    <t>Total Component Cost to Make 1 TrackR</t>
  </si>
  <si>
    <t>Total Cost of 1 TrackR</t>
  </si>
  <si>
    <t>Component Cost</t>
  </si>
  <si>
    <t>Fail Rate</t>
  </si>
  <si>
    <t>Action to take</t>
  </si>
  <si>
    <t>Time</t>
  </si>
  <si>
    <t>Labour cost</t>
  </si>
  <si>
    <t>Total Time to task with 1 fail and good repeat</t>
  </si>
  <si>
    <t>Total Cost</t>
  </si>
  <si>
    <t>Reliability</t>
  </si>
  <si>
    <t>Reliabilty to task</t>
  </si>
  <si>
    <t>Repeat Actions 1</t>
  </si>
  <si>
    <t>Repeat Actions 2</t>
  </si>
  <si>
    <t xml:space="preserve">Repeat Actions 3 </t>
  </si>
  <si>
    <t>Repeat Actions 4</t>
  </si>
  <si>
    <t>Repeat Actions 5</t>
  </si>
  <si>
    <t>Repeat Actions 6</t>
  </si>
  <si>
    <t>Repeat Actions 7</t>
  </si>
  <si>
    <t xml:space="preserve">Repeat Actions 8 </t>
  </si>
  <si>
    <t>On fail- Repeat Actions 1</t>
  </si>
  <si>
    <t>Task</t>
  </si>
  <si>
    <t>Duration(s)</t>
  </si>
  <si>
    <t>Total Duration</t>
  </si>
  <si>
    <t>Labour Task value</t>
  </si>
  <si>
    <t>Labour Total to Task</t>
  </si>
  <si>
    <t>Component ID</t>
  </si>
  <si>
    <t>Component cost</t>
  </si>
  <si>
    <t>Walking</t>
  </si>
  <si>
    <t>Place on return shelf</t>
  </si>
  <si>
    <t>Get new component</t>
  </si>
  <si>
    <t>On fail- Repeat Actions 2</t>
  </si>
  <si>
    <t xml:space="preserve">Component </t>
  </si>
  <si>
    <t>A,B,L</t>
  </si>
  <si>
    <t>Depress &amp; insert</t>
  </si>
  <si>
    <t>On fail- Repeat Actions 3</t>
  </si>
  <si>
    <t>Clean Solder Board</t>
  </si>
  <si>
    <t>Solder Again</t>
  </si>
  <si>
    <t>Visual Examination</t>
  </si>
  <si>
    <t>On fail- Repeat Actions 4</t>
  </si>
  <si>
    <t>Clean up performed</t>
  </si>
  <si>
    <t>Record loss in system</t>
  </si>
  <si>
    <t>E,G,H</t>
  </si>
  <si>
    <t>Cold-solder</t>
  </si>
  <si>
    <t>Check proper bonding of solder</t>
  </si>
  <si>
    <t>On fail- Repeat Actions 5</t>
  </si>
  <si>
    <t>G,H</t>
  </si>
  <si>
    <t>Solder</t>
  </si>
  <si>
    <t>On fail- Repeat Actions 6</t>
  </si>
  <si>
    <t>Get new components</t>
  </si>
  <si>
    <t>C,F,K</t>
  </si>
  <si>
    <t>Insert</t>
  </si>
  <si>
    <t>Place SFLV25</t>
  </si>
  <si>
    <t>On fail- Repeat Actions 7</t>
  </si>
  <si>
    <t>Cut off &amp; discard</t>
  </si>
  <si>
    <t>On fail- Repeat Actions 8</t>
  </si>
  <si>
    <t>ComponentID</t>
  </si>
  <si>
    <t>F</t>
  </si>
  <si>
    <t>G</t>
  </si>
  <si>
    <t>H</t>
  </si>
  <si>
    <t>I</t>
  </si>
  <si>
    <t>J</t>
  </si>
  <si>
    <t>K</t>
  </si>
  <si>
    <t>L</t>
  </si>
  <si>
    <t>Component Cost2</t>
  </si>
  <si>
    <t>Seconds to pick up single item.</t>
  </si>
  <si>
    <t>Average of Sunny and Rainy</t>
  </si>
  <si>
    <t>* Break-Even Point</t>
  </si>
  <si>
    <t>Added Current Staffing</t>
  </si>
  <si>
    <t>Table A</t>
  </si>
  <si>
    <t>Table B</t>
  </si>
  <si>
    <t>Table C</t>
  </si>
  <si>
    <t>Staffing AS-IS</t>
  </si>
  <si>
    <t>Workers Information</t>
  </si>
  <si>
    <t>Role Informtaion</t>
  </si>
  <si>
    <t>Count by Attitude Code</t>
  </si>
  <si>
    <t>Attitude Code by Shift</t>
  </si>
  <si>
    <t>Attitude Code by Role</t>
  </si>
  <si>
    <t>Workers AS-IS</t>
  </si>
  <si>
    <t>Basic Information or Assumptions</t>
  </si>
  <si>
    <t>Staffing TO-BE</t>
  </si>
  <si>
    <t>Location</t>
  </si>
  <si>
    <t>Sunny Day Sample Calculation</t>
  </si>
  <si>
    <t>When all the steps of assembling yeild 100% success</t>
  </si>
  <si>
    <t>Rainy Day Sample Calculation</t>
  </si>
  <si>
    <t>When the assembly process does not have 100% reliability</t>
  </si>
  <si>
    <t>Workers Attitude Survey Result of Attitudes toward Change as of Mar 24, 2015 Pivot Table</t>
  </si>
  <si>
    <t>Pick Up Analysis AS-IS</t>
  </si>
  <si>
    <t>Legend</t>
  </si>
  <si>
    <t>Pick Up Analysis TO-BE</t>
  </si>
  <si>
    <t>* Please don't type the value directly, change the value in Assumption sheet.</t>
  </si>
  <si>
    <t>Assembly Teams will concentrate on the work of Assembly.</t>
  </si>
  <si>
    <t>Maintenance table staffing remains in the same way as before.</t>
  </si>
  <si>
    <t>The number of Assembly tables are same since the amount of manufacturing TrackR is sufficient.</t>
  </si>
  <si>
    <t>The making phase is Pick -&gt; Assembly -&gt; Standby order.</t>
  </si>
  <si>
    <t>Profit and Loss Calculation AS-IS</t>
  </si>
  <si>
    <t>Location AS-IS</t>
  </si>
  <si>
    <t>Location TO-BE</t>
  </si>
  <si>
    <t xml:space="preserve">Added Picking To-BE </t>
  </si>
  <si>
    <t>Included Location Information into Picking Table</t>
  </si>
  <si>
    <t>Maximum walking distance(metre) of a worker per minute (Reference, 2019).</t>
  </si>
  <si>
    <r>
      <t xml:space="preserve">Reference. (2019). </t>
    </r>
    <r>
      <rPr>
        <i/>
        <sz val="11"/>
        <color theme="1"/>
        <rFont val="Calibri"/>
        <family val="2"/>
        <scheme val="minor"/>
      </rPr>
      <t>How Long Does It Take to Walk 1 Kilometer?</t>
    </r>
    <r>
      <rPr>
        <sz val="11"/>
        <color theme="1"/>
        <rFont val="Calibri"/>
        <family val="2"/>
        <scheme val="minor"/>
      </rPr>
      <t xml:space="preserve"> Retrieved from Reference: https://www.reference.com/science/long-walk-1-kilometer-af57a351ee8e7efe</t>
    </r>
  </si>
  <si>
    <t>Max Metres/min</t>
  </si>
  <si>
    <t>Min Metres/min</t>
  </si>
  <si>
    <t>Pick Up Action</t>
  </si>
  <si>
    <t>Sec</t>
  </si>
  <si>
    <t>m</t>
  </si>
  <si>
    <t>Total avg Time</t>
  </si>
  <si>
    <t>Updated Picking Time by adding Pickup action time</t>
  </si>
  <si>
    <t>Minimum walking distance(metre) of a worker per minute when the worker is tired (Reference, 2019).</t>
  </si>
  <si>
    <t>They have 10 minutes break every 1 hour.</t>
  </si>
  <si>
    <t>Break</t>
  </si>
  <si>
    <t>Standby is for a case when a worker is not able to work and break means table stop.</t>
  </si>
  <si>
    <t>Schedule</t>
  </si>
  <si>
    <t>Pay / Hour</t>
  </si>
  <si>
    <t>50</t>
  </si>
  <si>
    <t>Employee ID</t>
  </si>
  <si>
    <t>Manage</t>
  </si>
  <si>
    <t>Control</t>
  </si>
  <si>
    <t>Maintain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</si>
  <si>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</si>
  <si>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</si>
  <si>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</si>
  <si>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</si>
  <si>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</si>
  <si>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</si>
  <si>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</si>
  <si>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</si>
  <si>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</si>
  <si>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</si>
  <si>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55</t>
  </si>
  <si>
    <t>This is an example of Shift 1.</t>
  </si>
  <si>
    <t>Team Pickup</t>
  </si>
  <si>
    <t>Team Backup</t>
  </si>
  <si>
    <t>Changed the staffing idea</t>
  </si>
  <si>
    <t>New Row</t>
  </si>
  <si>
    <t>New Bay</t>
  </si>
  <si>
    <t>Spaghetti Analysis</t>
  </si>
  <si>
    <t>Added Workers Attitude Survey Pivot Table</t>
  </si>
  <si>
    <t>The staffing schedule for 1 hour is as follows and this schedule is repeated during a shift.</t>
  </si>
  <si>
    <t>Profit and Loss Calculation TO-BE</t>
  </si>
  <si>
    <t>Added Profit &amp; Loss TO-BE Sheet</t>
  </si>
  <si>
    <t>Workers TO-BE</t>
  </si>
  <si>
    <t>[Workers] "as needed" excluded</t>
  </si>
  <si>
    <t>[Picking] TrackR Average_Minutes</t>
  </si>
  <si>
    <t>Count of Employee #</t>
  </si>
  <si>
    <t>Calculated Sunny and Rainy Day TO BE</t>
  </si>
  <si>
    <t>Calculated Comparision AS IS and TO BE assembly Process</t>
  </si>
  <si>
    <t>Two Roles are created and 4 workers have been changed to those roles.</t>
  </si>
  <si>
    <t>The shift of 8 workers has been changed to "as needed".</t>
  </si>
  <si>
    <t>Adhesive Tape Sealing</t>
  </si>
  <si>
    <t>Making Trackr (As IS)</t>
  </si>
  <si>
    <t>Making Trackr (TO-BE)</t>
  </si>
  <si>
    <t>Seconds to Assemble 1 TrackR</t>
  </si>
  <si>
    <t>Seconds to Pick Up components</t>
  </si>
  <si>
    <t>Seconds to wait to start Assembling after Pick Up (by Staffing)</t>
  </si>
  <si>
    <t>Assembly Process</t>
  </si>
  <si>
    <t>Checkpoints</t>
  </si>
  <si>
    <t>Time to make (seconds)</t>
  </si>
  <si>
    <t>Sunny Day
As Is</t>
  </si>
  <si>
    <t>Sunny Day
To Be</t>
  </si>
  <si>
    <t>Rainy Day
AS IS</t>
  </si>
  <si>
    <t>Rainy Day
To Be</t>
  </si>
  <si>
    <t>Updated Picking Up TO-BE</t>
  </si>
  <si>
    <t>A backup-only worker (Team Backup Role) is created to ensure assembly and pickup worker standby time.</t>
  </si>
  <si>
    <t>A pickup-only worker (Team Pickup Role) is created to eliminate overlapping pickup lines and wasting time after pickup.</t>
  </si>
  <si>
    <t>Spaghetti Analysis - Option 1</t>
  </si>
  <si>
    <t>Spaghetti Analysis - Option 2</t>
  </si>
  <si>
    <t>Champion 2</t>
  </si>
  <si>
    <t>Champion 2 is created for eliminating wait time of the Pickup Worker, and the green table is the place to  put components after picking tasks.</t>
  </si>
  <si>
    <t>Assembly workers are going to pick the components there to keep the tables organized.</t>
  </si>
  <si>
    <t xml:space="preserve"> (Assumption_1.04)</t>
  </si>
  <si>
    <t>Business Day</t>
  </si>
  <si>
    <t xml:space="preserve"> (Assumption_1.01)</t>
  </si>
  <si>
    <t xml:space="preserve"> (Assumption_1.05)</t>
  </si>
  <si>
    <t>Updated minor things in Workers Sheets</t>
  </si>
  <si>
    <t>Updated minor things in Rainy Day Sheets</t>
  </si>
  <si>
    <t>Updated minor things in Assembly Comparison Sheet</t>
  </si>
  <si>
    <t>Divjot Kaur</t>
  </si>
  <si>
    <t>Updated duration in Sunny  Day TO-BE and Rainy Day TO-BE assuming Siplace applies</t>
  </si>
  <si>
    <t>Siplace cost</t>
  </si>
  <si>
    <t>years of Siplace duration</t>
  </si>
  <si>
    <t>Siplace Cost / Day</t>
  </si>
  <si>
    <t>Included Siplace Cost in P&amp;L TO-BE Sheet</t>
  </si>
  <si>
    <t>Fixed REF Bugs in Rainy Day TO-BE Sheet</t>
  </si>
  <si>
    <t>Column Labels</t>
  </si>
  <si>
    <t>Code Description</t>
  </si>
  <si>
    <t>No Change Needed</t>
  </si>
  <si>
    <t>Minor Tweaks / New Equipment Needed</t>
  </si>
  <si>
    <t>Training / Work Optimization Needed</t>
  </si>
  <si>
    <t>Movement Changes Needed</t>
  </si>
  <si>
    <t>Layout (and 4,3,2) Changes Needed</t>
  </si>
  <si>
    <t>Total New facility needed</t>
  </si>
  <si>
    <t>Changed Chart of Survey Pivot Table</t>
  </si>
  <si>
    <t>Sheet</t>
  </si>
  <si>
    <t>Document History</t>
  </si>
  <si>
    <t>P&amp;L AS-IS</t>
  </si>
  <si>
    <t>P&amp;L TO-BE</t>
  </si>
  <si>
    <t>Saffing AS-IS</t>
  </si>
  <si>
    <t>Sunny Day AS-IS</t>
  </si>
  <si>
    <t>Rainy Day AS-IS</t>
  </si>
  <si>
    <t>Sunny Day TO-BE</t>
  </si>
  <si>
    <t>Rainy Day TO-BE</t>
  </si>
  <si>
    <t>Assembly Comparison</t>
  </si>
  <si>
    <t>Picking AS-IS</t>
  </si>
  <si>
    <t>Pickig TO-BE</t>
  </si>
  <si>
    <t>Attitude Survey</t>
  </si>
  <si>
    <t>Sr No</t>
  </si>
  <si>
    <t>Descibes each update and its author</t>
  </si>
  <si>
    <t>Descibes Profit and Loss for current state</t>
  </si>
  <si>
    <t>Describes Profit and Loss for Future State</t>
  </si>
  <si>
    <t>This sheet is the foundation for Proposed solution. All the assumption are listed here</t>
  </si>
  <si>
    <t>This sheet gives details about workers current status</t>
  </si>
  <si>
    <t>This sheet gives details about worers future state</t>
  </si>
  <si>
    <t>This sheet gives detailed information about current state staffing</t>
  </si>
  <si>
    <t>This sheet gives detailed information about future state staffing</t>
  </si>
  <si>
    <t>This sheet gives cost and location for each component used</t>
  </si>
  <si>
    <t>This sheet is enriched with calculation related to current state assembly rainy day</t>
  </si>
  <si>
    <t>This sheet is enriched with calculation related to current state assembly sunny day</t>
  </si>
  <si>
    <t>This sheet is enriched with calculation related to future state assembly sunny day</t>
  </si>
  <si>
    <t>This sheet is enriched with calculation related to future state assembly rainy day</t>
  </si>
  <si>
    <t>Provides valuable insights for assembly process of AS IS and TO BE state</t>
  </si>
  <si>
    <t>Provides distance travelled and time taken to pick components according to current state</t>
  </si>
  <si>
    <t>Provides distance travelled and time taken to pick components according to future state</t>
  </si>
  <si>
    <t>This sheet represents staff's attitude survey result with soe important graphics o understand</t>
  </si>
  <si>
    <t>List of worksheets</t>
  </si>
  <si>
    <t>Team 1</t>
  </si>
  <si>
    <t>April 17th, 2020</t>
  </si>
  <si>
    <t>Project 3</t>
  </si>
  <si>
    <t>Production Inefficiency  - INFO8440</t>
  </si>
  <si>
    <t>10 seconds</t>
  </si>
  <si>
    <t>Updated the Inroduction Sheet</t>
  </si>
  <si>
    <t>Detailed Calculation of AS IS, TO BE and Profit/Loss - VERSION 1.29</t>
  </si>
  <si>
    <t>Intoduction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</si>
</sst>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0_);[Red]\(0.00\)"/>
    <numFmt numFmtId="168" formatCode="[$-F800]dddd\,\ mmmm\ dd\,\ yyyy"/>
    <numFmt numFmtId="169" formatCode="[$$-1009]#,##0.00"/>
    <numFmt numFmtId="170" formatCode="[$$-1009]#,##0.00000"/>
    <numFmt numFmtId="171" formatCode="\T\o\t\a\l\ \t\o\ \T\as\k"/>
    <numFmt numFmtId="172" formatCode="&quot;$&quot;#,##0.00"/>
    <numFmt numFmtId="173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5" tint="-0.249977111117893"/>
      <name val="Calibri Light"/>
      <family val="2"/>
      <scheme val="major"/>
    </font>
    <font>
      <b/>
      <sz val="13"/>
      <color theme="5" tint="-0.24997711111789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3" borderId="0" applyNumberFormat="0" applyBorder="0" applyAlignment="0" applyProtection="0"/>
    <xf numFmtId="0" fontId="7" fillId="4" borderId="6" applyNumberFormat="0" applyAlignment="0" applyProtection="0"/>
    <xf numFmtId="0" fontId="9" fillId="7" borderId="6" applyNumberFormat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</cellStyleXfs>
  <cellXfs count="128">
    <xf numFmtId="0" fontId="0" fillId="0" borderId="0" xfId="0"/>
    <xf numFmtId="0" fontId="0" fillId="0" borderId="0" xfId="0" applyFont="1" applyAlignment="1"/>
    <xf numFmtId="0" fontId="0" fillId="2" borderId="4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1" fillId="0" borderId="0" xfId="0" applyFont="1" applyAlignment="1"/>
    <xf numFmtId="0" fontId="5" fillId="0" borderId="0" xfId="2" applyFont="1" applyFill="1" applyBorder="1" applyAlignment="1"/>
    <xf numFmtId="0" fontId="6" fillId="0" borderId="0" xfId="3" applyFont="1" applyBorder="1" applyAlignment="1">
      <alignment horizontal="left" vertical="center"/>
    </xf>
    <xf numFmtId="0" fontId="8" fillId="0" borderId="0" xfId="2" applyFont="1"/>
    <xf numFmtId="2" fontId="0" fillId="0" borderId="0" xfId="0" applyNumberFormat="1" applyFont="1" applyAlignment="1"/>
    <xf numFmtId="2" fontId="7" fillId="4" borderId="6" xfId="5" applyNumberFormat="1" applyAlignment="1"/>
    <xf numFmtId="166" fontId="0" fillId="0" borderId="0" xfId="1" applyFont="1" applyAlignment="1"/>
    <xf numFmtId="166" fontId="7" fillId="4" borderId="6" xfId="5" applyNumberFormat="1" applyAlignment="1"/>
    <xf numFmtId="0" fontId="7" fillId="4" borderId="6" xfId="5" applyAlignment="1"/>
    <xf numFmtId="166" fontId="7" fillId="4" borderId="7" xfId="5" applyNumberFormat="1" applyBorder="1" applyAlignment="1"/>
    <xf numFmtId="0" fontId="0" fillId="2" borderId="2" xfId="0" applyFont="1" applyFill="1" applyBorder="1" applyAlignment="1"/>
    <xf numFmtId="167" fontId="0" fillId="0" borderId="0" xfId="0" applyNumberFormat="1" applyFont="1" applyAlignment="1"/>
    <xf numFmtId="0" fontId="4" fillId="3" borderId="8" xfId="4" applyBorder="1" applyAlignment="1"/>
    <xf numFmtId="0" fontId="4" fillId="3" borderId="5" xfId="4" applyBorder="1" applyAlignment="1"/>
    <xf numFmtId="0" fontId="4" fillId="3" borderId="9" xfId="4" applyBorder="1" applyAlignment="1"/>
    <xf numFmtId="166" fontId="0" fillId="5" borderId="0" xfId="0" applyNumberFormat="1" applyFill="1" applyBorder="1"/>
    <xf numFmtId="166" fontId="0" fillId="5" borderId="0" xfId="0" applyNumberFormat="1" applyFont="1" applyFill="1" applyBorder="1" applyAlignment="1"/>
    <xf numFmtId="166" fontId="0" fillId="5" borderId="11" xfId="0" applyNumberFormat="1" applyFont="1" applyFill="1" applyBorder="1" applyAlignment="1"/>
    <xf numFmtId="2" fontId="0" fillId="0" borderId="10" xfId="0" applyNumberFormat="1" applyFont="1" applyBorder="1" applyAlignment="1"/>
    <xf numFmtId="167" fontId="0" fillId="0" borderId="0" xfId="0" applyNumberFormat="1" applyFont="1" applyBorder="1" applyAlignment="1"/>
    <xf numFmtId="167" fontId="0" fillId="0" borderId="11" xfId="0" applyNumberFormat="1" applyFont="1" applyBorder="1" applyAlignment="1"/>
    <xf numFmtId="2" fontId="0" fillId="0" borderId="12" xfId="0" applyNumberFormat="1" applyFont="1" applyBorder="1" applyAlignment="1"/>
    <xf numFmtId="167" fontId="0" fillId="0" borderId="3" xfId="0" applyNumberFormat="1" applyFont="1" applyBorder="1" applyAlignment="1"/>
    <xf numFmtId="167" fontId="0" fillId="0" borderId="13" xfId="0" applyNumberFormat="1" applyFont="1" applyBorder="1" applyAlignment="1"/>
    <xf numFmtId="2" fontId="0" fillId="6" borderId="10" xfId="0" applyNumberFormat="1" applyFill="1" applyBorder="1"/>
    <xf numFmtId="0" fontId="9" fillId="7" borderId="6" xfId="6" applyAlignment="1"/>
    <xf numFmtId="0" fontId="0" fillId="0" borderId="0" xfId="0" applyFill="1"/>
    <xf numFmtId="0" fontId="10" fillId="8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2" fontId="0" fillId="0" borderId="0" xfId="0" applyNumberFormat="1"/>
    <xf numFmtId="0" fontId="0" fillId="0" borderId="0" xfId="0"/>
    <xf numFmtId="2" fontId="0" fillId="6" borderId="0" xfId="0" applyNumberFormat="1" applyFill="1"/>
    <xf numFmtId="0" fontId="0" fillId="0" borderId="0" xfId="0"/>
    <xf numFmtId="168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65" fontId="0" fillId="0" borderId="0" xfId="0" applyNumberFormat="1"/>
    <xf numFmtId="9" fontId="0" fillId="0" borderId="0" xfId="0" applyNumberFormat="1"/>
    <xf numFmtId="165" fontId="9" fillId="7" borderId="6" xfId="6" applyNumberFormat="1" applyAlignment="1"/>
    <xf numFmtId="0" fontId="9" fillId="7" borderId="6" xfId="6"/>
    <xf numFmtId="0" fontId="0" fillId="0" borderId="0" xfId="0" applyAlignment="1">
      <alignment horizontal="left"/>
    </xf>
    <xf numFmtId="0" fontId="0" fillId="0" borderId="14" xfId="0" applyFont="1" applyFill="1" applyBorder="1"/>
    <xf numFmtId="0" fontId="0" fillId="0" borderId="0" xfId="0" pivotButton="1"/>
    <xf numFmtId="0" fontId="0" fillId="0" borderId="0" xfId="0" applyNumberFormat="1"/>
    <xf numFmtId="166" fontId="7" fillId="4" borderId="6" xfId="1" applyFont="1" applyFill="1" applyBorder="1" applyAlignment="1"/>
    <xf numFmtId="166" fontId="9" fillId="7" borderId="6" xfId="1" applyFont="1" applyFill="1" applyBorder="1" applyAlignment="1"/>
    <xf numFmtId="166" fontId="0" fillId="0" borderId="0" xfId="1" applyFont="1"/>
    <xf numFmtId="9" fontId="9" fillId="7" borderId="6" xfId="7" applyFont="1" applyFill="1" applyBorder="1" applyAlignment="1"/>
    <xf numFmtId="166" fontId="0" fillId="0" borderId="0" xfId="0" applyNumberFormat="1" applyFont="1"/>
    <xf numFmtId="2" fontId="7" fillId="4" borderId="6" xfId="5" applyNumberFormat="1"/>
    <xf numFmtId="2" fontId="0" fillId="0" borderId="0" xfId="0" applyNumberFormat="1" applyFont="1" applyBorder="1" applyAlignment="1"/>
    <xf numFmtId="0" fontId="11" fillId="10" borderId="0" xfId="0" applyFont="1" applyFill="1" applyBorder="1"/>
    <xf numFmtId="0" fontId="0" fillId="11" borderId="18" xfId="0" applyFont="1" applyFill="1" applyBorder="1"/>
    <xf numFmtId="0" fontId="0" fillId="11" borderId="18" xfId="0" applyFont="1" applyFill="1" applyBorder="1" applyAlignment="1">
      <alignment horizontal="left"/>
    </xf>
    <xf numFmtId="169" fontId="0" fillId="11" borderId="18" xfId="0" applyNumberFormat="1" applyFont="1" applyFill="1" applyBorder="1"/>
    <xf numFmtId="0" fontId="0" fillId="0" borderId="18" xfId="0" applyFont="1" applyBorder="1"/>
    <xf numFmtId="0" fontId="0" fillId="0" borderId="18" xfId="0" applyFont="1" applyBorder="1" applyAlignment="1">
      <alignment horizontal="left"/>
    </xf>
    <xf numFmtId="169" fontId="0" fillId="0" borderId="18" xfId="0" applyNumberFormat="1" applyFont="1" applyBorder="1"/>
    <xf numFmtId="0" fontId="13" fillId="11" borderId="18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169" fontId="0" fillId="0" borderId="0" xfId="0" applyNumberFormat="1" applyFont="1" applyBorder="1"/>
    <xf numFmtId="170" fontId="0" fillId="0" borderId="0" xfId="0" applyNumberFormat="1"/>
    <xf numFmtId="166" fontId="0" fillId="0" borderId="0" xfId="1" applyFont="1" applyAlignment="1">
      <alignment vertical="center"/>
    </xf>
    <xf numFmtId="169" fontId="12" fillId="0" borderId="18" xfId="0" applyNumberFormat="1" applyFont="1" applyBorder="1"/>
    <xf numFmtId="171" fontId="11" fillId="10" borderId="0" xfId="0" applyNumberFormat="1" applyFont="1" applyFill="1" applyBorder="1"/>
    <xf numFmtId="0" fontId="11" fillId="10" borderId="0" xfId="0" applyFont="1" applyFill="1"/>
    <xf numFmtId="0" fontId="14" fillId="0" borderId="0" xfId="0" applyFont="1"/>
    <xf numFmtId="169" fontId="14" fillId="0" borderId="0" xfId="1" applyNumberFormat="1" applyFont="1"/>
    <xf numFmtId="172" fontId="14" fillId="0" borderId="0" xfId="0" applyNumberFormat="1" applyFont="1"/>
    <xf numFmtId="10" fontId="14" fillId="0" borderId="0" xfId="7" applyNumberFormat="1" applyFont="1"/>
    <xf numFmtId="10" fontId="0" fillId="0" borderId="0" xfId="0" applyNumberFormat="1"/>
    <xf numFmtId="173" fontId="0" fillId="0" borderId="0" xfId="0" applyNumberFormat="1"/>
    <xf numFmtId="172" fontId="0" fillId="0" borderId="0" xfId="0" applyNumberFormat="1" applyAlignment="1">
      <alignment horizontal="left"/>
    </xf>
    <xf numFmtId="0" fontId="15" fillId="9" borderId="6" xfId="8" applyFont="1" applyBorder="1" applyAlignment="1">
      <alignment horizontal="left"/>
    </xf>
    <xf numFmtId="0" fontId="1" fillId="9" borderId="6" xfId="8" applyBorder="1" applyAlignment="1">
      <alignment horizontal="right"/>
    </xf>
    <xf numFmtId="10" fontId="0" fillId="0" borderId="0" xfId="0" applyNumberFormat="1" applyFont="1" applyAlignment="1"/>
    <xf numFmtId="0" fontId="0" fillId="0" borderId="16" xfId="0" applyFont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2" xfId="0" applyBorder="1"/>
    <xf numFmtId="0" fontId="9" fillId="7" borderId="2" xfId="6" applyBorder="1"/>
    <xf numFmtId="0" fontId="0" fillId="0" borderId="0" xfId="0" applyBorder="1"/>
    <xf numFmtId="0" fontId="0" fillId="11" borderId="15" xfId="0" applyFont="1" applyFill="1" applyBorder="1"/>
    <xf numFmtId="0" fontId="0" fillId="11" borderId="16" xfId="0" applyFont="1" applyFill="1" applyBorder="1"/>
    <xf numFmtId="2" fontId="0" fillId="11" borderId="16" xfId="0" applyNumberFormat="1" applyFont="1" applyFill="1" applyBorder="1"/>
    <xf numFmtId="2" fontId="0" fillId="11" borderId="17" xfId="0" applyNumberFormat="1" applyFont="1" applyFill="1" applyBorder="1"/>
    <xf numFmtId="0" fontId="0" fillId="0" borderId="15" xfId="0" applyFont="1" applyBorder="1"/>
    <xf numFmtId="2" fontId="0" fillId="0" borderId="16" xfId="0" applyNumberFormat="1" applyFont="1" applyBorder="1"/>
    <xf numFmtId="2" fontId="0" fillId="0" borderId="17" xfId="0" applyNumberFormat="1" applyFont="1" applyBorder="1"/>
    <xf numFmtId="169" fontId="9" fillId="7" borderId="6" xfId="6" applyNumberFormat="1"/>
    <xf numFmtId="170" fontId="9" fillId="7" borderId="6" xfId="6" applyNumberFormat="1"/>
    <xf numFmtId="0" fontId="0" fillId="0" borderId="0" xfId="0" applyFill="1" applyBorder="1"/>
    <xf numFmtId="0" fontId="0" fillId="11" borderId="0" xfId="0" applyFont="1" applyFill="1" applyBorder="1"/>
    <xf numFmtId="0" fontId="0" fillId="15" borderId="0" xfId="0" applyFill="1"/>
    <xf numFmtId="0" fontId="0" fillId="16" borderId="0" xfId="0" applyFill="1"/>
    <xf numFmtId="166" fontId="0" fillId="12" borderId="0" xfId="1" applyFont="1" applyFill="1"/>
    <xf numFmtId="2" fontId="0" fillId="11" borderId="0" xfId="0" applyNumberFormat="1" applyFont="1" applyFill="1" applyBorder="1"/>
    <xf numFmtId="2" fontId="0" fillId="11" borderId="19" xfId="0" applyNumberFormat="1" applyFont="1" applyFill="1" applyBorder="1"/>
    <xf numFmtId="0" fontId="18" fillId="18" borderId="0" xfId="10"/>
    <xf numFmtId="166" fontId="18" fillId="18" borderId="0" xfId="10" applyNumberFormat="1"/>
    <xf numFmtId="0" fontId="18" fillId="18" borderId="0" xfId="10" applyNumberFormat="1"/>
    <xf numFmtId="0" fontId="18" fillId="18" borderId="18" xfId="10" applyBorder="1" applyAlignment="1">
      <alignment horizontal="left"/>
    </xf>
    <xf numFmtId="0" fontId="18" fillId="18" borderId="18" xfId="10" applyBorder="1"/>
    <xf numFmtId="169" fontId="18" fillId="18" borderId="18" xfId="10" applyNumberFormat="1" applyBorder="1"/>
    <xf numFmtId="2" fontId="0" fillId="0" borderId="0" xfId="1" applyNumberFormat="1" applyFont="1"/>
    <xf numFmtId="2" fontId="17" fillId="17" borderId="0" xfId="9" applyNumberFormat="1"/>
    <xf numFmtId="9" fontId="18" fillId="18" borderId="0" xfId="10" applyNumberFormat="1"/>
    <xf numFmtId="10" fontId="18" fillId="18" borderId="0" xfId="10" applyNumberFormat="1"/>
    <xf numFmtId="173" fontId="18" fillId="18" borderId="0" xfId="10" applyNumberFormat="1"/>
    <xf numFmtId="169" fontId="18" fillId="18" borderId="0" xfId="10" applyNumberFormat="1"/>
    <xf numFmtId="172" fontId="18" fillId="18" borderId="0" xfId="10" applyNumberFormat="1"/>
    <xf numFmtId="10" fontId="0" fillId="0" borderId="0" xfId="7" applyNumberFormat="1" applyFont="1"/>
    <xf numFmtId="0" fontId="0" fillId="0" borderId="0" xfId="0" applyAlignment="1">
      <alignment wrapText="1"/>
    </xf>
    <xf numFmtId="0" fontId="19" fillId="11" borderId="16" xfId="0" applyFont="1" applyFill="1" applyBorder="1"/>
    <xf numFmtId="0" fontId="19" fillId="0" borderId="0" xfId="0" applyFont="1"/>
    <xf numFmtId="164" fontId="0" fillId="0" borderId="0" xfId="0" applyNumberFormat="1"/>
    <xf numFmtId="0" fontId="12" fillId="11" borderId="18" xfId="0" applyFont="1" applyFill="1" applyBorder="1" applyAlignment="1">
      <alignment horizontal="left"/>
    </xf>
    <xf numFmtId="0" fontId="12" fillId="11" borderId="0" xfId="0" applyFont="1" applyFill="1" applyBorder="1" applyAlignment="1"/>
    <xf numFmtId="0" fontId="0" fillId="0" borderId="0" xfId="0" applyNumberFormat="1" applyBorder="1"/>
    <xf numFmtId="0" fontId="7" fillId="4" borderId="6" xfId="5"/>
  </cellXfs>
  <cellStyles count="11">
    <cellStyle name="40% - Accent1" xfId="8" builtinId="31"/>
    <cellStyle name="Accent2" xfId="4" builtinId="33"/>
    <cellStyle name="Bad" xfId="9" builtinId="27"/>
    <cellStyle name="Calculation" xfId="5" builtinId="22"/>
    <cellStyle name="Currency" xfId="1" builtinId="4"/>
    <cellStyle name="Heading 2" xfId="3" builtinId="17"/>
    <cellStyle name="Input" xfId="6" builtinId="20"/>
    <cellStyle name="Neutral" xfId="10" builtinId="28"/>
    <cellStyle name="Normal" xfId="0" builtinId="0"/>
    <cellStyle name="Percent" xfId="7" builtinId="5"/>
    <cellStyle name="Title" xfId="2" builtinId="15"/>
  </cellStyles>
  <dxfs count="354">
    <dxf>
      <alignment wrapText="1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72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72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9" formatCode="[$$-10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numFmt numFmtId="172" formatCode="&quot;$&quot;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72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72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9" formatCode="[$$-10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[$$-10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.00_);_(&quot;$&quot;* \(#,##0.00\);_(&quot;$&quot;* &quot;-&quot;??_);_(@_)"/>
    </dxf>
    <dxf>
      <alignment vertical="center" textRotation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68" formatCode="[$-F800]dddd\,\ mmmm\ dd\,\ 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AS-IS'!$E$12:$E$16</c:f>
              <c:numCache>
                <c:formatCode>0.00</c:formatCode>
                <c:ptCount val="5"/>
                <c:pt idx="0">
                  <c:v>6</c:v>
                </c:pt>
                <c:pt idx="1">
                  <c:v>5.5</c:v>
                </c:pt>
                <c:pt idx="2">
                  <c:v>5</c:v>
                </c:pt>
                <c:pt idx="3">
                  <c:v>4.5</c:v>
                </c:pt>
                <c:pt idx="4">
                  <c:v>4</c:v>
                </c:pt>
              </c:numCache>
            </c:numRef>
          </c:cat>
          <c:val>
            <c:numRef>
              <c:f>'P&amp;L AS-IS'!$F$12:$F$16</c:f>
              <c:numCache>
                <c:formatCode>0.00_);[Red]\(0.00\)</c:formatCode>
                <c:ptCount val="5"/>
                <c:pt idx="0">
                  <c:v>50000</c:v>
                </c:pt>
                <c:pt idx="1">
                  <c:v>54545.454545454537</c:v>
                </c:pt>
                <c:pt idx="2">
                  <c:v>60000</c:v>
                </c:pt>
                <c:pt idx="3">
                  <c:v>66666.666666666672</c:v>
                </c:pt>
                <c:pt idx="4">
                  <c:v>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D-4759-9264-6E5245029CD7}"/>
            </c:ext>
          </c:extLst>
        </c:ser>
        <c:ser>
          <c:idx val="1"/>
          <c:order val="1"/>
          <c:tx>
            <c:v>Costs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'P&amp;L AS-IS'!$E$12:$E$16</c:f>
              <c:numCache>
                <c:formatCode>0.00</c:formatCode>
                <c:ptCount val="5"/>
                <c:pt idx="0">
                  <c:v>6</c:v>
                </c:pt>
                <c:pt idx="1">
                  <c:v>5.5</c:v>
                </c:pt>
                <c:pt idx="2">
                  <c:v>5</c:v>
                </c:pt>
                <c:pt idx="3">
                  <c:v>4.5</c:v>
                </c:pt>
                <c:pt idx="4">
                  <c:v>4</c:v>
                </c:pt>
              </c:numCache>
            </c:numRef>
          </c:cat>
          <c:val>
            <c:numRef>
              <c:f>'P&amp;L AS-IS'!$G$12:$G$16</c:f>
              <c:numCache>
                <c:formatCode>0.00_);[Red]\(0.00\)</c:formatCode>
                <c:ptCount val="5"/>
                <c:pt idx="0">
                  <c:v>51103.520000000004</c:v>
                </c:pt>
                <c:pt idx="1">
                  <c:v>54854.792727272725</c:v>
                </c:pt>
                <c:pt idx="2">
                  <c:v>59356.319999999992</c:v>
                </c:pt>
                <c:pt idx="3">
                  <c:v>64858.186666666676</c:v>
                </c:pt>
                <c:pt idx="4">
                  <c:v>71735.520000000004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D-4759-9264-6E5245029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26624"/>
        <c:axId val="249523904"/>
      </c:lineChart>
      <c:catAx>
        <c:axId val="2495266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3904"/>
        <c:crosses val="autoZero"/>
        <c:auto val="1"/>
        <c:lblAlgn val="ctr"/>
        <c:lblOffset val="100"/>
        <c:noMultiLvlLbl val="0"/>
      </c:catAx>
      <c:valAx>
        <c:axId val="249523904"/>
        <c:scaling>
          <c:orientation val="minMax"/>
          <c:min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662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TO-BE'!$E$12:$E$16</c:f>
              <c:numCache>
                <c:formatCode>0.00</c:formatCode>
                <c:ptCount val="5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</c:numCache>
            </c:numRef>
          </c:cat>
          <c:val>
            <c:numRef>
              <c:f>'P&amp;L TO-BE'!$F$12:$F$16</c:f>
              <c:numCache>
                <c:formatCode>0.00_);[Red]\(0.00\)</c:formatCode>
                <c:ptCount val="5"/>
                <c:pt idx="0">
                  <c:v>60000</c:v>
                </c:pt>
                <c:pt idx="1">
                  <c:v>66666.666666666672</c:v>
                </c:pt>
                <c:pt idx="2">
                  <c:v>75000</c:v>
                </c:pt>
                <c:pt idx="3">
                  <c:v>85714.28571428571</c:v>
                </c:pt>
                <c:pt idx="4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2-4E9C-A11B-1C577E6ABE6E}"/>
            </c:ext>
          </c:extLst>
        </c:ser>
        <c:ser>
          <c:idx val="1"/>
          <c:order val="1"/>
          <c:tx>
            <c:v>Costs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'P&amp;L TO-BE'!$E$12:$E$16</c:f>
              <c:numCache>
                <c:formatCode>0.00</c:formatCode>
                <c:ptCount val="5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</c:numCache>
            </c:numRef>
          </c:cat>
          <c:val>
            <c:numRef>
              <c:f>'P&amp;L TO-BE'!$G$12:$G$16</c:f>
              <c:numCache>
                <c:formatCode>0.00_);[Red]\(0.00\)</c:formatCode>
                <c:ptCount val="5"/>
                <c:pt idx="0">
                  <c:v>58359.697777777772</c:v>
                </c:pt>
                <c:pt idx="1">
                  <c:v>63861.564444444448</c:v>
                </c:pt>
                <c:pt idx="2">
                  <c:v>70738.897777777776</c:v>
                </c:pt>
                <c:pt idx="3">
                  <c:v>79581.183492063486</c:v>
                </c:pt>
                <c:pt idx="4">
                  <c:v>91370.897777777776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2-4E9C-A11B-1C577E6AB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21184"/>
        <c:axId val="249530432"/>
      </c:lineChart>
      <c:catAx>
        <c:axId val="2495211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30432"/>
        <c:crosses val="autoZero"/>
        <c:auto val="1"/>
        <c:lblAlgn val="ctr"/>
        <c:lblOffset val="100"/>
        <c:noMultiLvlLbl val="0"/>
      </c:catAx>
      <c:valAx>
        <c:axId val="249530432"/>
        <c:scaling>
          <c:orientation val="minMax"/>
          <c:min val="5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11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Regular</a:t>
            </a:r>
            <a:r>
              <a:rPr lang="en-IN" baseline="0"/>
              <a:t> v/s Build with Failure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 to Task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4"/>
              <c:pt idx="0">
                <c:v>14</c:v>
              </c:pt>
              <c:pt idx="1">
                <c:v>24</c:v>
              </c:pt>
              <c:pt idx="2">
                <c:v>27</c:v>
              </c:pt>
              <c:pt idx="3">
                <c:v>34</c:v>
              </c:pt>
              <c:pt idx="4">
                <c:v>36</c:v>
              </c:pt>
              <c:pt idx="5">
                <c:v>42.6</c:v>
              </c:pt>
              <c:pt idx="6">
                <c:v>62.6</c:v>
              </c:pt>
              <c:pt idx="7">
                <c:v>92.6</c:v>
              </c:pt>
              <c:pt idx="8">
                <c:v>116.6</c:v>
              </c:pt>
              <c:pt idx="9">
                <c:v>128.6</c:v>
              </c:pt>
              <c:pt idx="10">
                <c:v>134.6</c:v>
              </c:pt>
              <c:pt idx="11">
                <c:v>136.6</c:v>
              </c:pt>
              <c:pt idx="12">
                <c:v>141</c:v>
              </c:pt>
              <c:pt idx="13">
                <c:v>149.80000000000001</c:v>
              </c:pt>
              <c:pt idx="14">
                <c:v>155.80000000000001</c:v>
              </c:pt>
              <c:pt idx="15">
                <c:v>157.80000000000001</c:v>
              </c:pt>
              <c:pt idx="16">
                <c:v>159</c:v>
              </c:pt>
              <c:pt idx="17">
                <c:v>160.19999999999999</c:v>
              </c:pt>
              <c:pt idx="18">
                <c:v>172.2</c:v>
              </c:pt>
              <c:pt idx="19">
                <c:v>180.2</c:v>
              </c:pt>
              <c:pt idx="20">
                <c:v>193.5</c:v>
              </c:pt>
              <c:pt idx="21">
                <c:v>203.5</c:v>
              </c:pt>
              <c:pt idx="22">
                <c:v>213.5</c:v>
              </c:pt>
              <c:pt idx="23">
                <c:v>253.5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916-4853-9867-D56C9079F5FF}"/>
            </c:ext>
          </c:extLst>
        </c:ser>
        <c:ser>
          <c:idx val="1"/>
          <c:order val="1"/>
          <c:tx>
            <c:v>Total Time to task with 1 fail and good repeat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4"/>
              <c:pt idx="0">
                <c:v>14</c:v>
              </c:pt>
              <c:pt idx="1">
                <c:v>51</c:v>
              </c:pt>
              <c:pt idx="2">
                <c:v>54</c:v>
              </c:pt>
              <c:pt idx="3">
                <c:v>61</c:v>
              </c:pt>
              <c:pt idx="4">
                <c:v>92</c:v>
              </c:pt>
              <c:pt idx="5">
                <c:v>98.6</c:v>
              </c:pt>
              <c:pt idx="6">
                <c:v>118.6</c:v>
              </c:pt>
              <c:pt idx="7">
                <c:v>209.6</c:v>
              </c:pt>
              <c:pt idx="8">
                <c:v>233.6</c:v>
              </c:pt>
              <c:pt idx="9">
                <c:v>245.6</c:v>
              </c:pt>
              <c:pt idx="10">
                <c:v>251.6</c:v>
              </c:pt>
              <c:pt idx="11">
                <c:v>315.60000000000002</c:v>
              </c:pt>
              <c:pt idx="12">
                <c:v>320</c:v>
              </c:pt>
              <c:pt idx="13">
                <c:v>328.8</c:v>
              </c:pt>
              <c:pt idx="14">
                <c:v>334.8</c:v>
              </c:pt>
              <c:pt idx="15">
                <c:v>373.6</c:v>
              </c:pt>
              <c:pt idx="16">
                <c:v>374.8</c:v>
              </c:pt>
              <c:pt idx="17">
                <c:v>376</c:v>
              </c:pt>
              <c:pt idx="18">
                <c:v>422.4</c:v>
              </c:pt>
              <c:pt idx="19">
                <c:v>430.4</c:v>
              </c:pt>
              <c:pt idx="20">
                <c:v>443.7</c:v>
              </c:pt>
              <c:pt idx="21">
                <c:v>453.7</c:v>
              </c:pt>
              <c:pt idx="22">
                <c:v>505.3</c:v>
              </c:pt>
              <c:pt idx="23">
                <c:v>555.29999999999995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916-4853-9867-D56C907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32064"/>
        <c:axId val="249522272"/>
      </c:lineChart>
      <c:catAx>
        <c:axId val="24953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2272"/>
        <c:crosses val="autoZero"/>
        <c:auto val="1"/>
        <c:lblAlgn val="ctr"/>
        <c:lblOffset val="100"/>
        <c:noMultiLvlLbl val="0"/>
      </c:catAx>
      <c:valAx>
        <c:axId val="2495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Regular</a:t>
            </a:r>
            <a:r>
              <a:rPr lang="en-IN" baseline="0"/>
              <a:t> v/s Build with Failure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 to Task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4"/>
              <c:pt idx="0">
                <c:v>14</c:v>
              </c:pt>
              <c:pt idx="1">
                <c:v>24</c:v>
              </c:pt>
              <c:pt idx="2">
                <c:v>27</c:v>
              </c:pt>
              <c:pt idx="3">
                <c:v>34</c:v>
              </c:pt>
              <c:pt idx="4">
                <c:v>36</c:v>
              </c:pt>
              <c:pt idx="5">
                <c:v>42.6</c:v>
              </c:pt>
              <c:pt idx="6">
                <c:v>62.6</c:v>
              </c:pt>
              <c:pt idx="7">
                <c:v>92.6</c:v>
              </c:pt>
              <c:pt idx="8">
                <c:v>116.6</c:v>
              </c:pt>
              <c:pt idx="9">
                <c:v>128.6</c:v>
              </c:pt>
              <c:pt idx="10">
                <c:v>134.6</c:v>
              </c:pt>
              <c:pt idx="11">
                <c:v>136.6</c:v>
              </c:pt>
              <c:pt idx="12">
                <c:v>141</c:v>
              </c:pt>
              <c:pt idx="13">
                <c:v>149.80000000000001</c:v>
              </c:pt>
              <c:pt idx="14">
                <c:v>155.80000000000001</c:v>
              </c:pt>
              <c:pt idx="15">
                <c:v>157.80000000000001</c:v>
              </c:pt>
              <c:pt idx="16">
                <c:v>159</c:v>
              </c:pt>
              <c:pt idx="17">
                <c:v>160.19999999999999</c:v>
              </c:pt>
              <c:pt idx="18">
                <c:v>172.2</c:v>
              </c:pt>
              <c:pt idx="19">
                <c:v>180.2</c:v>
              </c:pt>
              <c:pt idx="20">
                <c:v>193.5</c:v>
              </c:pt>
              <c:pt idx="21">
                <c:v>203.5</c:v>
              </c:pt>
              <c:pt idx="22">
                <c:v>213.5</c:v>
              </c:pt>
              <c:pt idx="23">
                <c:v>253.5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13E-49DA-8600-B6DD0AF7B659}"/>
            </c:ext>
          </c:extLst>
        </c:ser>
        <c:ser>
          <c:idx val="1"/>
          <c:order val="1"/>
          <c:tx>
            <c:v>Total Time to task with 1 fail and good repeat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24"/>
              <c:pt idx="0">
                <c:v>14</c:v>
              </c:pt>
              <c:pt idx="1">
                <c:v>51</c:v>
              </c:pt>
              <c:pt idx="2">
                <c:v>54</c:v>
              </c:pt>
              <c:pt idx="3">
                <c:v>61</c:v>
              </c:pt>
              <c:pt idx="4">
                <c:v>92</c:v>
              </c:pt>
              <c:pt idx="5">
                <c:v>98.6</c:v>
              </c:pt>
              <c:pt idx="6">
                <c:v>118.6</c:v>
              </c:pt>
              <c:pt idx="7">
                <c:v>209.6</c:v>
              </c:pt>
              <c:pt idx="8">
                <c:v>233.6</c:v>
              </c:pt>
              <c:pt idx="9">
                <c:v>245.6</c:v>
              </c:pt>
              <c:pt idx="10">
                <c:v>251.6</c:v>
              </c:pt>
              <c:pt idx="11">
                <c:v>315.60000000000002</c:v>
              </c:pt>
              <c:pt idx="12">
                <c:v>320</c:v>
              </c:pt>
              <c:pt idx="13">
                <c:v>328.8</c:v>
              </c:pt>
              <c:pt idx="14">
                <c:v>334.8</c:v>
              </c:pt>
              <c:pt idx="15">
                <c:v>373.6</c:v>
              </c:pt>
              <c:pt idx="16">
                <c:v>374.8</c:v>
              </c:pt>
              <c:pt idx="17">
                <c:v>376</c:v>
              </c:pt>
              <c:pt idx="18">
                <c:v>422.4</c:v>
              </c:pt>
              <c:pt idx="19">
                <c:v>430.4</c:v>
              </c:pt>
              <c:pt idx="20">
                <c:v>443.7</c:v>
              </c:pt>
              <c:pt idx="21">
                <c:v>453.7</c:v>
              </c:pt>
              <c:pt idx="22">
                <c:v>505.3</c:v>
              </c:pt>
              <c:pt idx="23">
                <c:v>555.29999999999995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13E-49DA-8600-B6DD0AF7B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34240"/>
        <c:axId val="249527712"/>
      </c:lineChart>
      <c:catAx>
        <c:axId val="24953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7712"/>
        <c:crosses val="autoZero"/>
        <c:auto val="1"/>
        <c:lblAlgn val="ctr"/>
        <c:lblOffset val="100"/>
        <c:noMultiLvlLbl val="0"/>
      </c:catAx>
      <c:valAx>
        <c:axId val="2495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3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to make TrackR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947785287900963E-2"/>
          <c:y val="0.19243730271601511"/>
          <c:w val="0.92810457516339873"/>
          <c:h val="0.609009865146167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'Assembly Comparison'!$B$3</c:f>
              <c:strCache>
                <c:ptCount val="1"/>
                <c:pt idx="0">
                  <c:v>Sunny Day
As Is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Comparison'!$A$4</c:f>
              <c:strCache>
                <c:ptCount val="1"/>
                <c:pt idx="0">
                  <c:v>Time to make (seconds)</c:v>
                </c:pt>
              </c:strCache>
            </c:strRef>
          </c:cat>
          <c:val>
            <c:numRef>
              <c:f>'Assembly Comparison'!$B$4</c:f>
              <c:numCache>
                <c:formatCode>General</c:formatCode>
                <c:ptCount val="1"/>
                <c:pt idx="0">
                  <c:v>253.5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F-445A-9ADE-601DB27859D8}"/>
            </c:ext>
          </c:extLst>
        </c:ser>
        <c:ser>
          <c:idx val="1"/>
          <c:order val="1"/>
          <c:tx>
            <c:strRef>
              <c:f>'Assembly Comparison'!$C$3</c:f>
              <c:strCache>
                <c:ptCount val="1"/>
                <c:pt idx="0">
                  <c:v>Sunny Day
To Be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Comparison'!$A$4</c:f>
              <c:strCache>
                <c:ptCount val="1"/>
                <c:pt idx="0">
                  <c:v>Time to make (seconds)</c:v>
                </c:pt>
              </c:strCache>
            </c:strRef>
          </c:cat>
          <c:val>
            <c:numRef>
              <c:f>'Assembly Comparison'!$C$4</c:f>
              <c:numCache>
                <c:formatCode>General</c:formatCode>
                <c:ptCount val="1"/>
                <c:pt idx="0">
                  <c:v>221.50000000000003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F-445A-9ADE-601DB27859D8}"/>
            </c:ext>
          </c:extLst>
        </c:ser>
        <c:ser>
          <c:idx val="2"/>
          <c:order val="2"/>
          <c:tx>
            <c:strRef>
              <c:f>'Assembly Comparison'!$D$3</c:f>
              <c:strCache>
                <c:ptCount val="1"/>
                <c:pt idx="0">
                  <c:v>Rainy Day
AS IS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Comparison'!$A$4</c:f>
              <c:strCache>
                <c:ptCount val="1"/>
                <c:pt idx="0">
                  <c:v>Time to make (seconds)</c:v>
                </c:pt>
              </c:strCache>
            </c:strRef>
          </c:cat>
          <c:val>
            <c:numRef>
              <c:f>'Assembly Comparison'!$D$4</c:f>
              <c:numCache>
                <c:formatCode>General</c:formatCode>
                <c:ptCount val="1"/>
                <c:pt idx="0">
                  <c:v>555.29999999999995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EF-445A-9ADE-601DB27859D8}"/>
            </c:ext>
          </c:extLst>
        </c:ser>
        <c:ser>
          <c:idx val="3"/>
          <c:order val="3"/>
          <c:tx>
            <c:strRef>
              <c:f>'Assembly Comparison'!$E$3</c:f>
              <c:strCache>
                <c:ptCount val="1"/>
                <c:pt idx="0">
                  <c:v>Rainy Day
To Be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Comparison'!$A$4</c:f>
              <c:strCache>
                <c:ptCount val="1"/>
                <c:pt idx="0">
                  <c:v>Time to make (seconds)</c:v>
                </c:pt>
              </c:strCache>
            </c:strRef>
          </c:cat>
          <c:val>
            <c:numRef>
              <c:f>'Assembly Comparison'!$E$4</c:f>
              <c:numCache>
                <c:formatCode>General</c:formatCode>
                <c:ptCount val="1"/>
                <c:pt idx="0">
                  <c:v>459.49999999999994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EF-445A-9ADE-601DB2785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49529344"/>
        <c:axId val="249529888"/>
      </c:barChart>
      <c:catAx>
        <c:axId val="24952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9888"/>
        <c:crosses val="autoZero"/>
        <c:auto val="1"/>
        <c:lblAlgn val="ctr"/>
        <c:lblOffset val="100"/>
        <c:noMultiLvlLbl val="0"/>
      </c:catAx>
      <c:valAx>
        <c:axId val="2495298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952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385873226023742E-2"/>
          <c:y val="0.876100454403552"/>
          <c:w val="0.82583002345945711"/>
          <c:h val="0.1018731138783863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Reliability to final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448377581120944E-2"/>
          <c:y val="0.1295371828521435"/>
          <c:w val="0.93510324483775809"/>
          <c:h val="0.6738947214931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'Assembly Comparison'!$B$3</c:f>
              <c:strCache>
                <c:ptCount val="1"/>
                <c:pt idx="0">
                  <c:v>Sunny Day
As Is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Comparison'!$A$5</c:f>
              <c:strCache>
                <c:ptCount val="1"/>
                <c:pt idx="0">
                  <c:v>Reliability</c:v>
                </c:pt>
              </c:strCache>
            </c:strRef>
          </c:cat>
          <c:val>
            <c:numRef>
              <c:f>'Assembly Comparison'!$B$5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2-4CD1-9BAF-2F83C723027A}"/>
            </c:ext>
          </c:extLst>
        </c:ser>
        <c:ser>
          <c:idx val="1"/>
          <c:order val="1"/>
          <c:tx>
            <c:strRef>
              <c:f>'Assembly Comparison'!$C$3</c:f>
              <c:strCache>
                <c:ptCount val="1"/>
                <c:pt idx="0">
                  <c:v>Sunny Day
To Be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Comparison'!$A$5</c:f>
              <c:strCache>
                <c:ptCount val="1"/>
                <c:pt idx="0">
                  <c:v>Reliability</c:v>
                </c:pt>
              </c:strCache>
            </c:strRef>
          </c:cat>
          <c:val>
            <c:numRef>
              <c:f>'Assembly Comparison'!$C$5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A2-4CD1-9BAF-2F83C723027A}"/>
            </c:ext>
          </c:extLst>
        </c:ser>
        <c:ser>
          <c:idx val="2"/>
          <c:order val="2"/>
          <c:tx>
            <c:strRef>
              <c:f>'Assembly Comparison'!$D$3</c:f>
              <c:strCache>
                <c:ptCount val="1"/>
                <c:pt idx="0">
                  <c:v>Rainy Day
AS IS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Comparison'!$A$5</c:f>
              <c:strCache>
                <c:ptCount val="1"/>
                <c:pt idx="0">
                  <c:v>Reliability</c:v>
                </c:pt>
              </c:strCache>
            </c:strRef>
          </c:cat>
          <c:val>
            <c:numRef>
              <c:f>'Assembly Comparison'!$D$5</c:f>
              <c:numCache>
                <c:formatCode>0.00%</c:formatCode>
                <c:ptCount val="1"/>
                <c:pt idx="0">
                  <c:v>0.73223457605848019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A2-4CD1-9BAF-2F83C723027A}"/>
            </c:ext>
          </c:extLst>
        </c:ser>
        <c:ser>
          <c:idx val="3"/>
          <c:order val="3"/>
          <c:tx>
            <c:strRef>
              <c:f>'Assembly Comparison'!$E$3</c:f>
              <c:strCache>
                <c:ptCount val="1"/>
                <c:pt idx="0">
                  <c:v>Rainy Day
To Be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'Assembly Comparison'!$A$5</c:f>
              <c:strCache>
                <c:ptCount val="1"/>
                <c:pt idx="0">
                  <c:v>Reliability</c:v>
                </c:pt>
              </c:strCache>
            </c:strRef>
          </c:cat>
          <c:val>
            <c:numRef>
              <c:f>'Assembly Comparison'!$E$5</c:f>
              <c:numCache>
                <c:formatCode>0.00%</c:formatCode>
                <c:ptCount val="1"/>
                <c:pt idx="0">
                  <c:v>0.84123979288738193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A2-4CD1-9BAF-2F83C72302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49535328"/>
        <c:axId val="256464816"/>
      </c:barChart>
      <c:catAx>
        <c:axId val="24953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64816"/>
        <c:crosses val="autoZero"/>
        <c:auto val="1"/>
        <c:lblAlgn val="ctr"/>
        <c:lblOffset val="100"/>
        <c:noMultiLvlLbl val="0"/>
      </c:catAx>
      <c:valAx>
        <c:axId val="256464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4953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84988270271529E-2"/>
          <c:y val="0.87499912510936129"/>
          <c:w val="0.81403061342995842"/>
          <c:h val="0.1027786526684164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[W20 - Group 1 - Final Workbook - Project 3 - INFO8440 (1).xlsx]Attitude Survey!PivotTable29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'Attitude Survey'!$B$25:$B$26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Survey'!$B$27:$B$35</c:f>
              <c:numCache>
                <c:formatCode>General</c:formatCode>
                <c:ptCount val="8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1-424D-8A33-53426C971BF8}"/>
            </c:ext>
          </c:extLst>
        </c:ser>
        <c:ser>
          <c:idx val="1"/>
          <c:order val="1"/>
          <c:tx>
            <c:strRef>
              <c:f>'Attitude Survey'!$C$25:$C$26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Survey'!$C$27:$C$35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56-42DA-8987-5D88E3C464A7}"/>
            </c:ext>
          </c:extLst>
        </c:ser>
        <c:ser>
          <c:idx val="2"/>
          <c:order val="2"/>
          <c:tx>
            <c:strRef>
              <c:f>'Attitude Survey'!$D$25:$D$26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Survey'!$D$27:$D$35</c:f>
              <c:numCache>
                <c:formatCode>General</c:formatCode>
                <c:ptCount val="8"/>
                <c:pt idx="1">
                  <c:v>2</c:v>
                </c:pt>
                <c:pt idx="2">
                  <c:v>1</c:v>
                </c:pt>
                <c:pt idx="5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56-42DA-8987-5D88E3C464A7}"/>
            </c:ext>
          </c:extLst>
        </c:ser>
        <c:ser>
          <c:idx val="3"/>
          <c:order val="3"/>
          <c:tx>
            <c:strRef>
              <c:f>'Attitude Survey'!$E$25:$E$26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Survey'!$E$27:$E$35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56-42DA-8987-5D88E3C464A7}"/>
            </c:ext>
          </c:extLst>
        </c:ser>
        <c:ser>
          <c:idx val="4"/>
          <c:order val="4"/>
          <c:tx>
            <c:strRef>
              <c:f>'Attitude Survey'!$F$25:$F$26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Survey'!$F$27:$F$35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56-42DA-8987-5D88E3C464A7}"/>
            </c:ext>
          </c:extLst>
        </c:ser>
        <c:ser>
          <c:idx val="5"/>
          <c:order val="5"/>
          <c:tx>
            <c:strRef>
              <c:f>'Attitude Survey'!$G$25:$G$26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Survey'!$G$27:$G$35</c:f>
              <c:numCache>
                <c:formatCode>General</c:formatCode>
                <c:ptCount val="8"/>
                <c:pt idx="5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56-42DA-8987-5D88E3C46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56455024"/>
        <c:axId val="256456112"/>
      </c:barChart>
      <c:catAx>
        <c:axId val="25645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56112"/>
        <c:crosses val="autoZero"/>
        <c:auto val="1"/>
        <c:lblAlgn val="ctr"/>
        <c:lblOffset val="100"/>
        <c:noMultiLvlLbl val="0"/>
      </c:catAx>
      <c:valAx>
        <c:axId val="256456112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5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[W20 - Group 1 - Final Workbook - Project 3 - INFO8440 (1).xlsx]Attitude Survey!PivotTable35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tint val="5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1">
              <a:tint val="7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>
              <a:tint val="9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shade val="9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shade val="7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shade val="50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'Attitude Survey'!$C$3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DA-43D8-A1DF-1B9121905F94}"/>
              </c:ext>
            </c:extLst>
          </c:dPt>
          <c:dPt>
            <c:idx val="1"/>
            <c:bubble3D val="0"/>
            <c:spPr>
              <a:solidFill>
                <a:schemeClr val="accent1">
                  <a:tint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DA-43D8-A1DF-1B9121905F94}"/>
              </c:ext>
            </c:extLst>
          </c:dPt>
          <c:dPt>
            <c:idx val="2"/>
            <c:bubble3D val="0"/>
            <c:spPr>
              <a:solidFill>
                <a:schemeClr val="accent1">
                  <a:tint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DA-43D8-A1DF-1B9121905F94}"/>
              </c:ext>
            </c:extLst>
          </c:dPt>
          <c:dPt>
            <c:idx val="3"/>
            <c:bubble3D val="0"/>
            <c:spPr>
              <a:solidFill>
                <a:schemeClr val="accent1">
                  <a:shade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DA-43D8-A1DF-1B9121905F94}"/>
              </c:ext>
            </c:extLst>
          </c:dPt>
          <c:dPt>
            <c:idx val="4"/>
            <c:bubble3D val="0"/>
            <c:spPr>
              <a:solidFill>
                <a:schemeClr val="accent1">
                  <a:shade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BDA-43D8-A1DF-1B9121905F94}"/>
              </c:ext>
            </c:extLst>
          </c:dPt>
          <c:dPt>
            <c:idx val="5"/>
            <c:bubble3D val="0"/>
            <c:spPr>
              <a:solidFill>
                <a:schemeClr val="accent1">
                  <a:shade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BDA-43D8-A1DF-1B9121905F94}"/>
              </c:ext>
            </c:extLst>
          </c:dPt>
          <c:cat>
            <c:strRef>
              <c:f>'Attitude Survey'!$B$4:$B$10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'Attitude Survey'!$C$4:$C$10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5E9-98F7-4BEB4D53D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[W20 - Group 1 - Final Workbook - Project 3 - INFO8440 (1).xlsx]Attitude Survey!PivotTable33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'Attitude Survey'!$B$14:$B$15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Survey'!$B$16:$B$20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5-4DB4-928A-E59E6836BD35}"/>
            </c:ext>
          </c:extLst>
        </c:ser>
        <c:ser>
          <c:idx val="1"/>
          <c:order val="1"/>
          <c:tx>
            <c:strRef>
              <c:f>'Attitude Survey'!$C$14:$C$15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Survey'!$C$16:$C$20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5-4DB4-928A-E59E6836BD35}"/>
            </c:ext>
          </c:extLst>
        </c:ser>
        <c:ser>
          <c:idx val="2"/>
          <c:order val="2"/>
          <c:tx>
            <c:strRef>
              <c:f>'Attitude Survey'!$D$14:$D$15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Survey'!$D$16:$D$20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55-4DB4-928A-E59E6836BD35}"/>
            </c:ext>
          </c:extLst>
        </c:ser>
        <c:ser>
          <c:idx val="3"/>
          <c:order val="3"/>
          <c:tx>
            <c:strRef>
              <c:f>'Attitude Survey'!$E$14:$E$15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Survey'!$E$16:$E$20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55-4DB4-928A-E59E6836BD35}"/>
            </c:ext>
          </c:extLst>
        </c:ser>
        <c:ser>
          <c:idx val="4"/>
          <c:order val="4"/>
          <c:tx>
            <c:strRef>
              <c:f>'Attitude Survey'!$F$14:$F$15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Survey'!$F$16:$F$20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55-4DB4-928A-E59E6836BD35}"/>
            </c:ext>
          </c:extLst>
        </c:ser>
        <c:ser>
          <c:idx val="5"/>
          <c:order val="5"/>
          <c:tx>
            <c:strRef>
              <c:f>'Attitude Survey'!$G$14:$G$15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'Attitude Survey'!$A$16:$A$20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as needed</c:v>
                </c:pt>
                <c:pt idx="3">
                  <c:v>Days</c:v>
                </c:pt>
              </c:strCache>
            </c:strRef>
          </c:cat>
          <c:val>
            <c:numRef>
              <c:f>'Attitude Survey'!$G$16:$G$20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55-4DB4-928A-E59E6836B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452304"/>
        <c:axId val="256461008"/>
      </c:barChart>
      <c:catAx>
        <c:axId val="2564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61008"/>
        <c:crosses val="autoZero"/>
        <c:auto val="1"/>
        <c:lblAlgn val="ctr"/>
        <c:lblOffset val="100"/>
        <c:noMultiLvlLbl val="0"/>
      </c:catAx>
      <c:valAx>
        <c:axId val="2564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5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[W20 - Group 1 - Final Workbook - Project 3 - INFO8440 (1).xlsx]Attitude Survey!PivotTable29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'Attitude Survey'!$B$25:$B$26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Survey'!$B$27:$B$35</c:f>
              <c:numCache>
                <c:formatCode>General</c:formatCode>
                <c:ptCount val="8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8-4462-B0DF-359987DA5EF8}"/>
            </c:ext>
          </c:extLst>
        </c:ser>
        <c:ser>
          <c:idx val="1"/>
          <c:order val="1"/>
          <c:tx>
            <c:strRef>
              <c:f>'Attitude Survey'!$C$25:$C$26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Survey'!$C$27:$C$35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8-4462-B0DF-359987DA5EF8}"/>
            </c:ext>
          </c:extLst>
        </c:ser>
        <c:ser>
          <c:idx val="2"/>
          <c:order val="2"/>
          <c:tx>
            <c:strRef>
              <c:f>'Attitude Survey'!$D$25:$D$26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Survey'!$D$27:$D$35</c:f>
              <c:numCache>
                <c:formatCode>General</c:formatCode>
                <c:ptCount val="8"/>
                <c:pt idx="1">
                  <c:v>2</c:v>
                </c:pt>
                <c:pt idx="2">
                  <c:v>1</c:v>
                </c:pt>
                <c:pt idx="5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68-4462-B0DF-359987DA5EF8}"/>
            </c:ext>
          </c:extLst>
        </c:ser>
        <c:ser>
          <c:idx val="3"/>
          <c:order val="3"/>
          <c:tx>
            <c:strRef>
              <c:f>'Attitude Survey'!$E$25:$E$26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Survey'!$E$27:$E$35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68-4462-B0DF-359987DA5EF8}"/>
            </c:ext>
          </c:extLst>
        </c:ser>
        <c:ser>
          <c:idx val="4"/>
          <c:order val="4"/>
          <c:tx>
            <c:strRef>
              <c:f>'Attitude Survey'!$F$25:$F$26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Survey'!$F$27:$F$35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68-4462-B0DF-359987DA5EF8}"/>
            </c:ext>
          </c:extLst>
        </c:ser>
        <c:ser>
          <c:idx val="5"/>
          <c:order val="5"/>
          <c:tx>
            <c:strRef>
              <c:f>'Attitude Survey'!$G$25:$G$26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'Attitude Survey'!$A$27:$A$35</c:f>
              <c:strCache>
                <c:ptCount val="8"/>
                <c:pt idx="0">
                  <c:v>Product and Process Designers</c:v>
                </c:pt>
                <c:pt idx="1">
                  <c:v>Purchasing Agents</c:v>
                </c:pt>
                <c:pt idx="2">
                  <c:v>Quality Control Tech</c:v>
                </c:pt>
                <c:pt idx="3">
                  <c:v>Shift / Maintenance Manager</c:v>
                </c:pt>
                <c:pt idx="4">
                  <c:v>Shipper / Receivers</c:v>
                </c:pt>
                <c:pt idx="5">
                  <c:v>Team Lead</c:v>
                </c:pt>
                <c:pt idx="6">
                  <c:v>Team Maintenance</c:v>
                </c:pt>
                <c:pt idx="7">
                  <c:v>Team Member</c:v>
                </c:pt>
              </c:strCache>
            </c:strRef>
          </c:cat>
          <c:val>
            <c:numRef>
              <c:f>'Attitude Survey'!$G$27:$G$35</c:f>
              <c:numCache>
                <c:formatCode>General</c:formatCode>
                <c:ptCount val="8"/>
                <c:pt idx="5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68-4462-B0DF-359987DA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450672"/>
        <c:axId val="256465904"/>
      </c:barChart>
      <c:catAx>
        <c:axId val="25645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65904"/>
        <c:crosses val="autoZero"/>
        <c:auto val="1"/>
        <c:lblAlgn val="ctr"/>
        <c:lblOffset val="100"/>
        <c:noMultiLvlLbl val="0"/>
      </c:catAx>
      <c:valAx>
        <c:axId val="25646590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506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0</xdr:rowOff>
    </xdr:from>
    <xdr:to>
      <xdr:col>8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60E88-672B-4EAD-99ED-4E642DE7B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0</xdr:rowOff>
    </xdr:from>
    <xdr:to>
      <xdr:col>8</xdr:col>
      <xdr:colOff>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0EAC5-621C-4020-991D-433E05606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34</xdr:row>
      <xdr:rowOff>0</xdr:rowOff>
    </xdr:from>
    <xdr:to>
      <xdr:col>15</xdr:col>
      <xdr:colOff>788670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02546-6C58-4D19-815E-C26363545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34</xdr:row>
      <xdr:rowOff>0</xdr:rowOff>
    </xdr:from>
    <xdr:to>
      <xdr:col>15</xdr:col>
      <xdr:colOff>788670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5AE3E-C98A-4E88-A186-0DFE8D32D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5</xdr:col>
      <xdr:colOff>0</xdr:colOff>
      <xdr:row>24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B1EBE-D724-4DEB-8B48-92F01CF63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866775</xdr:colOff>
      <xdr:row>13</xdr:row>
      <xdr:rowOff>169545</xdr:rowOff>
    </xdr:from>
    <xdr:to>
      <xdr:col>1</xdr:col>
      <xdr:colOff>19050</xdr:colOff>
      <xdr:row>15</xdr:row>
      <xdr:rowOff>100965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A2D68B-20E5-4EEC-A910-70E0521EB1D5}"/>
            </a:ext>
          </a:extLst>
        </xdr:cNvPr>
        <xdr:cNvSpPr txBox="1"/>
      </xdr:nvSpPr>
      <xdr:spPr>
        <a:xfrm>
          <a:off x="866775" y="3236595"/>
          <a:ext cx="828675" cy="3124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Sunny Day</a:t>
          </a:r>
        </a:p>
      </xdr:txBody>
    </xdr:sp>
    <xdr:clientData/>
  </xdr:twoCellAnchor>
  <xdr:twoCellAnchor>
    <xdr:from>
      <xdr:col>2</xdr:col>
      <xdr:colOff>361950</xdr:colOff>
      <xdr:row>8</xdr:row>
      <xdr:rowOff>76200</xdr:rowOff>
    </xdr:from>
    <xdr:to>
      <xdr:col>3</xdr:col>
      <xdr:colOff>518160</xdr:colOff>
      <xdr:row>10</xdr:row>
      <xdr:rowOff>15240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C29062-8526-4111-AFEB-2E23707FDA38}"/>
            </a:ext>
          </a:extLst>
        </xdr:cNvPr>
        <xdr:cNvSpPr txBox="1"/>
      </xdr:nvSpPr>
      <xdr:spPr>
        <a:xfrm>
          <a:off x="2714625" y="2190750"/>
          <a:ext cx="832485" cy="32004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Rainy</a:t>
          </a:r>
          <a:r>
            <a:rPr lang="en-IN" sz="1100" baseline="0"/>
            <a:t> Day</a:t>
          </a:r>
          <a:endParaRPr lang="en-IN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13</xdr:col>
      <xdr:colOff>38100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B1CC77-A87B-4FBD-A7C4-EA4A5B069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108585</xdr:colOff>
      <xdr:row>10</xdr:row>
      <xdr:rowOff>17145</xdr:rowOff>
    </xdr:from>
    <xdr:to>
      <xdr:col>11</xdr:col>
      <xdr:colOff>342900</xdr:colOff>
      <xdr:row>11</xdr:row>
      <xdr:rowOff>146685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115BB3B-25C7-4045-9F44-F82E456A5D8D}"/>
            </a:ext>
          </a:extLst>
        </xdr:cNvPr>
        <xdr:cNvSpPr txBox="1"/>
      </xdr:nvSpPr>
      <xdr:spPr>
        <a:xfrm>
          <a:off x="7461885" y="2512695"/>
          <a:ext cx="843915" cy="32004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Rainy</a:t>
          </a:r>
          <a:r>
            <a:rPr lang="en-IN" sz="1100" baseline="0"/>
            <a:t> Day</a:t>
          </a:r>
          <a:endParaRPr lang="en-IN" sz="1100"/>
        </a:p>
      </xdr:txBody>
    </xdr:sp>
    <xdr:clientData/>
  </xdr:twoCellAnchor>
  <xdr:twoCellAnchor>
    <xdr:from>
      <xdr:col>7</xdr:col>
      <xdr:colOff>304800</xdr:colOff>
      <xdr:row>8</xdr:row>
      <xdr:rowOff>76200</xdr:rowOff>
    </xdr:from>
    <xdr:to>
      <xdr:col>8</xdr:col>
      <xdr:colOff>529590</xdr:colOff>
      <xdr:row>10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032775-B5FE-4CFC-8ABA-2B591D01D5C7}"/>
            </a:ext>
          </a:extLst>
        </xdr:cNvPr>
        <xdr:cNvSpPr txBox="1"/>
      </xdr:nvSpPr>
      <xdr:spPr>
        <a:xfrm>
          <a:off x="5829300" y="2190750"/>
          <a:ext cx="834390" cy="3124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Sunny Day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146094</xdr:rowOff>
    </xdr:from>
    <xdr:to>
      <xdr:col>19</xdr:col>
      <xdr:colOff>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E50A7-3F01-4D07-A1FD-AEFD4FAC7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441369"/>
          <a:ext cx="5486400" cy="3882981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254097</xdr:rowOff>
    </xdr:from>
    <xdr:to>
      <xdr:col>19</xdr:col>
      <xdr:colOff>0</xdr:colOff>
      <xdr:row>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C5C3D2-8502-4539-80B3-B65B63C9037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254097"/>
          <a:ext cx="5486400" cy="3879753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0</xdr:colOff>
      <xdr:row>23</xdr:row>
      <xdr:rowOff>190499</xdr:rowOff>
    </xdr:from>
    <xdr:to>
      <xdr:col>19</xdr:col>
      <xdr:colOff>0</xdr:colOff>
      <xdr:row>44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57A780-781B-4C5D-B2CF-D25E38B5BF0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4705349"/>
          <a:ext cx="5486400" cy="3838576"/>
        </a:xfrm>
        <a:prstGeom prst="rect">
          <a:avLst/>
        </a:prstGeom>
        <a:ln w="952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41</xdr:row>
      <xdr:rowOff>28575</xdr:rowOff>
    </xdr:from>
    <xdr:to>
      <xdr:col>16</xdr:col>
      <xdr:colOff>57150</xdr:colOff>
      <xdr:row>52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2D249-ACB9-44BF-820D-9538E4841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2</xdr:row>
      <xdr:rowOff>0</xdr:rowOff>
    </xdr:from>
    <xdr:to>
      <xdr:col>8</xdr:col>
      <xdr:colOff>1</xdr:colOff>
      <xdr:row>12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1CD16F-7F45-4FB0-95C2-A80705773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476847-0A5A-439E-AABA-41FC333F5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18</xdr:col>
      <xdr:colOff>0</xdr:colOff>
      <xdr:row>35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517762-E931-4B5E-B807-C50A58FEA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jhyoja" refreshedDate="43932.802678472224" createdVersion="6" refreshedVersion="6" minRefreshableVersion="3" recordCount="36" xr:uid="{00000000-000A-0000-FFFF-FFFF00000000}">
  <cacheSource type="worksheet">
    <worksheetSource name="Table10"/>
  </cacheSource>
  <cacheFields count="8">
    <cacheField name="Role" numFmtId="0">
      <sharedItems count="8">
        <s v="Team Lead"/>
        <s v="Team Member"/>
        <s v="Team Maintenance"/>
        <s v="Shift / Maintenance Manager"/>
        <s v="Quality Control Tech"/>
        <s v="Product and Process Designers"/>
        <s v="Purchasing Agents"/>
        <s v="Shipper / Receivers"/>
      </sharedItems>
    </cacheField>
    <cacheField name="Employee #" numFmtId="0">
      <sharedItems containsSemiMixedTypes="0" containsString="0" containsNumber="1" containsInteger="1" minValue="601" maxValue="639"/>
    </cacheField>
    <cacheField name="Years Old" numFmtId="0">
      <sharedItems containsSemiMixedTypes="0" containsString="0" containsNumber="1" containsInteger="1" minValue="25" maxValue="54"/>
    </cacheField>
    <cacheField name="Shift" numFmtId="0">
      <sharedItems containsMixedTypes="1" containsNumber="1" containsInteger="1" minValue="1" maxValue="2" count="4">
        <n v="1"/>
        <n v="2"/>
        <s v="as needed"/>
        <s v="Days"/>
      </sharedItems>
    </cacheField>
    <cacheField name="Pay" numFmtId="0">
      <sharedItems containsSemiMixedTypes="0" containsString="0" containsNumber="1" containsInteger="1" minValue="22" maxValue="45000"/>
    </cacheField>
    <cacheField name="Pay Per" numFmtId="0">
      <sharedItems/>
    </cacheField>
    <cacheField name="Attitude Code" numFmtId="0">
      <sharedItems containsSemiMixedTypes="0" containsString="0" containsNumber="1" containsInteger="1" minValue="1" maxValue="6" count="6">
        <n v="3"/>
        <n v="6"/>
        <n v="4"/>
        <n v="5"/>
        <n v="2"/>
        <n v="1"/>
      </sharedItems>
    </cacheField>
    <cacheField name="Comment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616"/>
    <n v="33"/>
    <x v="0"/>
    <n v="26"/>
    <s v="per hour"/>
    <x v="0"/>
    <x v="0"/>
  </r>
  <r>
    <x v="0"/>
    <n v="629"/>
    <n v="53"/>
    <x v="0"/>
    <n v="26"/>
    <s v="per hour"/>
    <x v="1"/>
    <x v="0"/>
  </r>
  <r>
    <x v="0"/>
    <n v="608"/>
    <n v="26"/>
    <x v="0"/>
    <n v="26"/>
    <s v="per hour"/>
    <x v="2"/>
    <x v="0"/>
  </r>
  <r>
    <x v="0"/>
    <n v="617"/>
    <n v="39"/>
    <x v="1"/>
    <n v="26"/>
    <s v="per hour"/>
    <x v="2"/>
    <x v="0"/>
  </r>
  <r>
    <x v="0"/>
    <n v="609"/>
    <n v="32"/>
    <x v="1"/>
    <n v="26"/>
    <s v="per hour"/>
    <x v="0"/>
    <x v="0"/>
  </r>
  <r>
    <x v="0"/>
    <n v="610"/>
    <n v="49"/>
    <x v="1"/>
    <n v="26"/>
    <s v="per hour"/>
    <x v="1"/>
    <x v="0"/>
  </r>
  <r>
    <x v="1"/>
    <n v="623"/>
    <n v="54"/>
    <x v="0"/>
    <n v="22"/>
    <s v="per hour"/>
    <x v="3"/>
    <x v="0"/>
  </r>
  <r>
    <x v="1"/>
    <n v="635"/>
    <n v="32"/>
    <x v="0"/>
    <n v="22"/>
    <s v="per hour"/>
    <x v="0"/>
    <x v="0"/>
  </r>
  <r>
    <x v="1"/>
    <n v="624"/>
    <n v="35"/>
    <x v="0"/>
    <n v="22"/>
    <s v="per hour"/>
    <x v="2"/>
    <x v="0"/>
  </r>
  <r>
    <x v="1"/>
    <n v="613"/>
    <n v="44"/>
    <x v="0"/>
    <n v="22"/>
    <s v="per hour"/>
    <x v="0"/>
    <x v="0"/>
  </r>
  <r>
    <x v="1"/>
    <n v="636"/>
    <n v="31"/>
    <x v="0"/>
    <n v="22"/>
    <s v="per hour"/>
    <x v="2"/>
    <x v="0"/>
  </r>
  <r>
    <x v="1"/>
    <n v="614"/>
    <n v="52"/>
    <x v="0"/>
    <n v="22"/>
    <s v="per hour"/>
    <x v="4"/>
    <x v="0"/>
  </r>
  <r>
    <x v="1"/>
    <n v="637"/>
    <n v="42"/>
    <x v="1"/>
    <n v="22"/>
    <s v="per hour"/>
    <x v="2"/>
    <x v="0"/>
  </r>
  <r>
    <x v="1"/>
    <n v="622"/>
    <n v="46"/>
    <x v="1"/>
    <n v="22"/>
    <s v="per hour"/>
    <x v="3"/>
    <x v="0"/>
  </r>
  <r>
    <x v="1"/>
    <n v="634"/>
    <n v="35"/>
    <x v="1"/>
    <n v="22"/>
    <s v="per hour"/>
    <x v="0"/>
    <x v="0"/>
  </r>
  <r>
    <x v="1"/>
    <n v="615"/>
    <n v="41"/>
    <x v="1"/>
    <n v="22"/>
    <s v="per hour"/>
    <x v="1"/>
    <x v="0"/>
  </r>
  <r>
    <x v="1"/>
    <n v="633"/>
    <n v="25"/>
    <x v="1"/>
    <n v="22"/>
    <s v="per hour"/>
    <x v="0"/>
    <x v="0"/>
  </r>
  <r>
    <x v="1"/>
    <n v="639"/>
    <n v="31"/>
    <x v="1"/>
    <n v="22"/>
    <s v="per hour"/>
    <x v="2"/>
    <x v="0"/>
  </r>
  <r>
    <x v="2"/>
    <n v="638"/>
    <n v="43"/>
    <x v="0"/>
    <n v="26"/>
    <s v="per hour"/>
    <x v="4"/>
    <x v="0"/>
  </r>
  <r>
    <x v="2"/>
    <n v="607"/>
    <n v="43"/>
    <x v="0"/>
    <n v="26"/>
    <s v="per hour"/>
    <x v="5"/>
    <x v="0"/>
  </r>
  <r>
    <x v="2"/>
    <n v="631"/>
    <n v="38"/>
    <x v="0"/>
    <n v="26"/>
    <s v="per hour"/>
    <x v="4"/>
    <x v="0"/>
  </r>
  <r>
    <x v="2"/>
    <n v="618"/>
    <n v="42"/>
    <x v="1"/>
    <n v="26"/>
    <s v="per hour"/>
    <x v="3"/>
    <x v="0"/>
  </r>
  <r>
    <x v="2"/>
    <n v="606"/>
    <n v="41"/>
    <x v="1"/>
    <n v="26"/>
    <s v="per hour"/>
    <x v="2"/>
    <x v="0"/>
  </r>
  <r>
    <x v="2"/>
    <n v="630"/>
    <n v="29"/>
    <x v="1"/>
    <n v="26"/>
    <s v="per hour"/>
    <x v="5"/>
    <x v="0"/>
  </r>
  <r>
    <x v="3"/>
    <n v="611"/>
    <n v="42"/>
    <x v="0"/>
    <n v="30"/>
    <s v="per hour"/>
    <x v="2"/>
    <x v="0"/>
  </r>
  <r>
    <x v="3"/>
    <n v="605"/>
    <n v="38"/>
    <x v="1"/>
    <n v="30"/>
    <s v="per hour"/>
    <x v="3"/>
    <x v="0"/>
  </r>
  <r>
    <x v="3"/>
    <n v="632"/>
    <n v="28"/>
    <x v="2"/>
    <n v="30"/>
    <s v="per hour"/>
    <x v="4"/>
    <x v="0"/>
  </r>
  <r>
    <x v="4"/>
    <n v="626"/>
    <n v="41"/>
    <x v="0"/>
    <n v="26"/>
    <s v="per hour"/>
    <x v="0"/>
    <x v="0"/>
  </r>
  <r>
    <x v="4"/>
    <n v="620"/>
    <n v="38"/>
    <x v="1"/>
    <n v="26"/>
    <s v="per hour"/>
    <x v="4"/>
    <x v="0"/>
  </r>
  <r>
    <x v="4"/>
    <n v="612"/>
    <n v="32"/>
    <x v="2"/>
    <n v="26"/>
    <s v="per hour"/>
    <x v="2"/>
    <x v="0"/>
  </r>
  <r>
    <x v="5"/>
    <n v="601"/>
    <n v="25"/>
    <x v="3"/>
    <n v="30"/>
    <s v="per hour"/>
    <x v="2"/>
    <x v="0"/>
  </r>
  <r>
    <x v="5"/>
    <n v="602"/>
    <n v="33"/>
    <x v="3"/>
    <n v="30"/>
    <s v="per hour"/>
    <x v="4"/>
    <x v="0"/>
  </r>
  <r>
    <x v="6"/>
    <n v="604"/>
    <n v="33"/>
    <x v="3"/>
    <n v="45000"/>
    <s v="per year"/>
    <x v="0"/>
    <x v="0"/>
  </r>
  <r>
    <x v="6"/>
    <n v="619"/>
    <n v="34"/>
    <x v="3"/>
    <n v="45000"/>
    <s v="per year"/>
    <x v="0"/>
    <x v="0"/>
  </r>
  <r>
    <x v="7"/>
    <n v="627"/>
    <n v="32"/>
    <x v="3"/>
    <n v="26"/>
    <s v="per hour"/>
    <x v="4"/>
    <x v="0"/>
  </r>
  <r>
    <x v="7"/>
    <n v="603"/>
    <n v="54"/>
    <x v="3"/>
    <n v="26"/>
    <s v="per hour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2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 rowHeaderCaption="Role">
  <location ref="A25:H35" firstHeaderRow="1" firstDataRow="2" firstDataCol="1"/>
  <pivotFields count="8">
    <pivotField axis="axisRow" showAll="0">
      <items count="9">
        <item x="5"/>
        <item x="6"/>
        <item x="4"/>
        <item x="3"/>
        <item x="7"/>
        <item x="0"/>
        <item x="2"/>
        <item x="1"/>
        <item t="default"/>
      </items>
    </pivotField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7">
        <item x="5"/>
        <item x="4"/>
        <item x="0"/>
        <item x="2"/>
        <item x="3"/>
        <item x="1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 #" fld="1" subtotal="count" baseField="6" baseItem="0"/>
  </dataFields>
  <formats count="1">
    <format dxfId="0">
      <pivotArea dataOnly="0" labelOnly="1" grandCol="1" outline="0" fieldPosition="0"/>
    </format>
  </formats>
  <chartFormats count="13"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2000000}" name="PivotTable3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 rowHeaderCaption="Attitude Code">
  <location ref="B3:C10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5"/>
        <item x="4"/>
        <item x="0"/>
        <item x="2"/>
        <item x="3"/>
        <item x="1"/>
        <item t="default"/>
      </items>
    </pivotField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" fld="6" subtotal="count" baseField="6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1000000}" name="PivotTable3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 rowHeaderCaption="Shift">
  <location ref="A14:H20" firstHeaderRow="1" firstDataRow="2" firstDataCol="1"/>
  <pivotFields count="8"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axis="axisCol" showAll="0">
      <items count="7">
        <item x="5"/>
        <item x="4"/>
        <item x="0"/>
        <item x="2"/>
        <item x="3"/>
        <item x="1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 #" fld="1" subtotal="count" baseField="3" baseItem="0"/>
  </dataFields>
  <formats count="2">
    <format dxfId="2">
      <pivotArea collapsedLevelsAreSubtotals="1" fieldPosition="0">
        <references count="1">
          <reference field="6" count="0"/>
        </references>
      </pivotArea>
    </format>
    <format dxfId="1">
      <pivotArea dataOnly="0" labelOnly="1" fieldPosition="0">
        <references count="1">
          <reference field="6" count="0"/>
        </references>
      </pivotArea>
    </format>
  </formats>
  <chartFormats count="7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4" displayName="Table4" ref="A6:D36" totalsRowShown="0">
  <autoFilter ref="A6:D36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Version" dataDxfId="353"/>
    <tableColumn id="2" xr3:uid="{00000000-0010-0000-0000-000002000000}" name="Date" dataDxfId="352"/>
    <tableColumn id="3" xr3:uid="{00000000-0010-0000-0000-000003000000}" name="Author"/>
    <tableColumn id="4" xr3:uid="{00000000-0010-0000-0000-000004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F6:H23" totalsRowShown="0">
  <autoFilter ref="F6:H23" xr:uid="{00000000-0009-0000-0100-000005000000}"/>
  <tableColumns count="3">
    <tableColumn id="1" xr3:uid="{00000000-0010-0000-0100-000001000000}" name="Sr No"/>
    <tableColumn id="2" xr3:uid="{00000000-0010-0000-0100-000002000000}" name="Sheet"/>
    <tableColumn id="3" xr3:uid="{00000000-0010-0000-0100-000003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A21:J58" totalsRowCount="1" headerRowDxfId="351">
  <autoFilter ref="A21:J57" xr:uid="{00000000-0009-0000-0100-00000A000000}">
    <filterColumn colId="3">
      <filters>
        <filter val="1"/>
        <filter val="2"/>
        <filter val="Days"/>
      </filters>
    </filterColumn>
  </autoFilter>
  <tableColumns count="10">
    <tableColumn id="9" xr3:uid="{00000000-0010-0000-0200-000009000000}" name="Employee #" totalsRowLabel="Total" dataDxfId="350"/>
    <tableColumn id="1" xr3:uid="{00000000-0010-0000-0200-000001000000}" name="Role"/>
    <tableColumn id="3" xr3:uid="{00000000-0010-0000-0200-000003000000}" name="Years Old"/>
    <tableColumn id="4" xr3:uid="{00000000-0010-0000-0200-000004000000}" name="Shift"/>
    <tableColumn id="13" xr3:uid="{00000000-0010-0000-0200-00000D000000}" name="Division" dataDxfId="349">
      <calculatedColumnFormula>VLOOKUP(B22,$A$8:$D$18,2,FALSE)</calculatedColumnFormula>
    </tableColumn>
    <tableColumn id="5" xr3:uid="{00000000-0010-0000-0200-000005000000}" name="Pay" dataDxfId="348">
      <calculatedColumnFormula>VLOOKUP(B22,$A$8:$D$18,3,FALSE)</calculatedColumnFormula>
    </tableColumn>
    <tableColumn id="6" xr3:uid="{00000000-0010-0000-0200-000006000000}" name="Pay Per" dataDxfId="347">
      <calculatedColumnFormula>VLOOKUP(B22,$A$8:$D$18,4,FALSE)</calculatedColumnFormula>
    </tableColumn>
    <tableColumn id="10" xr3:uid="{00000000-0010-0000-0200-00000A000000}" name="Pay / Day" totalsRowFunction="sum" dataDxfId="346" totalsRowDxfId="345">
      <calculatedColumnFormula>IF(Table10[[#This Row],[Division]]=$A$4,$B$4*Table10[[#This Row],[Pay]], IF(Table10[[#This Row],[Pay Per]]=$C$3,Table10[[#This Row],[Pay]]/$B$3,Table10[[#This Row],[Pay]]*$B$5) )</calculatedColumnFormula>
    </tableColumn>
    <tableColumn id="7" xr3:uid="{00000000-0010-0000-0200-000007000000}" name="Attitude Code" totalsRowFunction="average" totalsRowDxfId="344"/>
    <tableColumn id="8" xr3:uid="{00000000-0010-0000-0200-000008000000}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le11" displayName="Table11" ref="A8:D18" totalsRowShown="0">
  <autoFilter ref="A8:D18" xr:uid="{00000000-0009-0000-0100-00000B000000}"/>
  <tableColumns count="4">
    <tableColumn id="1" xr3:uid="{00000000-0010-0000-0300-000001000000}" name="Role"/>
    <tableColumn id="2" xr3:uid="{00000000-0010-0000-0300-000002000000}" name="Division"/>
    <tableColumn id="3" xr3:uid="{00000000-0010-0000-0300-000003000000}" name="Amount"/>
    <tableColumn id="4" xr3:uid="{00000000-0010-0000-0300-000004000000}" name="P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4000000}" name="Table1030" displayName="Table1030" ref="A27:J64" totalsRowCount="1" headerRowDxfId="343">
  <autoFilter ref="A27:J63" xr:uid="{00000000-0009-0000-0100-00001D000000}">
    <filterColumn colId="3">
      <filters>
        <filter val="1"/>
        <filter val="2"/>
        <filter val="Days"/>
      </filters>
    </filterColumn>
  </autoFilter>
  <tableColumns count="10">
    <tableColumn id="9" xr3:uid="{00000000-0010-0000-0400-000009000000}" name="Employee #" totalsRowLabel="Total" dataDxfId="342"/>
    <tableColumn id="1" xr3:uid="{00000000-0010-0000-0400-000001000000}" name="Role"/>
    <tableColumn id="3" xr3:uid="{00000000-0010-0000-0400-000003000000}" name="Years Old"/>
    <tableColumn id="4" xr3:uid="{00000000-0010-0000-0400-000004000000}" name="Shift"/>
    <tableColumn id="13" xr3:uid="{00000000-0010-0000-0400-00000D000000}" name="Division" dataDxfId="341">
      <calculatedColumnFormula>VLOOKUP(B28,$A$12:$D$22,2,FALSE)</calculatedColumnFormula>
    </tableColumn>
    <tableColumn id="5" xr3:uid="{00000000-0010-0000-0400-000005000000}" name="Pay" dataDxfId="340">
      <calculatedColumnFormula>VLOOKUP(B28,$A$12:$D$24,3,FALSE)</calculatedColumnFormula>
    </tableColumn>
    <tableColumn id="6" xr3:uid="{00000000-0010-0000-0400-000006000000}" name="Pay Per" dataDxfId="339">
      <calculatedColumnFormula>VLOOKUP(B28,$A$12:$D$24,4,FALSE)</calculatedColumnFormula>
    </tableColumn>
    <tableColumn id="10" xr3:uid="{00000000-0010-0000-0400-00000A000000}" name="Pay / Day" totalsRowFunction="sum" dataDxfId="338" totalsRowDxfId="337">
      <calculatedColumnFormula>IF(Table1030[[#This Row],[Division]]=$A$8,$B$8*Table1030[[#This Row],[Pay]], IF(Table1030[[#This Row],[Pay Per]]=$C$7,Table1030[[#This Row],[Pay]]/$B$7,Table1030[[#This Row],[Pay]]*$B$9) )</calculatedColumnFormula>
    </tableColumn>
    <tableColumn id="7" xr3:uid="{00000000-0010-0000-0400-000007000000}" name="Attitude Code" totalsRowDxfId="336"/>
    <tableColumn id="8" xr3:uid="{00000000-0010-0000-0400-000008000000}" name="Com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5000000}" name="Table1131" displayName="Table1131" ref="A12:D24" totalsRowShown="0">
  <autoFilter ref="A12:D24" xr:uid="{00000000-0009-0000-0100-00001E000000}"/>
  <tableColumns count="4">
    <tableColumn id="1" xr3:uid="{00000000-0010-0000-0500-000001000000}" name="Role"/>
    <tableColumn id="2" xr3:uid="{00000000-0010-0000-0500-000002000000}" name="Division"/>
    <tableColumn id="3" xr3:uid="{00000000-0010-0000-0500-000003000000}" name="Amount"/>
    <tableColumn id="4" xr3:uid="{00000000-0010-0000-0500-000004000000}" name="P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6000000}" name="Table27" displayName="Table27" ref="A10:O25" totalsRowCount="1" dataDxfId="335">
  <autoFilter ref="A10:O24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600-000001000000}" name="Employee ID" totalsRowLabel="Total" dataDxfId="334" totalsRowDxfId="333"/>
    <tableColumn id="2" xr3:uid="{00000000-0010-0000-0600-000002000000}" name="Role" totalsRowFunction="count" dataDxfId="332" totalsRowDxfId="331">
      <calculatedColumnFormula>VLOOKUP(A11,'Workers AS-IS'!$A$22:$F$57,2,FALSE)</calculatedColumnFormula>
    </tableColumn>
    <tableColumn id="3" xr3:uid="{00000000-0010-0000-0600-000003000000}" name="Pay / Hour" totalsRowFunction="sum" dataDxfId="330" totalsRowDxfId="329" dataCellStyle="Currency">
      <calculatedColumnFormula>VLOOKUP(A11,'Workers AS-IS'!$A$22:$F$57,6,FALSE)</calculatedColumnFormula>
    </tableColumn>
    <tableColumn id="4" xr3:uid="{00000000-0010-0000-0600-000004000000}" name="0" dataDxfId="328" totalsRowDxfId="327"/>
    <tableColumn id="5" xr3:uid="{00000000-0010-0000-0600-000005000000}" name="5" dataDxfId="326" totalsRowDxfId="325"/>
    <tableColumn id="6" xr3:uid="{00000000-0010-0000-0600-000006000000}" name="10" dataDxfId="324" totalsRowDxfId="323"/>
    <tableColumn id="7" xr3:uid="{00000000-0010-0000-0600-000007000000}" name="15" dataDxfId="322" totalsRowDxfId="321"/>
    <tableColumn id="8" xr3:uid="{00000000-0010-0000-0600-000008000000}" name="20" dataDxfId="320" totalsRowDxfId="319"/>
    <tableColumn id="9" xr3:uid="{00000000-0010-0000-0600-000009000000}" name="25" dataDxfId="318" totalsRowDxfId="317"/>
    <tableColumn id="10" xr3:uid="{00000000-0010-0000-0600-00000A000000}" name="30" dataDxfId="316" totalsRowDxfId="315"/>
    <tableColumn id="11" xr3:uid="{00000000-0010-0000-0600-00000B000000}" name="35" dataDxfId="314" totalsRowDxfId="313"/>
    <tableColumn id="12" xr3:uid="{00000000-0010-0000-0600-00000C000000}" name="40" dataDxfId="312" totalsRowDxfId="311"/>
    <tableColumn id="13" xr3:uid="{00000000-0010-0000-0600-00000D000000}" name="45" dataDxfId="310" totalsRowDxfId="309"/>
    <tableColumn id="14" xr3:uid="{00000000-0010-0000-0600-00000E000000}" name="50" dataDxfId="308" totalsRowDxfId="307"/>
    <tableColumn id="15" xr3:uid="{00000000-0010-0000-0600-00000F000000}" name="55" dataDxfId="306" totalsRowDxfId="305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7000000}" name="Table2729" displayName="Table2729" ref="A10:O21" totalsRowCount="1" dataDxfId="304">
  <autoFilter ref="A10:O20" xr:uid="{00000000-0009-0000-0100-00001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700-000001000000}" name="Employee ID" totalsRowLabel="Total" dataDxfId="303" totalsRowDxfId="302"/>
    <tableColumn id="2" xr3:uid="{00000000-0010-0000-0700-000002000000}" name="Role" totalsRowFunction="count" dataDxfId="301" totalsRowDxfId="300">
      <calculatedColumnFormula>VLOOKUP(A11,'Workers TO-BE'!A28:F63,2,FALSE)</calculatedColumnFormula>
    </tableColumn>
    <tableColumn id="3" xr3:uid="{00000000-0010-0000-0700-000003000000}" name="Pay / Hour" totalsRowFunction="sum" dataDxfId="299" totalsRowDxfId="298" dataCellStyle="Currency">
      <calculatedColumnFormula>VLOOKUP(B11,'Workers TO-BE'!B28:G63,5,FALSE)</calculatedColumnFormula>
    </tableColumn>
    <tableColumn id="4" xr3:uid="{00000000-0010-0000-0700-000004000000}" name="0" dataDxfId="297" totalsRowDxfId="296"/>
    <tableColumn id="5" xr3:uid="{00000000-0010-0000-0700-000005000000}" name="5" dataDxfId="295" totalsRowDxfId="294"/>
    <tableColumn id="6" xr3:uid="{00000000-0010-0000-0700-000006000000}" name="10" dataDxfId="293" totalsRowDxfId="292"/>
    <tableColumn id="7" xr3:uid="{00000000-0010-0000-0700-000007000000}" name="15" dataDxfId="291" totalsRowDxfId="290"/>
    <tableColumn id="8" xr3:uid="{00000000-0010-0000-0700-000008000000}" name="20" dataDxfId="289" totalsRowDxfId="288"/>
    <tableColumn id="9" xr3:uid="{00000000-0010-0000-0700-000009000000}" name="25" dataDxfId="287" totalsRowDxfId="286"/>
    <tableColumn id="10" xr3:uid="{00000000-0010-0000-0700-00000A000000}" name="30" dataDxfId="285" totalsRowDxfId="284"/>
    <tableColumn id="11" xr3:uid="{00000000-0010-0000-0700-00000B000000}" name="35" dataDxfId="283" totalsRowDxfId="282"/>
    <tableColumn id="12" xr3:uid="{00000000-0010-0000-0700-00000C000000}" name="40" dataDxfId="281" totalsRowDxfId="280"/>
    <tableColumn id="13" xr3:uid="{00000000-0010-0000-0700-00000D000000}" name="45" dataDxfId="279" totalsRowDxfId="278"/>
    <tableColumn id="14" xr3:uid="{00000000-0010-0000-0700-00000E000000}" name="50" dataDxfId="277" totalsRowDxfId="276"/>
    <tableColumn id="15" xr3:uid="{00000000-0010-0000-0700-00000F000000}" name="55" dataDxfId="275" totalsRowDxfId="274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e114" displayName="Table114" ref="A2:M15" totalsRowCount="1" dataDxfId="273">
  <autoFilter ref="A2:M14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5" xr3:uid="{00000000-0010-0000-0800-000005000000}" name="Component" totalsRowLabel="Total" dataDxfId="272"/>
    <tableColumn id="1" xr3:uid="{00000000-0010-0000-0800-000001000000}" name="Manufacturer" dataDxfId="271"/>
    <tableColumn id="2" xr3:uid="{00000000-0010-0000-0800-000002000000}" name="Part Number" dataDxfId="270"/>
    <tableColumn id="8" xr3:uid="{00000000-0010-0000-0800-000008000000}" name="Description" dataDxfId="269"/>
    <tableColumn id="7" xr3:uid="{00000000-0010-0000-0800-000007000000}" name="Comment" dataDxfId="268"/>
    <tableColumn id="3" xr3:uid="{00000000-0010-0000-0800-000003000000}" name="Row" dataDxfId="267"/>
    <tableColumn id="4" xr3:uid="{00000000-0010-0000-0800-000004000000}" name="Bay" dataDxfId="266"/>
    <tableColumn id="10" xr3:uid="{00000000-0010-0000-0800-00000A000000}" name="Location AS-IS" dataDxfId="265">
      <calculatedColumnFormula>"Shelf "&amp;Table114[[#This Row],[Row]] &amp; " - Bay "&amp; Table114[[#This Row],[Bay]]</calculatedColumnFormula>
    </tableColumn>
    <tableColumn id="11" xr3:uid="{00000000-0010-0000-0800-00000B000000}" name="Fixed" dataDxfId="264"/>
    <tableColumn id="13" xr3:uid="{00000000-0010-0000-0800-00000D000000}" name="New Row" dataDxfId="263"/>
    <tableColumn id="12" xr3:uid="{00000000-0010-0000-0800-00000C000000}" name="New Bay" dataDxfId="262"/>
    <tableColumn id="9" xr3:uid="{00000000-0010-0000-0800-000009000000}" name="Location TO-BE" dataDxfId="261">
      <calculatedColumnFormula>IF(Table114[[#This Row],[Fixed]]="Yes",Table114[[#This Row],[Location AS-IS]],"Shelf "&amp;Table114[[#This Row],[New Row]] &amp; " - Bay "&amp; Table114[[#This Row],[New Bay]])</calculatedColumnFormula>
    </tableColumn>
    <tableColumn id="6" xr3:uid="{00000000-0010-0000-0800-000006000000}" name="Cost (CAD)" totalsRowFunction="sum" dataDxfId="260" totalsRowDxfId="259" dataCellStyle="Currenc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9000000}" name="Table52" displayName="Table52" ref="A16:I41" totalsRowCount="1" headerRowDxfId="258" dataDxfId="257" tableBorderDxfId="256">
  <autoFilter ref="A16:I40" xr:uid="{00000000-0009-0000-0100-000001000000}"/>
  <tableColumns count="9">
    <tableColumn id="1" xr3:uid="{00000000-0010-0000-0900-000001000000}" name="Task " totalsRowLabel="Total" dataDxfId="255" totalsRowDxfId="254"/>
    <tableColumn id="2" xr3:uid="{00000000-0010-0000-0900-000002000000}" name="Action" dataDxfId="253" totalsRowDxfId="252"/>
    <tableColumn id="3" xr3:uid="{00000000-0010-0000-0900-000003000000}" name="Duration" totalsRowFunction="sum" dataDxfId="251" totalsRowDxfId="250"/>
    <tableColumn id="4" xr3:uid="{00000000-0010-0000-0900-000004000000}" name="Duration to Task" dataDxfId="249" totalsRowDxfId="248">
      <calculatedColumnFormula>D16+C17</calculatedColumnFormula>
    </tableColumn>
    <tableColumn id="5" xr3:uid="{00000000-0010-0000-0900-000005000000}" name="Labour Task Value" totalsRowFunction="sum" dataDxfId="247" totalsRowDxfId="246">
      <calculatedColumnFormula>C17*$A$5</calculatedColumnFormula>
    </tableColumn>
    <tableColumn id="6" xr3:uid="{00000000-0010-0000-0900-000006000000}" name="Labour to task" dataDxfId="245" totalsRowDxfId="244">
      <calculatedColumnFormula>F16+E17</calculatedColumnFormula>
    </tableColumn>
    <tableColumn id="7" xr3:uid="{00000000-0010-0000-0900-000007000000}" name="Component" dataDxfId="243" totalsRowDxfId="242"/>
    <tableColumn id="8" xr3:uid="{00000000-0010-0000-0900-000008000000}" name="Component Cost" totalsRowFunction="sum" dataDxfId="241" totalsRowDxfId="240"/>
    <tableColumn id="9" xr3:uid="{00000000-0010-0000-0900-000009000000}" name="Total to Task" totalsRowFunction="max" dataDxfId="239" totalsRowDxfId="238">
      <calculatedColumnFormula>$E17+$H17+IF(ISNUMBER(I16),I16,0)</calculatedColumnFormula>
    </tableColumn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A000000}" name="Table543610" displayName="Table543610" ref="A8:B13" headerRowCount="0" totalsRowShown="0">
  <tableColumns count="2">
    <tableColumn id="1" xr3:uid="{00000000-0010-0000-0A00-000001000000}" name="Column1" dataDxfId="237" dataCellStyle="Currency"/>
    <tableColumn id="2" xr3:uid="{00000000-0010-0000-0A00-000002000000}" name="Column2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5713" displayName="Table5713" ref="A7:R32" totalsRowCount="1" headerRowDxfId="236" dataDxfId="235" tableBorderDxfId="234">
  <autoFilter ref="A7:R31" xr:uid="{00000000-0009-0000-0100-00000C000000}"/>
  <tableColumns count="18">
    <tableColumn id="1" xr3:uid="{00000000-0010-0000-0B00-000001000000}" name="Task " totalsRowLabel="Total" dataDxfId="233" totalsRowDxfId="232"/>
    <tableColumn id="2" xr3:uid="{00000000-0010-0000-0B00-000002000000}" name="Action" dataDxfId="231" totalsRowDxfId="230"/>
    <tableColumn id="3" xr3:uid="{00000000-0010-0000-0B00-000003000000}" name="Duration" totalsRowFunction="sum" dataDxfId="229" totalsRowDxfId="228"/>
    <tableColumn id="4" xr3:uid="{00000000-0010-0000-0B00-000004000000}" name="Duration to Task" dataDxfId="227" totalsRowDxfId="226"/>
    <tableColumn id="5" xr3:uid="{00000000-0010-0000-0B00-000005000000}" name="Labour Task Value" totalsRowFunction="sum" dataDxfId="225" totalsRowDxfId="224">
      <calculatedColumnFormula>C8*$A$5</calculatedColumnFormula>
    </tableColumn>
    <tableColumn id="6" xr3:uid="{00000000-0010-0000-0B00-000006000000}" name="Labour to task" dataDxfId="223" totalsRowDxfId="222"/>
    <tableColumn id="7" xr3:uid="{00000000-0010-0000-0B00-000007000000}" name="Component" dataDxfId="221" totalsRowDxfId="220"/>
    <tableColumn id="8" xr3:uid="{00000000-0010-0000-0B00-000008000000}" name="Component Cost" totalsRowFunction="sum" dataDxfId="219" totalsRowDxfId="218"/>
    <tableColumn id="9" xr3:uid="{00000000-0010-0000-0B00-000009000000}" name="Total to Task" dataDxfId="217" totalsRowDxfId="216">
      <calculatedColumnFormula>$E8+$H8+IF(ISNUMBER(I7),I7,0)</calculatedColumnFormula>
    </tableColumn>
    <tableColumn id="10" xr3:uid="{00000000-0010-0000-0B00-00000A000000}" name="Fail Rate" dataDxfId="215" totalsRowDxfId="214"/>
    <tableColumn id="11" xr3:uid="{00000000-0010-0000-0B00-00000B000000}" name="Action to take" dataDxfId="213"/>
    <tableColumn id="12" xr3:uid="{00000000-0010-0000-0B00-00000C000000}" name="Time" dataDxfId="212"/>
    <tableColumn id="13" xr3:uid="{00000000-0010-0000-0B00-00000D000000}" name="Labour cost" dataDxfId="211" dataCellStyle="Currency">
      <calculatedColumnFormula>Table5713[[#This Row],[Time]]*$C$7</calculatedColumnFormula>
    </tableColumn>
    <tableColumn id="14" xr3:uid="{00000000-0010-0000-0B00-00000E000000}" name="Component Cost2" dataDxfId="210">
      <calculatedColumnFormula>H40</calculatedColumnFormula>
    </tableColumn>
    <tableColumn id="15" xr3:uid="{00000000-0010-0000-0B00-00000F000000}" name="Total Time to task with 1 fail and good repeat" totalsRowFunction="max" dataDxfId="209">
      <calculatedColumnFormula>Table5713[[#This Row],[Duration]]+Table5713[[#This Row],[Time]]+O7</calculatedColumnFormula>
    </tableColumn>
    <tableColumn id="16" xr3:uid="{00000000-0010-0000-0B00-000010000000}" name="Total Cost" dataDxfId="208"/>
    <tableColumn id="17" xr3:uid="{00000000-0010-0000-0B00-000011000000}" name="Reliability" dataDxfId="207" dataCellStyle="Percent">
      <calculatedColumnFormula>1-Table5713[[#This Row],[Fail Rate]]</calculatedColumnFormula>
    </tableColumn>
    <tableColumn id="18" xr3:uid="{00000000-0010-0000-0B00-000012000000}" name="Reliabilty to task" dataDxfId="206" dataCellStyle="Percent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35:I42" totalsRowShown="0" headerRowDxfId="205" dataDxfId="204">
  <autoFilter ref="A35:I42" xr:uid="{00000000-0009-0000-0100-00000F000000}"/>
  <tableColumns count="9">
    <tableColumn id="1" xr3:uid="{00000000-0010-0000-0C00-000001000000}" name="Task"/>
    <tableColumn id="2" xr3:uid="{00000000-0010-0000-0C00-000002000000}" name="Action"/>
    <tableColumn id="3" xr3:uid="{00000000-0010-0000-0C00-000003000000}" name="Duration(s)" dataDxfId="203"/>
    <tableColumn id="4" xr3:uid="{00000000-0010-0000-0C00-000004000000}" name="Total Duration" dataDxfId="202">
      <calculatedColumnFormula>C36+D35</calculatedColumnFormula>
    </tableColumn>
    <tableColumn id="5" xr3:uid="{00000000-0010-0000-0C00-000005000000}" name="Labour Task value" dataDxfId="201">
      <calculatedColumnFormula>C36*$A$5</calculatedColumnFormula>
    </tableColumn>
    <tableColumn id="6" xr3:uid="{00000000-0010-0000-0C00-000006000000}" name="Labour Total to Task" dataDxfId="200">
      <calculatedColumnFormula>E36+F35</calculatedColumnFormula>
    </tableColumn>
    <tableColumn id="7" xr3:uid="{00000000-0010-0000-0C00-000007000000}" name="Component ID"/>
    <tableColumn id="8" xr3:uid="{00000000-0010-0000-0C00-000008000000}" name="Component cost"/>
    <tableColumn id="9" xr3:uid="{00000000-0010-0000-0C00-000009000000}" name="Total Cost" dataDxfId="199">
      <calculatedColumnFormula>E36+H36+I35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45:I53" totalsRowShown="0" headerRowDxfId="198" dataDxfId="197">
  <autoFilter ref="A45:I53" xr:uid="{00000000-0009-0000-0100-000010000000}"/>
  <tableColumns count="9">
    <tableColumn id="1" xr3:uid="{00000000-0010-0000-0D00-000001000000}" name="Task"/>
    <tableColumn id="2" xr3:uid="{00000000-0010-0000-0D00-000002000000}" name="Action"/>
    <tableColumn id="3" xr3:uid="{00000000-0010-0000-0D00-000003000000}" name="Duration(s)" dataDxfId="196"/>
    <tableColumn id="4" xr3:uid="{00000000-0010-0000-0D00-000004000000}" name="Total Duration" dataDxfId="195">
      <calculatedColumnFormula>C46+D45</calculatedColumnFormula>
    </tableColumn>
    <tableColumn id="5" xr3:uid="{00000000-0010-0000-0D00-000005000000}" name="Labour Task value" dataDxfId="194">
      <calculatedColumnFormula>C46*$A$5</calculatedColumnFormula>
    </tableColumn>
    <tableColumn id="6" xr3:uid="{00000000-0010-0000-0D00-000006000000}" name="Labour Total to Task" dataDxfId="193">
      <calculatedColumnFormula>E46+F45</calculatedColumnFormula>
    </tableColumn>
    <tableColumn id="7" xr3:uid="{00000000-0010-0000-0D00-000007000000}" name="Component "/>
    <tableColumn id="8" xr3:uid="{00000000-0010-0000-0D00-000008000000}" name="Component cost"/>
    <tableColumn id="9" xr3:uid="{00000000-0010-0000-0D00-000009000000}" name="Total Cost" dataDxfId="192">
      <calculatedColumnFormula>E46+H46+I45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56:I59" totalsRowShown="0" headerRowDxfId="191" dataDxfId="190">
  <autoFilter ref="A56:I59" xr:uid="{00000000-0009-0000-0100-000011000000}"/>
  <tableColumns count="9">
    <tableColumn id="1" xr3:uid="{00000000-0010-0000-0E00-000001000000}" name="Task"/>
    <tableColumn id="2" xr3:uid="{00000000-0010-0000-0E00-000002000000}" name="Action"/>
    <tableColumn id="3" xr3:uid="{00000000-0010-0000-0E00-000003000000}" name="Duration(s)" dataDxfId="189"/>
    <tableColumn id="4" xr3:uid="{00000000-0010-0000-0E00-000004000000}" name="Total Duration" dataDxfId="188">
      <calculatedColumnFormula>C57+D56</calculatedColumnFormula>
    </tableColumn>
    <tableColumn id="5" xr3:uid="{00000000-0010-0000-0E00-000005000000}" name="Labour Task value" dataDxfId="187">
      <calculatedColumnFormula>C57*$A$5</calculatedColumnFormula>
    </tableColumn>
    <tableColumn id="6" xr3:uid="{00000000-0010-0000-0E00-000006000000}" name="Labour Total to Task" dataDxfId="186">
      <calculatedColumnFormula>E57+F56</calculatedColumnFormula>
    </tableColumn>
    <tableColumn id="7" xr3:uid="{00000000-0010-0000-0E00-000007000000}" name="Component "/>
    <tableColumn id="8" xr3:uid="{00000000-0010-0000-0E00-000008000000}" name="Component cost"/>
    <tableColumn id="9" xr3:uid="{00000000-0010-0000-0E00-000009000000}" name="Total Cost" dataDxfId="185">
      <calculatedColumnFormula>E57+H57+I56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62:I73" totalsRowShown="0" headerRowDxfId="184" dataDxfId="183">
  <autoFilter ref="A62:I73" xr:uid="{00000000-0009-0000-0100-000012000000}"/>
  <tableColumns count="9">
    <tableColumn id="1" xr3:uid="{00000000-0010-0000-0F00-000001000000}" name="Task"/>
    <tableColumn id="2" xr3:uid="{00000000-0010-0000-0F00-000002000000}" name="Action"/>
    <tableColumn id="3" xr3:uid="{00000000-0010-0000-0F00-000003000000}" name="Duration(s)" dataDxfId="182"/>
    <tableColumn id="4" xr3:uid="{00000000-0010-0000-0F00-000004000000}" name="Total Duration" dataDxfId="181">
      <calculatedColumnFormula>C63+D62</calculatedColumnFormula>
    </tableColumn>
    <tableColumn id="5" xr3:uid="{00000000-0010-0000-0F00-000005000000}" name="Labour Task value" dataDxfId="180">
      <calculatedColumnFormula>C63*$A$5</calculatedColumnFormula>
    </tableColumn>
    <tableColumn id="6" xr3:uid="{00000000-0010-0000-0F00-000006000000}" name="Labour Total to Task" dataDxfId="179">
      <calculatedColumnFormula>E63+F62</calculatedColumnFormula>
    </tableColumn>
    <tableColumn id="7" xr3:uid="{00000000-0010-0000-0F00-000007000000}" name="Component "/>
    <tableColumn id="8" xr3:uid="{00000000-0010-0000-0F00-000008000000}" name="Component cost"/>
    <tableColumn id="9" xr3:uid="{00000000-0010-0000-0F00-000009000000}" name="Total Cost" dataDxfId="178">
      <calculatedColumnFormula>E63+H63+I62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76:I85" totalsRowShown="0" headerRowDxfId="177" dataDxfId="176">
  <autoFilter ref="A76:I85" xr:uid="{00000000-0009-0000-0100-000013000000}"/>
  <tableColumns count="9">
    <tableColumn id="1" xr3:uid="{00000000-0010-0000-1000-000001000000}" name="Task"/>
    <tableColumn id="2" xr3:uid="{00000000-0010-0000-1000-000002000000}" name="Action"/>
    <tableColumn id="3" xr3:uid="{00000000-0010-0000-1000-000003000000}" name="Duration(s)" dataDxfId="175"/>
    <tableColumn id="4" xr3:uid="{00000000-0010-0000-1000-000004000000}" name="Total Duration" dataDxfId="174">
      <calculatedColumnFormula>C77+D76</calculatedColumnFormula>
    </tableColumn>
    <tableColumn id="5" xr3:uid="{00000000-0010-0000-1000-000005000000}" name="Labour Task value" dataDxfId="173">
      <calculatedColumnFormula>C77*$A$5</calculatedColumnFormula>
    </tableColumn>
    <tableColumn id="6" xr3:uid="{00000000-0010-0000-1000-000006000000}" name="Labour Total to Task" dataDxfId="172">
      <calculatedColumnFormula>E77+F76</calculatedColumnFormula>
    </tableColumn>
    <tableColumn id="7" xr3:uid="{00000000-0010-0000-1000-000007000000}" name="Component "/>
    <tableColumn id="8" xr3:uid="{00000000-0010-0000-1000-000008000000}" name="Component cost"/>
    <tableColumn id="9" xr3:uid="{00000000-0010-0000-1000-000009000000}" name="Total Cost" dataDxfId="171">
      <calculatedColumnFormula>E77+H77+I76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88:I97" totalsRowShown="0" headerRowDxfId="170" dataDxfId="169">
  <autoFilter ref="A88:I97" xr:uid="{00000000-0009-0000-0100-000014000000}"/>
  <tableColumns count="9">
    <tableColumn id="1" xr3:uid="{00000000-0010-0000-1100-000001000000}" name="Task"/>
    <tableColumn id="2" xr3:uid="{00000000-0010-0000-1100-000002000000}" name="Action"/>
    <tableColumn id="3" xr3:uid="{00000000-0010-0000-1100-000003000000}" name="Duration(s)" dataDxfId="168"/>
    <tableColumn id="4" xr3:uid="{00000000-0010-0000-1100-000004000000}" name="Total Duration" dataDxfId="167">
      <calculatedColumnFormula>C89+D88</calculatedColumnFormula>
    </tableColumn>
    <tableColumn id="5" xr3:uid="{00000000-0010-0000-1100-000005000000}" name="Labour Task value" dataDxfId="166">
      <calculatedColumnFormula>C89*$A$5</calculatedColumnFormula>
    </tableColumn>
    <tableColumn id="6" xr3:uid="{00000000-0010-0000-1100-000006000000}" name="Labour Total to Task" dataDxfId="165">
      <calculatedColumnFormula>E89+F88</calculatedColumnFormula>
    </tableColumn>
    <tableColumn id="7" xr3:uid="{00000000-0010-0000-1100-000007000000}" name="Component "/>
    <tableColumn id="8" xr3:uid="{00000000-0010-0000-1100-000008000000}" name="Component cost"/>
    <tableColumn id="9" xr3:uid="{00000000-0010-0000-1100-000009000000}" name="Total Cost" dataDxfId="164">
      <calculatedColumnFormula>E89+H89+I88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100:I108" totalsRowShown="0" headerRowDxfId="163" dataDxfId="162">
  <autoFilter ref="A100:I108" xr:uid="{00000000-0009-0000-0100-000015000000}"/>
  <tableColumns count="9">
    <tableColumn id="1" xr3:uid="{00000000-0010-0000-1200-000001000000}" name="Task"/>
    <tableColumn id="2" xr3:uid="{00000000-0010-0000-1200-000002000000}" name="Action"/>
    <tableColumn id="3" xr3:uid="{00000000-0010-0000-1200-000003000000}" name="Duration(s)" dataDxfId="161"/>
    <tableColumn id="4" xr3:uid="{00000000-0010-0000-1200-000004000000}" name="Total Duration" dataDxfId="160">
      <calculatedColumnFormula>C101+D100</calculatedColumnFormula>
    </tableColumn>
    <tableColumn id="5" xr3:uid="{00000000-0010-0000-1200-000005000000}" name="Labour Task value" dataDxfId="159">
      <calculatedColumnFormula>C101*$A$5</calculatedColumnFormula>
    </tableColumn>
    <tableColumn id="6" xr3:uid="{00000000-0010-0000-1200-000006000000}" name="Labour Total to Task" dataDxfId="158">
      <calculatedColumnFormula>E101+F100</calculatedColumnFormula>
    </tableColumn>
    <tableColumn id="7" xr3:uid="{00000000-0010-0000-1200-000007000000}" name="Component "/>
    <tableColumn id="8" xr3:uid="{00000000-0010-0000-1200-000008000000}" name="Component cost"/>
    <tableColumn id="9" xr3:uid="{00000000-0010-0000-1200-000009000000}" name="Total Cost" dataDxfId="157">
      <calculatedColumnFormula>E101+H101+I100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111:I114" totalsRowShown="0" headerRowDxfId="156" dataDxfId="155">
  <autoFilter ref="A111:I114" xr:uid="{00000000-0009-0000-0100-000016000000}"/>
  <tableColumns count="9">
    <tableColumn id="1" xr3:uid="{00000000-0010-0000-1300-000001000000}" name="Task"/>
    <tableColumn id="2" xr3:uid="{00000000-0010-0000-1300-000002000000}" name="Action"/>
    <tableColumn id="3" xr3:uid="{00000000-0010-0000-1300-000003000000}" name="Duration(s)" dataDxfId="154"/>
    <tableColumn id="4" xr3:uid="{00000000-0010-0000-1300-000004000000}" name="Total Duration" dataDxfId="153">
      <calculatedColumnFormula>C112+D111</calculatedColumnFormula>
    </tableColumn>
    <tableColumn id="5" xr3:uid="{00000000-0010-0000-1300-000005000000}" name="Labour Task value" dataDxfId="152">
      <calculatedColumnFormula>C112*$A$5</calculatedColumnFormula>
    </tableColumn>
    <tableColumn id="6" xr3:uid="{00000000-0010-0000-1300-000006000000}" name="Labour Total to Task" dataDxfId="151">
      <calculatedColumnFormula>E112+F111</calculatedColumnFormula>
    </tableColumn>
    <tableColumn id="7" xr3:uid="{00000000-0010-0000-1300-000007000000}" name="Component "/>
    <tableColumn id="8" xr3:uid="{00000000-0010-0000-1300-000008000000}" name="Component cost"/>
    <tableColumn id="9" xr3:uid="{00000000-0010-0000-1300-000009000000}" name="Total Cost" dataDxfId="150">
      <calculatedColumnFormula>E112+H112+I111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4000000}" name="Table525" displayName="Table525" ref="A16:I41" totalsRowCount="1" headerRowDxfId="149" dataDxfId="148" tableBorderDxfId="147">
  <autoFilter ref="A16:I40" xr:uid="{00000000-0009-0000-0100-000004000000}"/>
  <tableColumns count="9">
    <tableColumn id="1" xr3:uid="{00000000-0010-0000-1400-000001000000}" name="Task " totalsRowLabel="Total" dataDxfId="146" totalsRowDxfId="145"/>
    <tableColumn id="2" xr3:uid="{00000000-0010-0000-1400-000002000000}" name="Action" dataDxfId="144" totalsRowDxfId="143"/>
    <tableColumn id="3" xr3:uid="{00000000-0010-0000-1400-000003000000}" name="Duration" totalsRowFunction="sum" dataDxfId="142" totalsRowDxfId="141"/>
    <tableColumn id="4" xr3:uid="{00000000-0010-0000-1400-000004000000}" name="Duration to Task" dataDxfId="140" totalsRowDxfId="139"/>
    <tableColumn id="5" xr3:uid="{00000000-0010-0000-1400-000005000000}" name="Labour Task Value" totalsRowFunction="sum" dataDxfId="138" totalsRowDxfId="137">
      <calculatedColumnFormula>C17*$A$5</calculatedColumnFormula>
    </tableColumn>
    <tableColumn id="6" xr3:uid="{00000000-0010-0000-1400-000006000000}" name="Labour to task" dataDxfId="136" totalsRowDxfId="135"/>
    <tableColumn id="7" xr3:uid="{00000000-0010-0000-1400-000007000000}" name="Component" dataDxfId="134" totalsRowDxfId="133"/>
    <tableColumn id="8" xr3:uid="{00000000-0010-0000-1400-000008000000}" name="Component Cost" totalsRowFunction="sum" dataDxfId="132" totalsRowDxfId="131"/>
    <tableColumn id="9" xr3:uid="{00000000-0010-0000-1400-000009000000}" name="Total to Task" totalsRowFunction="max" dataDxfId="130" totalsRowDxfId="129">
      <calculatedColumnFormula>$E17+$H17+IF(ISNUMBER(I16),I16,0)</calculatedColumnFormula>
    </tableColumn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5000000}" name="Table5435" displayName="Table5435" ref="F8:G13" headerRowCount="0" totalsRowShown="0">
  <tableColumns count="2">
    <tableColumn id="1" xr3:uid="{00000000-0010-0000-1500-000001000000}" name="Column1" dataDxfId="128" dataCellStyle="Currency"/>
    <tableColumn id="2" xr3:uid="{00000000-0010-0000-1500-000002000000}" name="Column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6000000}" name="Table5436" displayName="Table5436" ref="A8:B13" headerRowCount="0" totalsRowShown="0">
  <tableColumns count="2">
    <tableColumn id="1" xr3:uid="{00000000-0010-0000-1600-000001000000}" name="Column1" dataDxfId="127" dataCellStyle="Currency"/>
    <tableColumn id="2" xr3:uid="{00000000-0010-0000-1600-000002000000}" name="Column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7000000}" name="Table571324" displayName="Table571324" ref="A7:R32" totalsRowCount="1" headerRowDxfId="126" dataDxfId="125" tableBorderDxfId="124">
  <autoFilter ref="A7:R31" xr:uid="{00000000-0009-0000-0100-000017000000}"/>
  <tableColumns count="18">
    <tableColumn id="1" xr3:uid="{00000000-0010-0000-1700-000001000000}" name="Task " totalsRowLabel="Total" dataDxfId="123" totalsRowDxfId="122"/>
    <tableColumn id="2" xr3:uid="{00000000-0010-0000-1700-000002000000}" name="Action" dataDxfId="121" totalsRowDxfId="120"/>
    <tableColumn id="3" xr3:uid="{00000000-0010-0000-1700-000003000000}" name="Duration" totalsRowFunction="sum" dataDxfId="119" totalsRowDxfId="118"/>
    <tableColumn id="4" xr3:uid="{00000000-0010-0000-1700-000004000000}" name="Duration to Task" dataDxfId="117" totalsRowDxfId="116"/>
    <tableColumn id="5" xr3:uid="{00000000-0010-0000-1700-000005000000}" name="Labour Task Value" totalsRowFunction="sum" dataDxfId="115" totalsRowDxfId="114">
      <calculatedColumnFormula>C8*$A$5</calculatedColumnFormula>
    </tableColumn>
    <tableColumn id="6" xr3:uid="{00000000-0010-0000-1700-000006000000}" name="Labour to task" dataDxfId="113" totalsRowDxfId="112"/>
    <tableColumn id="7" xr3:uid="{00000000-0010-0000-1700-000007000000}" name="Component" dataDxfId="111" totalsRowDxfId="110"/>
    <tableColumn id="8" xr3:uid="{00000000-0010-0000-1700-000008000000}" name="Component Cost" totalsRowFunction="sum" dataDxfId="109" totalsRowDxfId="108"/>
    <tableColumn id="9" xr3:uid="{00000000-0010-0000-1700-000009000000}" name="Total to Task" dataDxfId="107" totalsRowDxfId="106">
      <calculatedColumnFormula>$E8+$H8+IF(ISNUMBER(I7),I7,0)</calculatedColumnFormula>
    </tableColumn>
    <tableColumn id="10" xr3:uid="{00000000-0010-0000-1700-00000A000000}" name="Fail Rate" dataDxfId="105" totalsRowDxfId="104"/>
    <tableColumn id="11" xr3:uid="{00000000-0010-0000-1700-00000B000000}" name="Action to take" dataDxfId="103"/>
    <tableColumn id="12" xr3:uid="{00000000-0010-0000-1700-00000C000000}" name="Time" dataDxfId="102"/>
    <tableColumn id="13" xr3:uid="{00000000-0010-0000-1700-00000D000000}" name="Labour cost" dataDxfId="101" dataCellStyle="Currency"/>
    <tableColumn id="14" xr3:uid="{00000000-0010-0000-1700-00000E000000}" name="Component Cost2" dataDxfId="100"/>
    <tableColumn id="15" xr3:uid="{00000000-0010-0000-1700-00000F000000}" name="Total Time to task with 1 fail and good repeat" totalsRowFunction="max" dataDxfId="99">
      <calculatedColumnFormula>Table571324[[#This Row],[Duration]]+Table571324[[#This Row],[Time]]+IF(ISNUMBER(O7),O7,0)</calculatedColumnFormula>
    </tableColumn>
    <tableColumn id="16" xr3:uid="{00000000-0010-0000-1700-000010000000}" name="Total Cost" dataDxfId="98">
      <calculatedColumnFormula>Table571324[[#This Row],[Labour Task Value]]+Table571324[[#This Row],[Component Cost]]+Table571324[[#This Row],[Component Cost2]]+Table571324[[#This Row],[Labour cost]]+IF(ISNUMBER(P7),P7,0)</calculatedColumnFormula>
    </tableColumn>
    <tableColumn id="17" xr3:uid="{00000000-0010-0000-1700-000011000000}" name="Reliability" dataDxfId="97" dataCellStyle="Percent">
      <calculatedColumnFormula>1-Table571324[[#This Row],[Fail Rate]]</calculatedColumnFormula>
    </tableColumn>
    <tableColumn id="18" xr3:uid="{00000000-0010-0000-1700-000012000000}" name="Reliabilty to task" dataDxfId="96" dataCellStyle="Percent">
      <calculatedColumnFormula>IF(ISNUMBER(R7),Q8*R7, Q8)</calculatedColumnFormula>
    </tableColumn>
  </tableColumns>
  <tableStyleInfo name="TableStyleMedium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Table1525" displayName="Table1525" ref="A35:I42" totalsRowShown="0" headerRowDxfId="95" dataDxfId="94">
  <autoFilter ref="A35:I42" xr:uid="{00000000-0009-0000-0100-000018000000}"/>
  <tableColumns count="9">
    <tableColumn id="1" xr3:uid="{00000000-0010-0000-1800-000001000000}" name="Task"/>
    <tableColumn id="2" xr3:uid="{00000000-0010-0000-1800-000002000000}" name="Action"/>
    <tableColumn id="3" xr3:uid="{00000000-0010-0000-1800-000003000000}" name="Duration(s)" dataDxfId="93"/>
    <tableColumn id="4" xr3:uid="{00000000-0010-0000-1800-000004000000}" name="Total Duration" dataDxfId="92"/>
    <tableColumn id="5" xr3:uid="{00000000-0010-0000-1800-000005000000}" name="Labour Task value" dataDxfId="91">
      <calculatedColumnFormula>C36*$A$5</calculatedColumnFormula>
    </tableColumn>
    <tableColumn id="6" xr3:uid="{00000000-0010-0000-1800-000006000000}" name="Labour Total to Task" dataDxfId="90"/>
    <tableColumn id="7" xr3:uid="{00000000-0010-0000-1800-000007000000}" name="Component ID"/>
    <tableColumn id="8" xr3:uid="{00000000-0010-0000-1800-000008000000}" name="Component cost"/>
    <tableColumn id="9" xr3:uid="{00000000-0010-0000-1800-000009000000}" name="Total Cost" dataDxfId="8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Table1626" displayName="Table1626" ref="A45:I53" totalsRowShown="0" headerRowDxfId="88" dataDxfId="87">
  <autoFilter ref="A45:I53" xr:uid="{00000000-0009-0000-0100-000019000000}"/>
  <tableColumns count="9">
    <tableColumn id="1" xr3:uid="{00000000-0010-0000-1900-000001000000}" name="Task"/>
    <tableColumn id="2" xr3:uid="{00000000-0010-0000-1900-000002000000}" name="Action"/>
    <tableColumn id="3" xr3:uid="{00000000-0010-0000-1900-000003000000}" name="Duration(s)" dataDxfId="86"/>
    <tableColumn id="4" xr3:uid="{00000000-0010-0000-1900-000004000000}" name="Total Duration" dataDxfId="85"/>
    <tableColumn id="5" xr3:uid="{00000000-0010-0000-1900-000005000000}" name="Labour Task value" dataDxfId="84">
      <calculatedColumnFormula>C46*$A$5</calculatedColumnFormula>
    </tableColumn>
    <tableColumn id="6" xr3:uid="{00000000-0010-0000-1900-000006000000}" name="Labour Total to Task" dataDxfId="83"/>
    <tableColumn id="7" xr3:uid="{00000000-0010-0000-1900-000007000000}" name="Component "/>
    <tableColumn id="8" xr3:uid="{00000000-0010-0000-1900-000008000000}" name="Component cost"/>
    <tableColumn id="9" xr3:uid="{00000000-0010-0000-1900-000009000000}" name="Total Cost" dataDxfId="8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Table1727" displayName="Table1727" ref="A56:I59" totalsRowShown="0" headerRowDxfId="81" dataDxfId="80">
  <autoFilter ref="A56:I59" xr:uid="{00000000-0009-0000-0100-00001A000000}"/>
  <tableColumns count="9">
    <tableColumn id="1" xr3:uid="{00000000-0010-0000-1A00-000001000000}" name="Task"/>
    <tableColumn id="2" xr3:uid="{00000000-0010-0000-1A00-000002000000}" name="Action"/>
    <tableColumn id="3" xr3:uid="{00000000-0010-0000-1A00-000003000000}" name="Duration(s)" dataDxfId="79"/>
    <tableColumn id="4" xr3:uid="{00000000-0010-0000-1A00-000004000000}" name="Total Duration" dataDxfId="78"/>
    <tableColumn id="5" xr3:uid="{00000000-0010-0000-1A00-000005000000}" name="Labour Task value" dataDxfId="77">
      <calculatedColumnFormula>C57*$A$5</calculatedColumnFormula>
    </tableColumn>
    <tableColumn id="6" xr3:uid="{00000000-0010-0000-1A00-000006000000}" name="Labour Total to Task" dataDxfId="76"/>
    <tableColumn id="7" xr3:uid="{00000000-0010-0000-1A00-000007000000}" name="Component "/>
    <tableColumn id="8" xr3:uid="{00000000-0010-0000-1A00-000008000000}" name="Component cost"/>
    <tableColumn id="9" xr3:uid="{00000000-0010-0000-1A00-000009000000}" name="Total Cost" dataDxfId="7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Table1832" displayName="Table1832" ref="A62:I73" totalsRowShown="0" headerRowDxfId="74" dataDxfId="73">
  <autoFilter ref="A62:I73" xr:uid="{00000000-0009-0000-0100-00001F000000}"/>
  <tableColumns count="9">
    <tableColumn id="1" xr3:uid="{00000000-0010-0000-1B00-000001000000}" name="Task"/>
    <tableColumn id="2" xr3:uid="{00000000-0010-0000-1B00-000002000000}" name="Action"/>
    <tableColumn id="3" xr3:uid="{00000000-0010-0000-1B00-000003000000}" name="Duration(s)" dataDxfId="72"/>
    <tableColumn id="4" xr3:uid="{00000000-0010-0000-1B00-000004000000}" name="Total Duration" dataDxfId="71">
      <calculatedColumnFormula>C63+D62</calculatedColumnFormula>
    </tableColumn>
    <tableColumn id="5" xr3:uid="{00000000-0010-0000-1B00-000005000000}" name="Labour Task value" dataDxfId="70">
      <calculatedColumnFormula>C63*$A$5</calculatedColumnFormula>
    </tableColumn>
    <tableColumn id="6" xr3:uid="{00000000-0010-0000-1B00-000006000000}" name="Labour Total to Task" dataDxfId="69">
      <calculatedColumnFormula>E63+F62</calculatedColumnFormula>
    </tableColumn>
    <tableColumn id="7" xr3:uid="{00000000-0010-0000-1B00-000007000000}" name="Component "/>
    <tableColumn id="8" xr3:uid="{00000000-0010-0000-1B00-000008000000}" name="Component cost"/>
    <tableColumn id="9" xr3:uid="{00000000-0010-0000-1B00-000009000000}" name="Total Cost" dataDxfId="68">
      <calculatedColumnFormula>E63+H63+I62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C000000}" name="Table1933" displayName="Table1933" ref="A76:I85" totalsRowShown="0" headerRowDxfId="67" dataDxfId="66">
  <autoFilter ref="A76:I85" xr:uid="{00000000-0009-0000-0100-000020000000}"/>
  <tableColumns count="9">
    <tableColumn id="1" xr3:uid="{00000000-0010-0000-1C00-000001000000}" name="Task"/>
    <tableColumn id="2" xr3:uid="{00000000-0010-0000-1C00-000002000000}" name="Action"/>
    <tableColumn id="3" xr3:uid="{00000000-0010-0000-1C00-000003000000}" name="Duration(s)" dataDxfId="65"/>
    <tableColumn id="4" xr3:uid="{00000000-0010-0000-1C00-000004000000}" name="Total Duration" dataDxfId="64">
      <calculatedColumnFormula>C77+D76</calculatedColumnFormula>
    </tableColumn>
    <tableColumn id="5" xr3:uid="{00000000-0010-0000-1C00-000005000000}" name="Labour Task value" dataDxfId="63">
      <calculatedColumnFormula>C77*$A$5</calculatedColumnFormula>
    </tableColumn>
    <tableColumn id="6" xr3:uid="{00000000-0010-0000-1C00-000006000000}" name="Labour Total to Task" dataDxfId="62">
      <calculatedColumnFormula>E77+F76</calculatedColumnFormula>
    </tableColumn>
    <tableColumn id="7" xr3:uid="{00000000-0010-0000-1C00-000007000000}" name="Component "/>
    <tableColumn id="8" xr3:uid="{00000000-0010-0000-1C00-000008000000}" name="Component cost"/>
    <tableColumn id="9" xr3:uid="{00000000-0010-0000-1C00-000009000000}" name="Total Cost" dataDxfId="61">
      <calculatedColumnFormula>E77+H77+I76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D000000}" name="Table2034" displayName="Table2034" ref="A88:I97" totalsRowShown="0" headerRowDxfId="60" dataDxfId="59">
  <autoFilter ref="A88:I97" xr:uid="{00000000-0009-0000-0100-000021000000}"/>
  <tableColumns count="9">
    <tableColumn id="1" xr3:uid="{00000000-0010-0000-1D00-000001000000}" name="Task"/>
    <tableColumn id="2" xr3:uid="{00000000-0010-0000-1D00-000002000000}" name="Action"/>
    <tableColumn id="3" xr3:uid="{00000000-0010-0000-1D00-000003000000}" name="Duration(s)" dataDxfId="58"/>
    <tableColumn id="4" xr3:uid="{00000000-0010-0000-1D00-000004000000}" name="Total Duration" dataDxfId="57">
      <calculatedColumnFormula>C89+D88</calculatedColumnFormula>
    </tableColumn>
    <tableColumn id="5" xr3:uid="{00000000-0010-0000-1D00-000005000000}" name="Labour Task value" dataDxfId="56">
      <calculatedColumnFormula>C89*$A$5</calculatedColumnFormula>
    </tableColumn>
    <tableColumn id="6" xr3:uid="{00000000-0010-0000-1D00-000006000000}" name="Labour Total to Task" dataDxfId="55">
      <calculatedColumnFormula>E89+F88</calculatedColumnFormula>
    </tableColumn>
    <tableColumn id="7" xr3:uid="{00000000-0010-0000-1D00-000007000000}" name="Component "/>
    <tableColumn id="8" xr3:uid="{00000000-0010-0000-1D00-000008000000}" name="Component cost"/>
    <tableColumn id="9" xr3:uid="{00000000-0010-0000-1D00-000009000000}" name="Total Cost" dataDxfId="54">
      <calculatedColumnFormula>E89+H89+I88</calculatedColumnFormula>
    </tableColumn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E000000}" name="Table2135" displayName="Table2135" ref="A100:I108" totalsRowShown="0" headerRowDxfId="53" dataDxfId="52">
  <autoFilter ref="A100:I108" xr:uid="{00000000-0009-0000-0100-000022000000}"/>
  <tableColumns count="9">
    <tableColumn id="1" xr3:uid="{00000000-0010-0000-1E00-000001000000}" name="Task"/>
    <tableColumn id="2" xr3:uid="{00000000-0010-0000-1E00-000002000000}" name="Action"/>
    <tableColumn id="3" xr3:uid="{00000000-0010-0000-1E00-000003000000}" name="Duration(s)" dataDxfId="51"/>
    <tableColumn id="4" xr3:uid="{00000000-0010-0000-1E00-000004000000}" name="Total Duration" dataDxfId="50">
      <calculatedColumnFormula>C101+D100</calculatedColumnFormula>
    </tableColumn>
    <tableColumn id="5" xr3:uid="{00000000-0010-0000-1E00-000005000000}" name="Labour Task value" dataDxfId="49">
      <calculatedColumnFormula>C101*$A$5</calculatedColumnFormula>
    </tableColumn>
    <tableColumn id="6" xr3:uid="{00000000-0010-0000-1E00-000006000000}" name="Labour Total to Task" dataDxfId="48">
      <calculatedColumnFormula>E101+F100</calculatedColumnFormula>
    </tableColumn>
    <tableColumn id="7" xr3:uid="{00000000-0010-0000-1E00-000007000000}" name="Component "/>
    <tableColumn id="8" xr3:uid="{00000000-0010-0000-1E00-000008000000}" name="Component cost"/>
    <tableColumn id="9" xr3:uid="{00000000-0010-0000-1E00-000009000000}" name="Total Cost" dataDxfId="47">
      <calculatedColumnFormula>E101+H101+I100</calculatedColumnFormula>
    </tableColumn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F000000}" name="Table2236" displayName="Table2236" ref="A111:I114" totalsRowShown="0" headerRowDxfId="46" dataDxfId="45">
  <autoFilter ref="A111:I114" xr:uid="{00000000-0009-0000-0100-000023000000}"/>
  <tableColumns count="9">
    <tableColumn id="1" xr3:uid="{00000000-0010-0000-1F00-000001000000}" name="Task"/>
    <tableColumn id="2" xr3:uid="{00000000-0010-0000-1F00-000002000000}" name="Action"/>
    <tableColumn id="3" xr3:uid="{00000000-0010-0000-1F00-000003000000}" name="Duration(s)" dataDxfId="44"/>
    <tableColumn id="4" xr3:uid="{00000000-0010-0000-1F00-000004000000}" name="Total Duration" dataDxfId="43">
      <calculatedColumnFormula>C112+D111</calculatedColumnFormula>
    </tableColumn>
    <tableColumn id="5" xr3:uid="{00000000-0010-0000-1F00-000005000000}" name="Labour Task value" dataDxfId="42">
      <calculatedColumnFormula>C112*$A$5</calculatedColumnFormula>
    </tableColumn>
    <tableColumn id="6" xr3:uid="{00000000-0010-0000-1F00-000006000000}" name="Labour Total to Task" dataDxfId="41">
      <calculatedColumnFormula>E112+F111</calculatedColumnFormula>
    </tableColumn>
    <tableColumn id="7" xr3:uid="{00000000-0010-0000-1F00-000007000000}" name="Component "/>
    <tableColumn id="8" xr3:uid="{00000000-0010-0000-1F00-000008000000}" name="Component cost"/>
    <tableColumn id="9" xr3:uid="{00000000-0010-0000-1F00-000009000000}" name="Total Cost" dataDxfId="40">
      <calculatedColumnFormula>E112+H112+I111</calculatedColumnFormula>
    </tableColumn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0000000}" name="Table61" displayName="Table61" ref="A3:E5" totalsRowShown="0">
  <autoFilter ref="A3:E5" xr:uid="{00000000-0009-0000-0100-000024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2000-000001000000}" name="Checkpoints"/>
    <tableColumn id="2" xr3:uid="{00000000-0010-0000-2000-000002000000}" name="Sunny Day_x000a_As Is"/>
    <tableColumn id="3" xr3:uid="{00000000-0010-0000-2000-000003000000}" name="Sunny Day_x000a_To Be"/>
    <tableColumn id="4" xr3:uid="{00000000-0010-0000-2000-000004000000}" name="Rainy Day_x000a_AS IS"/>
    <tableColumn id="5" xr3:uid="{00000000-0010-0000-2000-000005000000}" name="Rainy Day_x000a_To B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21000000}" name="Table3" displayName="Table3" ref="A7:I22" totalsRowCount="1">
  <autoFilter ref="A7:I2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100-000001000000}" name="Starting Point" totalsRowLabel="Total"/>
    <tableColumn id="2" xr3:uid="{00000000-0010-0000-2100-000002000000}" name="Ending point"/>
    <tableColumn id="7" xr3:uid="{00000000-0010-0000-2100-000007000000}" name="Location" dataDxfId="39">
      <calculatedColumnFormula>VLOOKUP(Table3[[#This Row],[Ending point]],Table114[[#Headers],[#Data]],Table114[[#Headers],[Location AS-IS]])</calculatedColumnFormula>
    </tableColumn>
    <tableColumn id="3" xr3:uid="{00000000-0010-0000-2100-000003000000}" name="Distance (metres)" totalsRowFunction="sum"/>
    <tableColumn id="4" xr3:uid="{00000000-0010-0000-2100-000004000000}" name="Minutes Min" totalsRowFunction="sum" dataDxfId="38" totalsRowDxfId="37">
      <calculatedColumnFormula>Table3[[#This Row],[Distance (metres)]]/$B$2</calculatedColumnFormula>
    </tableColumn>
    <tableColumn id="5" xr3:uid="{00000000-0010-0000-2100-000005000000}" name="Minutes Max" totalsRowFunction="sum" dataDxfId="36" totalsRowDxfId="35">
      <calculatedColumnFormula>Table3[[#This Row],[Distance (metres)]]/$B$3</calculatedColumnFormula>
    </tableColumn>
    <tableColumn id="6" xr3:uid="{00000000-0010-0000-2100-000006000000}" name="Minutes Avg" totalsRowFunction="sum" dataDxfId="34" totalsRowDxfId="33">
      <calculatedColumnFormula>(Table3[[#This Row],[Minutes Min]]+Table3[[#This Row],[Minutes Max]])/2</calculatedColumnFormula>
    </tableColumn>
    <tableColumn id="8" xr3:uid="{00000000-0010-0000-2100-000008000000}" name="Pick Up Action" totalsRowFunction="sum" dataDxfId="32" totalsRowDxfId="31">
      <calculatedColumnFormula>IF(Table3[[#This Row],[Location]]="",0,$B$4/60)</calculatedColumnFormula>
    </tableColumn>
    <tableColumn id="9" xr3:uid="{00000000-0010-0000-2100-000009000000}" name="Total avg Time" totalsRowFunction="sum" dataDxfId="30">
      <calculatedColumnFormula>Table3[[#This Row],[Minutes Avg]]+Table3[[#This Row],[Pick Up Action]]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22000000}" name="Table55" displayName="Table55" ref="A7:I21" totalsRowCount="1">
  <autoFilter ref="A7:I20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200-000001000000}" name="Starting Point" totalsRowLabel="Total" dataDxfId="29"/>
    <tableColumn id="2" xr3:uid="{00000000-0010-0000-2200-000002000000}" name="Ending point"/>
    <tableColumn id="7" xr3:uid="{00000000-0010-0000-2200-000007000000}" name="Location" dataDxfId="28">
      <calculatedColumnFormula>IFERROR(VLOOKUP(Table55[[#This Row],[Ending point]],Table114[],12,FALSE),"")</calculatedColumnFormula>
    </tableColumn>
    <tableColumn id="3" xr3:uid="{00000000-0010-0000-2200-000003000000}" name="Distance (metres)" totalsRowFunction="sum" dataDxfId="27"/>
    <tableColumn id="4" xr3:uid="{00000000-0010-0000-2200-000004000000}" name="Minutes Min" totalsRowFunction="sum" dataDxfId="26" totalsRowDxfId="25">
      <calculatedColumnFormula>D8/$B$2</calculatedColumnFormula>
    </tableColumn>
    <tableColumn id="5" xr3:uid="{00000000-0010-0000-2200-000005000000}" name="Minutes Max" totalsRowFunction="sum" dataDxfId="24" totalsRowDxfId="23">
      <calculatedColumnFormula>D8/$B$3</calculatedColumnFormula>
    </tableColumn>
    <tableColumn id="6" xr3:uid="{00000000-0010-0000-2200-000006000000}" name="Minutes Avg" totalsRowFunction="sum" dataDxfId="22" totalsRowDxfId="21">
      <calculatedColumnFormula>E8+F8/2</calculatedColumnFormula>
    </tableColumn>
    <tableColumn id="8" xr3:uid="{00000000-0010-0000-2200-000008000000}" name="Pick Up Action" totalsRowFunction="sum" dataDxfId="20" totalsRowDxfId="19">
      <calculatedColumnFormula>IF(Table55[[#This Row],[Location]]="",0,$B$4/60)</calculatedColumnFormula>
    </tableColumn>
    <tableColumn id="9" xr3:uid="{00000000-0010-0000-2200-000009000000}" name="Total avg Time" totalsRowFunction="sum" dataDxfId="18" totalsRowDxfId="17">
      <calculatedColumnFormula>Table55[[#This Row],[Minutes Avg]]+Table55[[#This Row],[Pick Up Action]]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23000000}" name="Table559" displayName="Table559" ref="A30:I44" totalsRowCount="1">
  <autoFilter ref="A30:I43" xr:uid="{00000000-0009-0000-0100-000008000000}"/>
  <tableColumns count="9">
    <tableColumn id="1" xr3:uid="{00000000-0010-0000-2300-000001000000}" name="Starting Point" totalsRowLabel="Total" dataDxfId="16"/>
    <tableColumn id="2" xr3:uid="{00000000-0010-0000-2300-000002000000}" name="Ending point"/>
    <tableColumn id="7" xr3:uid="{00000000-0010-0000-2300-000007000000}" name="Location" dataDxfId="15">
      <calculatedColumnFormula>IFERROR(VLOOKUP(Table559[[#This Row],[Ending point]],Table114[],12,FALSE),"")</calculatedColumnFormula>
    </tableColumn>
    <tableColumn id="3" xr3:uid="{00000000-0010-0000-2300-000003000000}" name="Distance (metres)" totalsRowFunction="sum" dataDxfId="14" totalsRowDxfId="13"/>
    <tableColumn id="4" xr3:uid="{00000000-0010-0000-2300-000004000000}" name="Minutes Min" totalsRowFunction="sum" dataDxfId="12" totalsRowDxfId="11">
      <calculatedColumnFormula>D31/$B$2</calculatedColumnFormula>
    </tableColumn>
    <tableColumn id="5" xr3:uid="{00000000-0010-0000-2300-000005000000}" name="Minutes Max" totalsRowFunction="sum" dataDxfId="10" totalsRowDxfId="9">
      <calculatedColumnFormula>D31/$B$3</calculatedColumnFormula>
    </tableColumn>
    <tableColumn id="6" xr3:uid="{00000000-0010-0000-2300-000006000000}" name="Minutes Avg" totalsRowFunction="sum" dataDxfId="8" totalsRowDxfId="7">
      <calculatedColumnFormula>E31+F31/2</calculatedColumnFormula>
    </tableColumn>
    <tableColumn id="8" xr3:uid="{00000000-0010-0000-2300-000008000000}" name="Pick Up Action" totalsRowFunction="sum" dataDxfId="6" totalsRowDxfId="5">
      <calculatedColumnFormula>IF(Table559[[#This Row],[Location]]="",0,$B$4/60)</calculatedColumnFormula>
    </tableColumn>
    <tableColumn id="9" xr3:uid="{00000000-0010-0000-2300-000009000000}" name="Total avg Time" totalsRowFunction="sum" dataDxfId="4" totalsRowDxfId="3">
      <calculatedColumnFormula>Table559[[#This Row],[Minutes Avg]]+Table559[[#This Row],[Pick Up Action]]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drawing" Target="../drawings/drawing3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drawing" Target="../drawings/drawing4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6"/>
  <sheetViews>
    <sheetView tabSelected="1" zoomScaleNormal="100" workbookViewId="0">
      <selection activeCell="G26" sqref="G26"/>
    </sheetView>
  </sheetViews>
  <sheetFormatPr defaultRowHeight="15" x14ac:dyDescent="0.25"/>
  <cols>
    <col min="1" max="1" width="9.42578125" customWidth="1"/>
    <col min="2" max="2" width="14.5703125" customWidth="1"/>
    <col min="3" max="3" width="12.140625" bestFit="1" customWidth="1"/>
    <col min="4" max="4" width="77.42578125" bestFit="1" customWidth="1"/>
    <col min="6" max="6" width="7.7109375" style="41" customWidth="1"/>
    <col min="7" max="7" width="19" bestFit="1" customWidth="1"/>
    <col min="8" max="8" width="77" customWidth="1"/>
  </cols>
  <sheetData>
    <row r="1" spans="1:8" ht="36" x14ac:dyDescent="0.55000000000000004">
      <c r="A1" s="8" t="s">
        <v>448</v>
      </c>
    </row>
    <row r="2" spans="1:8" s="41" customFormat="1" x14ac:dyDescent="0.25">
      <c r="A2" s="127" t="s">
        <v>442</v>
      </c>
      <c r="B2" s="41" t="s">
        <v>443</v>
      </c>
      <c r="C2" s="41" t="s">
        <v>444</v>
      </c>
      <c r="D2" s="41" t="s">
        <v>445</v>
      </c>
    </row>
    <row r="3" spans="1:8" s="41" customFormat="1" x14ac:dyDescent="0.25"/>
    <row r="4" spans="1:8" s="41" customFormat="1" x14ac:dyDescent="0.25"/>
    <row r="5" spans="1:8" x14ac:dyDescent="0.25">
      <c r="A5" s="127" t="s">
        <v>411</v>
      </c>
      <c r="F5" s="127" t="s">
        <v>441</v>
      </c>
    </row>
    <row r="6" spans="1:8" x14ac:dyDescent="0.25">
      <c r="A6" t="s">
        <v>97</v>
      </c>
      <c r="B6" t="s">
        <v>1</v>
      </c>
      <c r="C6" t="s">
        <v>0</v>
      </c>
      <c r="D6" t="s">
        <v>75</v>
      </c>
      <c r="F6" s="41" t="s">
        <v>423</v>
      </c>
      <c r="G6" t="s">
        <v>410</v>
      </c>
      <c r="H6" t="s">
        <v>75</v>
      </c>
    </row>
    <row r="7" spans="1:8" x14ac:dyDescent="0.25">
      <c r="A7" s="34">
        <v>1</v>
      </c>
      <c r="B7" s="38">
        <v>43924</v>
      </c>
      <c r="C7" t="s">
        <v>29</v>
      </c>
      <c r="D7" t="s">
        <v>101</v>
      </c>
      <c r="F7" s="41">
        <v>1</v>
      </c>
      <c r="G7" t="s">
        <v>449</v>
      </c>
      <c r="H7" t="s">
        <v>424</v>
      </c>
    </row>
    <row r="8" spans="1:8" s="35" customFormat="1" x14ac:dyDescent="0.25">
      <c r="A8" s="34">
        <v>1.01</v>
      </c>
      <c r="B8" s="38">
        <v>43924</v>
      </c>
      <c r="C8" s="35" t="s">
        <v>29</v>
      </c>
      <c r="D8" s="35" t="s">
        <v>100</v>
      </c>
      <c r="F8" s="41">
        <v>2</v>
      </c>
      <c r="G8" s="35" t="s">
        <v>412</v>
      </c>
      <c r="H8" s="35" t="s">
        <v>425</v>
      </c>
    </row>
    <row r="9" spans="1:8" x14ac:dyDescent="0.25">
      <c r="A9" s="34">
        <v>1.02</v>
      </c>
      <c r="B9" s="38">
        <v>43929</v>
      </c>
      <c r="C9" t="s">
        <v>98</v>
      </c>
      <c r="D9" t="s">
        <v>103</v>
      </c>
      <c r="F9" s="41">
        <v>3</v>
      </c>
      <c r="G9" t="s">
        <v>413</v>
      </c>
      <c r="H9" t="s">
        <v>426</v>
      </c>
    </row>
    <row r="10" spans="1:8" s="35" customFormat="1" x14ac:dyDescent="0.25">
      <c r="A10" s="34">
        <v>1.03</v>
      </c>
      <c r="B10" s="38">
        <v>43929</v>
      </c>
      <c r="C10" s="35" t="s">
        <v>29</v>
      </c>
      <c r="D10" s="35" t="s">
        <v>106</v>
      </c>
      <c r="F10" s="41">
        <v>4</v>
      </c>
      <c r="G10" s="35" t="s">
        <v>27</v>
      </c>
      <c r="H10" s="35" t="s">
        <v>427</v>
      </c>
    </row>
    <row r="11" spans="1:8" x14ac:dyDescent="0.25">
      <c r="A11" s="34">
        <v>1.04</v>
      </c>
      <c r="B11" s="38">
        <v>43929</v>
      </c>
      <c r="C11" t="s">
        <v>99</v>
      </c>
      <c r="D11" t="s">
        <v>104</v>
      </c>
      <c r="F11" s="41">
        <v>5</v>
      </c>
      <c r="G11" t="s">
        <v>294</v>
      </c>
      <c r="H11" t="s">
        <v>428</v>
      </c>
    </row>
    <row r="12" spans="1:8" x14ac:dyDescent="0.25">
      <c r="A12" s="34">
        <v>1.05</v>
      </c>
      <c r="B12" s="38">
        <v>43929</v>
      </c>
      <c r="C12" s="35" t="s">
        <v>99</v>
      </c>
      <c r="D12" t="s">
        <v>102</v>
      </c>
      <c r="F12" s="41">
        <v>6</v>
      </c>
      <c r="G12" t="s">
        <v>358</v>
      </c>
      <c r="H12" t="s">
        <v>429</v>
      </c>
    </row>
    <row r="13" spans="1:8" x14ac:dyDescent="0.25">
      <c r="A13" s="34">
        <v>1.06</v>
      </c>
      <c r="B13" s="38">
        <v>43929</v>
      </c>
      <c r="C13" s="35" t="s">
        <v>29</v>
      </c>
      <c r="D13" t="s">
        <v>105</v>
      </c>
      <c r="F13" s="41">
        <v>7</v>
      </c>
      <c r="G13" t="s">
        <v>414</v>
      </c>
      <c r="H13" t="s">
        <v>430</v>
      </c>
    </row>
    <row r="14" spans="1:8" s="39" customFormat="1" x14ac:dyDescent="0.25">
      <c r="A14" s="34">
        <v>1.07</v>
      </c>
      <c r="B14" s="38">
        <v>43931</v>
      </c>
      <c r="C14" s="39" t="s">
        <v>29</v>
      </c>
      <c r="D14" s="39" t="s">
        <v>144</v>
      </c>
      <c r="F14" s="41">
        <v>8</v>
      </c>
      <c r="G14" s="39" t="s">
        <v>296</v>
      </c>
      <c r="H14" s="41" t="s">
        <v>431</v>
      </c>
    </row>
    <row r="15" spans="1:8" x14ac:dyDescent="0.25">
      <c r="A15" s="34">
        <v>1.08</v>
      </c>
      <c r="B15" s="38">
        <v>43931</v>
      </c>
      <c r="C15" s="39" t="s">
        <v>29</v>
      </c>
      <c r="D15" t="s">
        <v>143</v>
      </c>
      <c r="F15" s="41">
        <v>9</v>
      </c>
      <c r="G15" t="s">
        <v>194</v>
      </c>
      <c r="H15" t="s">
        <v>432</v>
      </c>
    </row>
    <row r="16" spans="1:8" x14ac:dyDescent="0.25">
      <c r="A16" s="34">
        <v>1.0900000000000001</v>
      </c>
      <c r="B16" s="38">
        <v>43932</v>
      </c>
      <c r="C16" s="41" t="s">
        <v>98</v>
      </c>
      <c r="D16" s="41" t="s">
        <v>185</v>
      </c>
      <c r="F16" s="41">
        <v>10</v>
      </c>
      <c r="G16" t="s">
        <v>415</v>
      </c>
      <c r="H16" t="s">
        <v>434</v>
      </c>
    </row>
    <row r="17" spans="1:8" x14ac:dyDescent="0.25">
      <c r="A17" s="34">
        <v>1.1000000000000001</v>
      </c>
      <c r="B17" s="38">
        <v>43932</v>
      </c>
      <c r="C17" s="41" t="s">
        <v>98</v>
      </c>
      <c r="D17" s="41" t="s">
        <v>186</v>
      </c>
      <c r="F17" s="41">
        <v>11</v>
      </c>
      <c r="G17" t="s">
        <v>416</v>
      </c>
      <c r="H17" s="41" t="s">
        <v>433</v>
      </c>
    </row>
    <row r="18" spans="1:8" x14ac:dyDescent="0.25">
      <c r="A18" s="34">
        <v>1.1100000000000001</v>
      </c>
      <c r="B18" s="38">
        <v>43932</v>
      </c>
      <c r="C18" s="41" t="s">
        <v>98</v>
      </c>
      <c r="D18" s="41" t="s">
        <v>187</v>
      </c>
      <c r="F18" s="41">
        <v>12</v>
      </c>
      <c r="G18" t="s">
        <v>417</v>
      </c>
      <c r="H18" s="41" t="s">
        <v>435</v>
      </c>
    </row>
    <row r="19" spans="1:8" x14ac:dyDescent="0.25">
      <c r="A19" s="34">
        <v>1.1200000000000001</v>
      </c>
      <c r="B19" s="38">
        <v>43933</v>
      </c>
      <c r="C19" s="41" t="s">
        <v>29</v>
      </c>
      <c r="D19" t="s">
        <v>284</v>
      </c>
      <c r="F19" s="41">
        <v>13</v>
      </c>
      <c r="G19" t="s">
        <v>418</v>
      </c>
      <c r="H19" s="41" t="s">
        <v>436</v>
      </c>
    </row>
    <row r="20" spans="1:8" x14ac:dyDescent="0.25">
      <c r="A20" s="34">
        <v>1.1299999999999999</v>
      </c>
      <c r="B20" s="38">
        <v>43934</v>
      </c>
      <c r="C20" s="41" t="s">
        <v>99</v>
      </c>
      <c r="D20" t="s">
        <v>314</v>
      </c>
      <c r="F20" s="41">
        <v>14</v>
      </c>
      <c r="G20" t="s">
        <v>419</v>
      </c>
      <c r="H20" t="s">
        <v>437</v>
      </c>
    </row>
    <row r="21" spans="1:8" x14ac:dyDescent="0.25">
      <c r="A21" s="34">
        <v>1.1399999999999999</v>
      </c>
      <c r="B21" s="38">
        <v>43934</v>
      </c>
      <c r="C21" s="41" t="s">
        <v>99</v>
      </c>
      <c r="D21" t="s">
        <v>315</v>
      </c>
      <c r="F21" s="41">
        <v>15</v>
      </c>
      <c r="G21" t="s">
        <v>420</v>
      </c>
      <c r="H21" t="s">
        <v>438</v>
      </c>
    </row>
    <row r="22" spans="1:8" x14ac:dyDescent="0.25">
      <c r="A22" s="34">
        <v>1.1499999999999999</v>
      </c>
      <c r="B22" s="38">
        <v>43936</v>
      </c>
      <c r="C22" s="41" t="s">
        <v>99</v>
      </c>
      <c r="D22" t="s">
        <v>324</v>
      </c>
      <c r="F22" s="41">
        <v>16</v>
      </c>
      <c r="G22" t="s">
        <v>421</v>
      </c>
      <c r="H22" s="41" t="s">
        <v>439</v>
      </c>
    </row>
    <row r="23" spans="1:8" s="41" customFormat="1" x14ac:dyDescent="0.25">
      <c r="A23" s="34">
        <v>1.1599999999999999</v>
      </c>
      <c r="B23" s="38">
        <v>43936</v>
      </c>
      <c r="C23" s="41" t="s">
        <v>29</v>
      </c>
      <c r="D23" s="41" t="s">
        <v>354</v>
      </c>
      <c r="F23" s="41">
        <v>17</v>
      </c>
      <c r="G23" s="41" t="s">
        <v>422</v>
      </c>
      <c r="H23" s="41" t="s">
        <v>440</v>
      </c>
    </row>
    <row r="24" spans="1:8" x14ac:dyDescent="0.25">
      <c r="A24" s="34">
        <v>1.17</v>
      </c>
      <c r="B24" s="38">
        <v>43937</v>
      </c>
      <c r="C24" s="41" t="s">
        <v>29</v>
      </c>
      <c r="D24" t="s">
        <v>350</v>
      </c>
    </row>
    <row r="25" spans="1:8" x14ac:dyDescent="0.25">
      <c r="A25" s="34">
        <v>1.18</v>
      </c>
      <c r="B25" s="38">
        <v>43937</v>
      </c>
      <c r="C25" s="41" t="s">
        <v>29</v>
      </c>
      <c r="D25" t="s">
        <v>357</v>
      </c>
    </row>
    <row r="26" spans="1:8" x14ac:dyDescent="0.25">
      <c r="A26" s="34">
        <v>1.19</v>
      </c>
      <c r="B26" s="38">
        <v>43937</v>
      </c>
      <c r="C26" s="41" t="s">
        <v>98</v>
      </c>
      <c r="D26" s="41" t="s">
        <v>362</v>
      </c>
    </row>
    <row r="27" spans="1:8" x14ac:dyDescent="0.25">
      <c r="A27" s="34">
        <v>1.2</v>
      </c>
      <c r="B27" s="38">
        <v>43937</v>
      </c>
      <c r="C27" s="41" t="s">
        <v>98</v>
      </c>
      <c r="D27" s="41" t="s">
        <v>363</v>
      </c>
    </row>
    <row r="28" spans="1:8" x14ac:dyDescent="0.25">
      <c r="A28" s="34">
        <v>1.21</v>
      </c>
      <c r="B28" s="38">
        <v>43937</v>
      </c>
      <c r="C28" s="41" t="s">
        <v>99</v>
      </c>
      <c r="D28" t="s">
        <v>379</v>
      </c>
    </row>
    <row r="29" spans="1:8" x14ac:dyDescent="0.25">
      <c r="A29" s="34">
        <v>1.22</v>
      </c>
      <c r="B29" s="38">
        <v>43938</v>
      </c>
      <c r="C29" s="41" t="s">
        <v>29</v>
      </c>
      <c r="D29" t="s">
        <v>391</v>
      </c>
    </row>
    <row r="30" spans="1:8" x14ac:dyDescent="0.25">
      <c r="A30" s="34">
        <v>1.23</v>
      </c>
      <c r="B30" s="38">
        <v>43938</v>
      </c>
      <c r="C30" s="41" t="s">
        <v>98</v>
      </c>
      <c r="D30" s="41" t="s">
        <v>392</v>
      </c>
    </row>
    <row r="31" spans="1:8" x14ac:dyDescent="0.25">
      <c r="A31" s="34">
        <v>1.24</v>
      </c>
      <c r="B31" s="38">
        <v>43938</v>
      </c>
      <c r="C31" s="41" t="s">
        <v>98</v>
      </c>
      <c r="D31" s="41" t="s">
        <v>393</v>
      </c>
    </row>
    <row r="32" spans="1:8" x14ac:dyDescent="0.25">
      <c r="A32" s="34">
        <v>1.25</v>
      </c>
      <c r="B32" s="38">
        <v>43938</v>
      </c>
      <c r="C32" t="s">
        <v>394</v>
      </c>
      <c r="D32" t="s">
        <v>395</v>
      </c>
    </row>
    <row r="33" spans="1:4" x14ac:dyDescent="0.25">
      <c r="A33" s="34">
        <v>1.26</v>
      </c>
      <c r="B33" s="38">
        <v>43938</v>
      </c>
      <c r="C33" s="41" t="s">
        <v>29</v>
      </c>
      <c r="D33" t="s">
        <v>399</v>
      </c>
    </row>
    <row r="34" spans="1:4" x14ac:dyDescent="0.25">
      <c r="A34" s="34">
        <v>1.27</v>
      </c>
      <c r="B34" s="38">
        <v>43938</v>
      </c>
      <c r="C34" s="41" t="s">
        <v>29</v>
      </c>
      <c r="D34" t="s">
        <v>400</v>
      </c>
    </row>
    <row r="35" spans="1:4" x14ac:dyDescent="0.25">
      <c r="A35" s="34">
        <v>1.28</v>
      </c>
      <c r="B35" s="38">
        <v>43938</v>
      </c>
      <c r="C35" s="41" t="s">
        <v>29</v>
      </c>
      <c r="D35" t="s">
        <v>409</v>
      </c>
    </row>
    <row r="36" spans="1:4" x14ac:dyDescent="0.25">
      <c r="A36" s="34">
        <v>1.29</v>
      </c>
      <c r="B36" s="38">
        <v>43938</v>
      </c>
      <c r="C36" t="s">
        <v>98</v>
      </c>
      <c r="D36" t="s">
        <v>447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120"/>
  <sheetViews>
    <sheetView zoomScaleNormal="100" workbookViewId="0">
      <selection activeCell="B18" sqref="B18"/>
    </sheetView>
  </sheetViews>
  <sheetFormatPr defaultColWidth="9.140625" defaultRowHeight="15" x14ac:dyDescent="0.25"/>
  <cols>
    <col min="1" max="1" width="32.42578125" style="5" bestFit="1" customWidth="1"/>
    <col min="2" max="2" width="12.5703125" style="5" customWidth="1"/>
    <col min="3" max="3" width="31.5703125" style="5" bestFit="1" customWidth="1"/>
    <col min="4" max="4" width="1.7109375" style="5" customWidth="1"/>
    <col min="5" max="5" width="19.5703125" style="5" bestFit="1" customWidth="1"/>
    <col min="6" max="6" width="16.140625" style="5" customWidth="1"/>
    <col min="7" max="7" width="15.7109375" style="5" bestFit="1" customWidth="1"/>
    <col min="8" max="8" width="16" style="5" bestFit="1" customWidth="1"/>
    <col min="9" max="9" width="1.7109375" style="5" customWidth="1"/>
    <col min="10" max="10" width="9.140625" style="5"/>
    <col min="11" max="11" width="10.85546875" style="5" bestFit="1" customWidth="1"/>
    <col min="12" max="12" width="30" style="5" bestFit="1" customWidth="1"/>
    <col min="13" max="16384" width="9.140625" style="5"/>
  </cols>
  <sheetData>
    <row r="1" spans="1:8" ht="23.25" x14ac:dyDescent="0.35">
      <c r="A1" s="6" t="s">
        <v>311</v>
      </c>
      <c r="B1" s="1"/>
    </row>
    <row r="2" spans="1:8" ht="17.25" x14ac:dyDescent="0.25">
      <c r="A2" s="7" t="s">
        <v>304</v>
      </c>
      <c r="B2" s="1"/>
    </row>
    <row r="3" spans="1:8" x14ac:dyDescent="0.25">
      <c r="A3" s="30" t="s">
        <v>126</v>
      </c>
      <c r="B3" s="37" t="s">
        <v>122</v>
      </c>
    </row>
    <row r="4" spans="1:8" x14ac:dyDescent="0.25">
      <c r="A4" s="37" t="s">
        <v>124</v>
      </c>
      <c r="B4" s="1" t="s">
        <v>127</v>
      </c>
    </row>
    <row r="5" spans="1:8" x14ac:dyDescent="0.25">
      <c r="A5" s="13" t="s">
        <v>125</v>
      </c>
      <c r="B5" s="1" t="s">
        <v>123</v>
      </c>
    </row>
    <row r="6" spans="1:8" x14ac:dyDescent="0.25">
      <c r="A6" s="36" t="s">
        <v>124</v>
      </c>
      <c r="B6" s="4" t="s">
        <v>142</v>
      </c>
    </row>
    <row r="7" spans="1:8" x14ac:dyDescent="0.25">
      <c r="A7" s="1" t="s">
        <v>306</v>
      </c>
      <c r="B7" s="4"/>
    </row>
    <row r="9" spans="1:8" s="1" customFormat="1" ht="23.25" x14ac:dyDescent="0.35">
      <c r="A9" s="6" t="s">
        <v>17</v>
      </c>
      <c r="E9" s="6" t="s">
        <v>25</v>
      </c>
    </row>
    <row r="10" spans="1:8" s="1" customFormat="1" ht="17.25" customHeight="1" x14ac:dyDescent="0.25">
      <c r="A10" s="7" t="s">
        <v>128</v>
      </c>
      <c r="E10" s="17" t="s">
        <v>26</v>
      </c>
      <c r="F10" s="18" t="s">
        <v>22</v>
      </c>
      <c r="G10" s="18" t="s">
        <v>23</v>
      </c>
      <c r="H10" s="19" t="s">
        <v>24</v>
      </c>
    </row>
    <row r="11" spans="1:8" s="1" customFormat="1" ht="17.25" customHeight="1" x14ac:dyDescent="0.25">
      <c r="A11" s="1" t="s">
        <v>129</v>
      </c>
      <c r="B11" s="44">
        <f>Assumption_1.03</f>
        <v>50</v>
      </c>
      <c r="C11" s="1" t="s">
        <v>136</v>
      </c>
      <c r="E11" s="29">
        <f>B18</f>
        <v>5.5718600824258449</v>
      </c>
      <c r="F11" s="20">
        <f>B29</f>
        <v>53841.983747263745</v>
      </c>
      <c r="G11" s="21">
        <f>TotalCostsPerDay</f>
        <v>54274.232346941819</v>
      </c>
      <c r="H11" s="22">
        <f>TotalProfitPerDay</f>
        <v>-432.24859967807424</v>
      </c>
    </row>
    <row r="12" spans="1:8" s="1" customFormat="1" ht="17.25" customHeight="1" x14ac:dyDescent="0.25">
      <c r="A12" s="2" t="s">
        <v>141</v>
      </c>
      <c r="B12" s="12">
        <f>B11*24</f>
        <v>1200</v>
      </c>
      <c r="E12" s="23">
        <v>6</v>
      </c>
      <c r="F12" s="24">
        <f t="dataTable" ref="F12:H16" dt2D="0" dtr="0" r1="B18"/>
        <v>50000</v>
      </c>
      <c r="G12" s="24">
        <v>51103.520000000004</v>
      </c>
      <c r="H12" s="25">
        <v>-1103.5200000000041</v>
      </c>
    </row>
    <row r="13" spans="1:8" s="1" customFormat="1" ht="17.25" x14ac:dyDescent="0.25">
      <c r="A13" s="7" t="s">
        <v>175</v>
      </c>
      <c r="E13" s="23">
        <v>5.5</v>
      </c>
      <c r="F13" s="24">
        <v>54545.454545454537</v>
      </c>
      <c r="G13" s="24">
        <v>54854.792727272725</v>
      </c>
      <c r="H13" s="25">
        <v>-309.33818181818788</v>
      </c>
    </row>
    <row r="14" spans="1:8" s="1" customFormat="1" x14ac:dyDescent="0.25">
      <c r="A14" s="1" t="s">
        <v>174</v>
      </c>
      <c r="B14" s="51">
        <f>Table10[[#Totals],[Pay / Day]]</f>
        <v>7024</v>
      </c>
      <c r="C14" s="1" t="s">
        <v>359</v>
      </c>
      <c r="E14" s="23">
        <v>5</v>
      </c>
      <c r="F14" s="24">
        <v>60000</v>
      </c>
      <c r="G14" s="24">
        <v>59356.319999999992</v>
      </c>
      <c r="H14" s="25">
        <v>643.68000000000757</v>
      </c>
    </row>
    <row r="15" spans="1:8" s="1" customFormat="1" x14ac:dyDescent="0.25">
      <c r="A15" s="4" t="s">
        <v>31</v>
      </c>
      <c r="B15" s="53">
        <f>Assumption_1.02</f>
        <v>0.23</v>
      </c>
      <c r="C15" s="1" t="s">
        <v>137</v>
      </c>
      <c r="E15" s="23">
        <v>4.5</v>
      </c>
      <c r="F15" s="24">
        <v>66666.666666666672</v>
      </c>
      <c r="G15" s="24">
        <v>64858.186666666676</v>
      </c>
      <c r="H15" s="25">
        <v>1808.4799999999959</v>
      </c>
    </row>
    <row r="16" spans="1:8" s="1" customFormat="1" x14ac:dyDescent="0.25">
      <c r="A16" s="2" t="s">
        <v>10</v>
      </c>
      <c r="B16" s="50">
        <f>B14*(1+B15)</f>
        <v>8639.52</v>
      </c>
      <c r="E16" s="26">
        <v>4</v>
      </c>
      <c r="F16" s="27">
        <v>75000</v>
      </c>
      <c r="G16" s="27">
        <v>71735.520000000004</v>
      </c>
      <c r="H16" s="28">
        <v>3264.4799999999959</v>
      </c>
    </row>
    <row r="17" spans="1:8" s="1" customFormat="1" ht="17.25" x14ac:dyDescent="0.25">
      <c r="A17" s="7" t="s">
        <v>13</v>
      </c>
      <c r="E17" s="56"/>
      <c r="F17" s="24"/>
      <c r="G17" s="24"/>
      <c r="H17" s="24"/>
    </row>
    <row r="18" spans="1:8" s="1" customFormat="1" x14ac:dyDescent="0.25">
      <c r="A18" s="1" t="s">
        <v>4</v>
      </c>
      <c r="B18" s="36">
        <f>('Assembly Comparison'!B4*'Assembly Comparison'!D5+'Assembly Comparison'!D4*(1-'Assembly Comparison'!D5)) / 60</f>
        <v>5.5718600824258449</v>
      </c>
      <c r="C18" s="1" t="s">
        <v>282</v>
      </c>
    </row>
    <row r="19" spans="1:8" s="1" customFormat="1" x14ac:dyDescent="0.25">
      <c r="A19" s="1" t="s">
        <v>5</v>
      </c>
      <c r="B19" s="34">
        <f>Picking_Average_Time_ASIS</f>
        <v>3.1103960458418345</v>
      </c>
      <c r="C19" s="1" t="s">
        <v>360</v>
      </c>
      <c r="E19" s="9"/>
      <c r="F19" s="16"/>
      <c r="G19" s="16"/>
      <c r="H19" s="16"/>
    </row>
    <row r="20" spans="1:8" s="1" customFormat="1" x14ac:dyDescent="0.25">
      <c r="A20" s="4" t="s">
        <v>181</v>
      </c>
      <c r="B20" s="55">
        <f>BasicInformation_5 * Assumption_1.04 * Assumption_1.06*(BasicInformation_6/60)</f>
        <v>40</v>
      </c>
      <c r="C20" s="4" t="s">
        <v>183</v>
      </c>
      <c r="E20" s="9"/>
      <c r="F20" s="16"/>
      <c r="G20" s="16"/>
      <c r="H20" s="16"/>
    </row>
    <row r="21" spans="1:8" s="1" customFormat="1" x14ac:dyDescent="0.25">
      <c r="A21" s="1" t="s">
        <v>3</v>
      </c>
      <c r="B21" s="10">
        <f>60/B18</f>
        <v>10.76839674945275</v>
      </c>
      <c r="E21" s="9"/>
      <c r="F21" s="16"/>
      <c r="G21" s="16"/>
      <c r="H21" s="16"/>
    </row>
    <row r="22" spans="1:8" s="1" customFormat="1" x14ac:dyDescent="0.25">
      <c r="A22" s="2" t="s">
        <v>12</v>
      </c>
      <c r="B22" s="10">
        <f>B20*B21</f>
        <v>430.73586997810997</v>
      </c>
      <c r="E22" s="9"/>
    </row>
    <row r="23" spans="1:8" s="1" customFormat="1" x14ac:dyDescent="0.25">
      <c r="A23" s="4" t="s">
        <v>6</v>
      </c>
      <c r="B23" s="11">
        <f>Component_Total_Cost</f>
        <v>93.16</v>
      </c>
      <c r="C23" s="1" t="s">
        <v>139</v>
      </c>
    </row>
    <row r="24" spans="1:8" s="1" customFormat="1" x14ac:dyDescent="0.25">
      <c r="A24" s="4" t="s">
        <v>8</v>
      </c>
      <c r="B24" s="44">
        <f>Assumption_2.04</f>
        <v>10</v>
      </c>
      <c r="C24" s="1" t="s">
        <v>138</v>
      </c>
    </row>
    <row r="25" spans="1:8" s="1" customFormat="1" x14ac:dyDescent="0.25">
      <c r="A25" s="2" t="s">
        <v>18</v>
      </c>
      <c r="B25" s="12">
        <f>B23+B24</f>
        <v>103.16</v>
      </c>
    </row>
    <row r="26" spans="1:8" s="1" customFormat="1" x14ac:dyDescent="0.25">
      <c r="A26" s="15" t="s">
        <v>19</v>
      </c>
      <c r="B26" s="14">
        <f>B25*B22</f>
        <v>44434.712346941822</v>
      </c>
    </row>
    <row r="27" spans="1:8" s="1" customFormat="1" ht="23.25" x14ac:dyDescent="0.35">
      <c r="A27" s="6" t="s">
        <v>9</v>
      </c>
    </row>
    <row r="28" spans="1:8" s="3" customFormat="1" x14ac:dyDescent="0.25">
      <c r="A28" s="1" t="s">
        <v>7</v>
      </c>
      <c r="B28" s="44">
        <f>BasicInformation_2</f>
        <v>125</v>
      </c>
      <c r="C28" s="1" t="s">
        <v>140</v>
      </c>
    </row>
    <row r="29" spans="1:8" s="3" customFormat="1" x14ac:dyDescent="0.25">
      <c r="A29" s="2" t="s">
        <v>20</v>
      </c>
      <c r="B29" s="12">
        <f>B22*B28</f>
        <v>53841.983747263745</v>
      </c>
    </row>
    <row r="30" spans="1:8" s="1" customFormat="1" x14ac:dyDescent="0.25">
      <c r="A30" s="2" t="s">
        <v>21</v>
      </c>
      <c r="B30" s="12">
        <f>B12+B16+TrackRCostPerDay</f>
        <v>54274.232346941819</v>
      </c>
    </row>
    <row r="31" spans="1:8" s="1" customFormat="1" x14ac:dyDescent="0.25">
      <c r="A31" s="2" t="s">
        <v>11</v>
      </c>
      <c r="B31" s="12">
        <f>B29-B30</f>
        <v>-432.24859967807424</v>
      </c>
    </row>
    <row r="32" spans="1:8" s="1" customFormat="1" x14ac:dyDescent="0.25">
      <c r="E32" s="1" t="s">
        <v>283</v>
      </c>
      <c r="F32" s="13">
        <v>5.33</v>
      </c>
      <c r="G32" s="82"/>
      <c r="H32" s="3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</sheetData>
  <pageMargins left="0.7" right="0.7" top="0.75" bottom="0.75" header="0.3" footer="0.3"/>
  <pageSetup orientation="portrait" r:id="rId1"/>
  <headerFooter>
    <oddFooter>&amp;R&amp;F &amp;A 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pageSetUpPr fitToPage="1"/>
  </sheetPr>
  <dimension ref="A1:H121"/>
  <sheetViews>
    <sheetView zoomScaleNormal="100" workbookViewId="0">
      <selection activeCell="B19" sqref="B19"/>
    </sheetView>
  </sheetViews>
  <sheetFormatPr defaultColWidth="9.140625" defaultRowHeight="15" x14ac:dyDescent="0.25"/>
  <cols>
    <col min="1" max="1" width="32.42578125" style="5" bestFit="1" customWidth="1"/>
    <col min="2" max="2" width="12.5703125" style="5" customWidth="1"/>
    <col min="3" max="3" width="31.5703125" style="5" bestFit="1" customWidth="1"/>
    <col min="4" max="4" width="1.7109375" style="5" customWidth="1"/>
    <col min="5" max="5" width="19.5703125" style="5" bestFit="1" customWidth="1"/>
    <col min="6" max="6" width="16.140625" style="5" customWidth="1"/>
    <col min="7" max="7" width="15.7109375" style="5" bestFit="1" customWidth="1"/>
    <col min="8" max="8" width="16" style="5" bestFit="1" customWidth="1"/>
    <col min="9" max="9" width="1.7109375" style="5" customWidth="1"/>
    <col min="10" max="10" width="9.140625" style="5"/>
    <col min="11" max="11" width="10.85546875" style="5" bestFit="1" customWidth="1"/>
    <col min="12" max="16384" width="9.140625" style="5"/>
  </cols>
  <sheetData>
    <row r="1" spans="1:8" ht="23.25" x14ac:dyDescent="0.35">
      <c r="A1" s="6" t="s">
        <v>356</v>
      </c>
      <c r="B1" s="1"/>
    </row>
    <row r="2" spans="1:8" ht="17.25" x14ac:dyDescent="0.25">
      <c r="A2" s="7" t="s">
        <v>304</v>
      </c>
      <c r="B2" s="1"/>
    </row>
    <row r="3" spans="1:8" x14ac:dyDescent="0.25">
      <c r="A3" s="30" t="s">
        <v>126</v>
      </c>
      <c r="B3" s="41" t="s">
        <v>122</v>
      </c>
    </row>
    <row r="4" spans="1:8" x14ac:dyDescent="0.25">
      <c r="A4" s="41" t="s">
        <v>124</v>
      </c>
      <c r="B4" s="1" t="s">
        <v>127</v>
      </c>
    </row>
    <row r="5" spans="1:8" x14ac:dyDescent="0.25">
      <c r="A5" s="13" t="s">
        <v>125</v>
      </c>
      <c r="B5" s="1" t="s">
        <v>123</v>
      </c>
    </row>
    <row r="6" spans="1:8" x14ac:dyDescent="0.25">
      <c r="A6" s="36" t="s">
        <v>124</v>
      </c>
      <c r="B6" s="4" t="s">
        <v>142</v>
      </c>
    </row>
    <row r="7" spans="1:8" x14ac:dyDescent="0.25">
      <c r="A7" s="1" t="s">
        <v>306</v>
      </c>
      <c r="B7" s="4"/>
    </row>
    <row r="9" spans="1:8" s="1" customFormat="1" ht="23.25" x14ac:dyDescent="0.35">
      <c r="A9" s="6" t="s">
        <v>17</v>
      </c>
      <c r="E9" s="6" t="s">
        <v>25</v>
      </c>
    </row>
    <row r="10" spans="1:8" s="1" customFormat="1" ht="17.25" customHeight="1" x14ac:dyDescent="0.25">
      <c r="A10" s="7" t="s">
        <v>128</v>
      </c>
      <c r="E10" s="17" t="s">
        <v>26</v>
      </c>
      <c r="F10" s="18" t="s">
        <v>22</v>
      </c>
      <c r="G10" s="18" t="s">
        <v>23</v>
      </c>
      <c r="H10" s="19" t="s">
        <v>24</v>
      </c>
    </row>
    <row r="11" spans="1:8" s="1" customFormat="1" ht="17.25" customHeight="1" x14ac:dyDescent="0.25">
      <c r="A11" s="1" t="s">
        <v>129</v>
      </c>
      <c r="B11" s="44">
        <f>Assumption_1.03</f>
        <v>50</v>
      </c>
      <c r="C11" s="1" t="s">
        <v>136</v>
      </c>
      <c r="E11" s="29">
        <f>B19</f>
        <v>3.6916666666666673</v>
      </c>
      <c r="F11" s="20">
        <f>B30</f>
        <v>81264.108352144453</v>
      </c>
      <c r="G11" s="21">
        <f>TotalCostsPerDay</f>
        <v>75908.541118635549</v>
      </c>
      <c r="H11" s="22">
        <f>TotalProfitPerDay</f>
        <v>5355.5672335089039</v>
      </c>
    </row>
    <row r="12" spans="1:8" s="1" customFormat="1" ht="17.25" customHeight="1" x14ac:dyDescent="0.25">
      <c r="A12" s="4" t="s">
        <v>398</v>
      </c>
      <c r="B12" s="44">
        <f>Assumption!B8/(Assumption!B9*Assumption_1.01)</f>
        <v>577.77777777777783</v>
      </c>
      <c r="E12" s="23">
        <v>5</v>
      </c>
      <c r="F12" s="24">
        <f t="dataTable" ref="F12:H16" dt2D="0" dtr="0" r1="B19"/>
        <v>60000</v>
      </c>
      <c r="G12" s="24">
        <v>58359.697777777772</v>
      </c>
      <c r="H12" s="25">
        <v>1640.302222222228</v>
      </c>
    </row>
    <row r="13" spans="1:8" s="1" customFormat="1" ht="17.25" customHeight="1" x14ac:dyDescent="0.25">
      <c r="A13" s="2" t="s">
        <v>141</v>
      </c>
      <c r="B13" s="12">
        <f>B11*24+B12</f>
        <v>1777.7777777777778</v>
      </c>
      <c r="E13" s="23">
        <v>4.5</v>
      </c>
      <c r="F13" s="24">
        <v>66666.666666666672</v>
      </c>
      <c r="G13" s="24">
        <v>63861.564444444448</v>
      </c>
      <c r="H13" s="25">
        <v>2805.1022222222236</v>
      </c>
    </row>
    <row r="14" spans="1:8" s="1" customFormat="1" ht="17.25" x14ac:dyDescent="0.25">
      <c r="A14" s="7" t="s">
        <v>175</v>
      </c>
      <c r="E14" s="23">
        <v>4</v>
      </c>
      <c r="F14" s="24">
        <v>75000</v>
      </c>
      <c r="G14" s="24">
        <v>70738.897777777776</v>
      </c>
      <c r="H14" s="25">
        <v>4261.1022222222236</v>
      </c>
    </row>
    <row r="15" spans="1:8" s="1" customFormat="1" x14ac:dyDescent="0.25">
      <c r="A15" s="1" t="s">
        <v>174</v>
      </c>
      <c r="B15" s="51">
        <f>Table1030[[#Totals],[Pay / Day]]</f>
        <v>5744</v>
      </c>
      <c r="C15" s="1" t="s">
        <v>359</v>
      </c>
      <c r="E15" s="23">
        <v>3.5</v>
      </c>
      <c r="F15" s="24">
        <v>85714.28571428571</v>
      </c>
      <c r="G15" s="24">
        <v>79581.183492063486</v>
      </c>
      <c r="H15" s="25">
        <v>6133.1022222222236</v>
      </c>
    </row>
    <row r="16" spans="1:8" s="1" customFormat="1" x14ac:dyDescent="0.25">
      <c r="A16" s="4" t="s">
        <v>31</v>
      </c>
      <c r="B16" s="53">
        <f>Assumption_1.02</f>
        <v>0.23</v>
      </c>
      <c r="C16" s="1" t="s">
        <v>137</v>
      </c>
      <c r="E16" s="26">
        <v>3</v>
      </c>
      <c r="F16" s="27">
        <v>100000</v>
      </c>
      <c r="G16" s="27">
        <v>91370.897777777776</v>
      </c>
      <c r="H16" s="28">
        <v>8629.1022222222236</v>
      </c>
    </row>
    <row r="17" spans="1:8" s="1" customFormat="1" x14ac:dyDescent="0.25">
      <c r="A17" s="2" t="s">
        <v>10</v>
      </c>
      <c r="B17" s="50">
        <f>B15*(1+B16)</f>
        <v>7065.12</v>
      </c>
    </row>
    <row r="18" spans="1:8" s="1" customFormat="1" ht="17.25" x14ac:dyDescent="0.25">
      <c r="A18" s="7" t="s">
        <v>13</v>
      </c>
      <c r="E18" s="56"/>
      <c r="F18" s="24"/>
      <c r="G18" s="24"/>
      <c r="H18" s="24"/>
    </row>
    <row r="19" spans="1:8" s="1" customFormat="1" x14ac:dyDescent="0.25">
      <c r="A19" s="1" t="s">
        <v>4</v>
      </c>
      <c r="B19" s="36">
        <f>('Assembly Comparison'!C4*'Assembly Comparison'!E5+'Assembly Comparison'!C4*(1-'Assembly Comparison'!E5)) / 60</f>
        <v>3.6916666666666673</v>
      </c>
      <c r="C19" s="1" t="s">
        <v>282</v>
      </c>
    </row>
    <row r="20" spans="1:8" s="1" customFormat="1" x14ac:dyDescent="0.25">
      <c r="A20" s="1" t="s">
        <v>5</v>
      </c>
      <c r="B20" s="34">
        <f>Table55[[#Totals],[Total avg Time]]</f>
        <v>1.9787346813872553</v>
      </c>
      <c r="C20" s="1" t="s">
        <v>360</v>
      </c>
      <c r="E20" s="9"/>
      <c r="F20" s="16"/>
      <c r="G20" s="16"/>
      <c r="H20" s="16"/>
    </row>
    <row r="21" spans="1:8" s="1" customFormat="1" x14ac:dyDescent="0.25">
      <c r="A21" s="4" t="s">
        <v>181</v>
      </c>
      <c r="B21" s="55">
        <f>BasicInformation_5 * Assumption_1.04 * Assumption_1.06*(BasicInformation_6/60)</f>
        <v>40</v>
      </c>
      <c r="C21" s="4" t="s">
        <v>183</v>
      </c>
      <c r="E21" s="9"/>
      <c r="F21" s="16"/>
      <c r="G21" s="16"/>
      <c r="H21" s="16"/>
    </row>
    <row r="22" spans="1:8" s="1" customFormat="1" x14ac:dyDescent="0.25">
      <c r="A22" s="1" t="s">
        <v>3</v>
      </c>
      <c r="B22" s="10">
        <f>60/B19</f>
        <v>16.25282167042889</v>
      </c>
      <c r="E22" s="9"/>
      <c r="F22" s="16"/>
      <c r="G22" s="16"/>
      <c r="H22" s="16"/>
    </row>
    <row r="23" spans="1:8" s="1" customFormat="1" x14ac:dyDescent="0.25">
      <c r="A23" s="2" t="s">
        <v>12</v>
      </c>
      <c r="B23" s="10">
        <f>B21*B22</f>
        <v>650.11286681715558</v>
      </c>
      <c r="E23" s="9"/>
    </row>
    <row r="24" spans="1:8" s="1" customFormat="1" x14ac:dyDescent="0.25">
      <c r="A24" s="4" t="s">
        <v>6</v>
      </c>
      <c r="B24" s="11">
        <f>Component_Total_Cost</f>
        <v>93.16</v>
      </c>
      <c r="C24" s="1" t="s">
        <v>139</v>
      </c>
    </row>
    <row r="25" spans="1:8" s="1" customFormat="1" x14ac:dyDescent="0.25">
      <c r="A25" s="4" t="s">
        <v>8</v>
      </c>
      <c r="B25" s="44">
        <f>Assumption_2.04</f>
        <v>10</v>
      </c>
      <c r="C25" s="1" t="s">
        <v>138</v>
      </c>
    </row>
    <row r="26" spans="1:8" s="1" customFormat="1" x14ac:dyDescent="0.25">
      <c r="A26" s="2" t="s">
        <v>18</v>
      </c>
      <c r="B26" s="12">
        <f>B24+B25</f>
        <v>103.16</v>
      </c>
    </row>
    <row r="27" spans="1:8" s="1" customFormat="1" x14ac:dyDescent="0.25">
      <c r="A27" s="15" t="s">
        <v>19</v>
      </c>
      <c r="B27" s="14">
        <f>B26*B23</f>
        <v>67065.643340857772</v>
      </c>
    </row>
    <row r="28" spans="1:8" s="1" customFormat="1" ht="23.25" x14ac:dyDescent="0.35">
      <c r="A28" s="6" t="s">
        <v>9</v>
      </c>
    </row>
    <row r="29" spans="1:8" s="3" customFormat="1" x14ac:dyDescent="0.25">
      <c r="A29" s="1" t="s">
        <v>7</v>
      </c>
      <c r="B29" s="44">
        <f>BasicInformation_2</f>
        <v>125</v>
      </c>
      <c r="C29" s="1" t="s">
        <v>140</v>
      </c>
    </row>
    <row r="30" spans="1:8" s="3" customFormat="1" x14ac:dyDescent="0.25">
      <c r="A30" s="2" t="s">
        <v>20</v>
      </c>
      <c r="B30" s="12">
        <f>B23*B29</f>
        <v>81264.108352144453</v>
      </c>
    </row>
    <row r="31" spans="1:8" s="1" customFormat="1" x14ac:dyDescent="0.25">
      <c r="A31" s="2" t="s">
        <v>21</v>
      </c>
      <c r="B31" s="12">
        <f>B13+B17+TrackRCostPerDay</f>
        <v>75908.541118635549</v>
      </c>
    </row>
    <row r="32" spans="1:8" s="1" customFormat="1" x14ac:dyDescent="0.25">
      <c r="A32" s="2" t="s">
        <v>11</v>
      </c>
      <c r="B32" s="12">
        <f>B30-B31</f>
        <v>5355.5672335089039</v>
      </c>
      <c r="E32" s="1" t="s">
        <v>283</v>
      </c>
      <c r="F32" s="13">
        <v>5.93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</sheetData>
  <pageMargins left="0.7" right="0.7" top="0.75" bottom="0.75" header="0.3" footer="0.3"/>
  <pageSetup orientation="portrait" r:id="rId1"/>
  <headerFooter>
    <oddFooter>&amp;R&amp;F &amp;A 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C31"/>
  <sheetViews>
    <sheetView workbookViewId="0">
      <selection activeCell="B21" sqref="B21"/>
    </sheetView>
  </sheetViews>
  <sheetFormatPr defaultRowHeight="15" x14ac:dyDescent="0.25"/>
  <cols>
    <col min="1" max="1" width="4.5703125" style="39" bestFit="1" customWidth="1"/>
    <col min="2" max="2" width="9.28515625" style="39" bestFit="1" customWidth="1"/>
  </cols>
  <sheetData>
    <row r="1" spans="1:3" ht="23.25" x14ac:dyDescent="0.35">
      <c r="A1" s="6" t="s">
        <v>28</v>
      </c>
    </row>
    <row r="2" spans="1:3" x14ac:dyDescent="0.25">
      <c r="A2" s="39">
        <v>1</v>
      </c>
      <c r="B2" s="42">
        <v>150</v>
      </c>
      <c r="C2" t="s">
        <v>130</v>
      </c>
    </row>
    <row r="3" spans="1:3" x14ac:dyDescent="0.25">
      <c r="A3" s="39">
        <v>2</v>
      </c>
      <c r="B3" s="42">
        <v>125</v>
      </c>
      <c r="C3" t="s">
        <v>131</v>
      </c>
    </row>
    <row r="4" spans="1:3" x14ac:dyDescent="0.25">
      <c r="A4" s="39">
        <v>3</v>
      </c>
      <c r="B4" s="42">
        <v>170</v>
      </c>
      <c r="C4" t="s">
        <v>132</v>
      </c>
    </row>
    <row r="5" spans="1:3" x14ac:dyDescent="0.25">
      <c r="A5" s="39">
        <v>4</v>
      </c>
      <c r="C5" t="s">
        <v>107</v>
      </c>
    </row>
    <row r="6" spans="1:3" x14ac:dyDescent="0.25">
      <c r="A6" s="39">
        <v>5</v>
      </c>
      <c r="B6" s="49">
        <v>3</v>
      </c>
      <c r="C6" s="1" t="s">
        <v>182</v>
      </c>
    </row>
    <row r="7" spans="1:3" s="41" customFormat="1" x14ac:dyDescent="0.25">
      <c r="A7" s="41">
        <v>6</v>
      </c>
      <c r="B7" s="49">
        <v>50</v>
      </c>
      <c r="C7" s="1" t="s">
        <v>184</v>
      </c>
    </row>
    <row r="8" spans="1:3" s="41" customFormat="1" x14ac:dyDescent="0.25">
      <c r="A8" s="41">
        <v>7</v>
      </c>
      <c r="B8" s="123">
        <v>260000</v>
      </c>
      <c r="C8" s="1" t="s">
        <v>396</v>
      </c>
    </row>
    <row r="9" spans="1:3" s="41" customFormat="1" x14ac:dyDescent="0.25">
      <c r="A9" s="41">
        <v>8</v>
      </c>
      <c r="B9" s="49">
        <v>2</v>
      </c>
      <c r="C9" s="1" t="s">
        <v>397</v>
      </c>
    </row>
    <row r="10" spans="1:3" s="41" customFormat="1" x14ac:dyDescent="0.25">
      <c r="B10" s="49"/>
      <c r="C10" s="1"/>
    </row>
    <row r="11" spans="1:3" ht="23.25" x14ac:dyDescent="0.35">
      <c r="A11" s="6" t="s">
        <v>27</v>
      </c>
      <c r="B11" s="6"/>
      <c r="C11" s="6"/>
    </row>
    <row r="12" spans="1:3" s="41" customFormat="1" ht="17.25" x14ac:dyDescent="0.25">
      <c r="A12" s="7" t="s">
        <v>177</v>
      </c>
      <c r="C12" s="1"/>
    </row>
    <row r="13" spans="1:3" s="41" customFormat="1" x14ac:dyDescent="0.25">
      <c r="A13" s="34">
        <v>1.01</v>
      </c>
      <c r="B13" s="41">
        <v>225</v>
      </c>
      <c r="C13" s="1" t="s">
        <v>176</v>
      </c>
    </row>
    <row r="14" spans="1:3" s="41" customFormat="1" x14ac:dyDescent="0.25">
      <c r="A14" s="34">
        <v>1.02</v>
      </c>
      <c r="B14" s="43">
        <v>0.23</v>
      </c>
      <c r="C14" s="1" t="s">
        <v>134</v>
      </c>
    </row>
    <row r="15" spans="1:3" s="41" customFormat="1" x14ac:dyDescent="0.25">
      <c r="A15" s="34">
        <v>1.03</v>
      </c>
      <c r="B15" s="42">
        <v>50</v>
      </c>
      <c r="C15" s="1" t="s">
        <v>135</v>
      </c>
    </row>
    <row r="16" spans="1:3" s="41" customFormat="1" x14ac:dyDescent="0.25">
      <c r="A16" s="34">
        <v>1.04</v>
      </c>
      <c r="B16" s="34">
        <v>8</v>
      </c>
      <c r="C16" s="1" t="s">
        <v>178</v>
      </c>
    </row>
    <row r="17" spans="1:3" s="41" customFormat="1" x14ac:dyDescent="0.25">
      <c r="A17" s="34">
        <v>1.05</v>
      </c>
      <c r="B17" s="34">
        <v>10</v>
      </c>
      <c r="C17" s="1" t="s">
        <v>179</v>
      </c>
    </row>
    <row r="18" spans="1:3" s="41" customFormat="1" x14ac:dyDescent="0.25">
      <c r="A18" s="34">
        <v>1.06</v>
      </c>
      <c r="B18" s="34">
        <v>2</v>
      </c>
      <c r="C18" s="1" t="s">
        <v>180</v>
      </c>
    </row>
    <row r="19" spans="1:3" ht="17.25" x14ac:dyDescent="0.25">
      <c r="A19" s="7" t="s">
        <v>72</v>
      </c>
    </row>
    <row r="20" spans="1:3" x14ac:dyDescent="0.25">
      <c r="A20" s="34">
        <v>2.0099999999999998</v>
      </c>
      <c r="B20" s="34" t="s">
        <v>446</v>
      </c>
      <c r="C20" s="1" t="s">
        <v>145</v>
      </c>
    </row>
    <row r="21" spans="1:3" x14ac:dyDescent="0.25">
      <c r="A21" s="34">
        <v>2.02</v>
      </c>
      <c r="C21" s="1" t="s">
        <v>73</v>
      </c>
    </row>
    <row r="22" spans="1:3" x14ac:dyDescent="0.25">
      <c r="A22" s="34">
        <v>2.0299999999999998</v>
      </c>
      <c r="C22" s="1" t="s">
        <v>74</v>
      </c>
    </row>
    <row r="23" spans="1:3" s="41" customFormat="1" x14ac:dyDescent="0.25">
      <c r="A23" s="34">
        <v>2.04</v>
      </c>
      <c r="B23" s="42">
        <v>10</v>
      </c>
      <c r="C23" s="1" t="s">
        <v>133</v>
      </c>
    </row>
    <row r="24" spans="1:3" ht="17.25" x14ac:dyDescent="0.25">
      <c r="A24" s="7" t="s">
        <v>71</v>
      </c>
    </row>
    <row r="25" spans="1:3" x14ac:dyDescent="0.25">
      <c r="A25" s="34">
        <v>3.01</v>
      </c>
      <c r="B25" s="39">
        <v>100</v>
      </c>
      <c r="C25" s="1" t="s">
        <v>316</v>
      </c>
    </row>
    <row r="26" spans="1:3" x14ac:dyDescent="0.25">
      <c r="A26" s="34">
        <v>3.02</v>
      </c>
      <c r="B26" s="39">
        <v>83.33</v>
      </c>
      <c r="C26" s="1" t="s">
        <v>325</v>
      </c>
    </row>
    <row r="27" spans="1:3" s="41" customFormat="1" x14ac:dyDescent="0.25">
      <c r="A27" s="34">
        <v>3.03</v>
      </c>
      <c r="B27" s="41">
        <v>5</v>
      </c>
      <c r="C27" s="1" t="s">
        <v>281</v>
      </c>
    </row>
    <row r="28" spans="1:3" s="41" customFormat="1" x14ac:dyDescent="0.25">
      <c r="A28" s="34"/>
      <c r="B28" s="42"/>
      <c r="C28" s="1"/>
    </row>
    <row r="29" spans="1:3" ht="23.25" x14ac:dyDescent="0.35">
      <c r="A29" s="6" t="s">
        <v>30</v>
      </c>
    </row>
    <row r="30" spans="1:3" s="41" customFormat="1" x14ac:dyDescent="0.25">
      <c r="A30" t="s">
        <v>317</v>
      </c>
    </row>
    <row r="31" spans="1:3" x14ac:dyDescent="0.25">
      <c r="A31" s="3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K73"/>
  <sheetViews>
    <sheetView workbookViewId="0">
      <selection activeCell="G27" sqref="G27"/>
    </sheetView>
  </sheetViews>
  <sheetFormatPr defaultRowHeight="15" x14ac:dyDescent="0.25"/>
  <cols>
    <col min="1" max="1" width="29.85546875" customWidth="1"/>
    <col min="2" max="2" width="28.5703125" bestFit="1" customWidth="1"/>
    <col min="3" max="3" width="12" bestFit="1" customWidth="1"/>
    <col min="4" max="4" width="10.140625" bestFit="1" customWidth="1"/>
    <col min="5" max="7" width="10.140625" style="41" customWidth="1"/>
    <col min="8" max="8" width="11.42578125" style="41" bestFit="1" customWidth="1"/>
    <col min="9" max="9" width="15.5703125" customWidth="1"/>
    <col min="10" max="10" width="12.7109375" customWidth="1"/>
    <col min="11" max="11" width="1.7109375" customWidth="1"/>
    <col min="12" max="12" width="28.5703125" bestFit="1" customWidth="1"/>
    <col min="13" max="14" width="10.42578125" bestFit="1" customWidth="1"/>
    <col min="15" max="15" width="8.5703125" bestFit="1" customWidth="1"/>
  </cols>
  <sheetData>
    <row r="1" spans="1:8" s="41" customFormat="1" ht="23.25" x14ac:dyDescent="0.35">
      <c r="A1" s="6" t="s">
        <v>294</v>
      </c>
    </row>
    <row r="2" spans="1:8" s="41" customFormat="1" ht="17.25" x14ac:dyDescent="0.25">
      <c r="A2" s="7" t="s">
        <v>295</v>
      </c>
    </row>
    <row r="3" spans="1:8" s="37" customFormat="1" x14ac:dyDescent="0.25">
      <c r="A3" s="87" t="s">
        <v>388</v>
      </c>
      <c r="B3" s="88">
        <f>Assumption_1.01</f>
        <v>225</v>
      </c>
      <c r="C3" s="87" t="s">
        <v>168</v>
      </c>
      <c r="D3" s="37" t="s">
        <v>389</v>
      </c>
      <c r="E3" s="41"/>
      <c r="F3" s="41"/>
      <c r="G3" s="41"/>
      <c r="H3" s="41"/>
    </row>
    <row r="4" spans="1:8" s="37" customFormat="1" x14ac:dyDescent="0.25">
      <c r="A4" s="87" t="s">
        <v>13</v>
      </c>
      <c r="B4" s="88">
        <f>Assumption_1.04</f>
        <v>8</v>
      </c>
      <c r="C4" s="87" t="s">
        <v>2</v>
      </c>
      <c r="D4" s="37" t="s">
        <v>387</v>
      </c>
      <c r="E4" s="41"/>
      <c r="H4" s="41"/>
    </row>
    <row r="5" spans="1:8" x14ac:dyDescent="0.25">
      <c r="A5" s="87" t="s">
        <v>167</v>
      </c>
      <c r="B5" s="88">
        <f>Assumption_1.05</f>
        <v>10</v>
      </c>
      <c r="C5" s="87" t="s">
        <v>2</v>
      </c>
      <c r="D5" t="s">
        <v>390</v>
      </c>
    </row>
    <row r="6" spans="1:8" s="41" customFormat="1" x14ac:dyDescent="0.25">
      <c r="A6" s="89"/>
      <c r="C6" s="89"/>
    </row>
    <row r="7" spans="1:8" s="41" customFormat="1" ht="17.25" x14ac:dyDescent="0.25">
      <c r="A7" s="7" t="s">
        <v>290</v>
      </c>
      <c r="B7"/>
      <c r="C7"/>
      <c r="D7"/>
    </row>
    <row r="8" spans="1:8" s="41" customFormat="1" x14ac:dyDescent="0.25">
      <c r="A8" s="41" t="s">
        <v>149</v>
      </c>
      <c r="B8" s="41" t="s">
        <v>163</v>
      </c>
      <c r="C8" s="41" t="s">
        <v>164</v>
      </c>
      <c r="D8" s="41" t="s">
        <v>165</v>
      </c>
    </row>
    <row r="9" spans="1:8" s="41" customFormat="1" x14ac:dyDescent="0.25">
      <c r="A9" s="41" t="s">
        <v>155</v>
      </c>
      <c r="B9" s="41" t="s">
        <v>13</v>
      </c>
      <c r="C9" s="41">
        <v>26</v>
      </c>
      <c r="D9" s="41" t="s">
        <v>166</v>
      </c>
    </row>
    <row r="10" spans="1:8" s="41" customFormat="1" x14ac:dyDescent="0.25">
      <c r="A10" s="41" t="s">
        <v>156</v>
      </c>
      <c r="B10" s="41" t="s">
        <v>13</v>
      </c>
      <c r="C10" s="41">
        <v>22</v>
      </c>
      <c r="D10" s="41" t="s">
        <v>166</v>
      </c>
    </row>
    <row r="11" spans="1:8" s="41" customFormat="1" x14ac:dyDescent="0.25">
      <c r="A11" s="41" t="s">
        <v>157</v>
      </c>
      <c r="B11" s="41" t="s">
        <v>13</v>
      </c>
      <c r="C11" s="41">
        <v>26</v>
      </c>
      <c r="D11" s="41" t="s">
        <v>166</v>
      </c>
    </row>
    <row r="12" spans="1:8" s="41" customFormat="1" x14ac:dyDescent="0.25">
      <c r="A12" s="41" t="s">
        <v>158</v>
      </c>
      <c r="B12" s="41" t="s">
        <v>13</v>
      </c>
      <c r="C12" s="41">
        <v>30</v>
      </c>
      <c r="D12" s="41" t="s">
        <v>166</v>
      </c>
    </row>
    <row r="13" spans="1:8" s="41" customFormat="1" x14ac:dyDescent="0.25">
      <c r="A13" s="41" t="s">
        <v>160</v>
      </c>
      <c r="B13" s="41" t="s">
        <v>13</v>
      </c>
      <c r="C13" s="41">
        <v>26</v>
      </c>
      <c r="D13" s="41" t="s">
        <v>166</v>
      </c>
    </row>
    <row r="14" spans="1:8" s="41" customFormat="1" x14ac:dyDescent="0.25">
      <c r="A14" s="41" t="s">
        <v>161</v>
      </c>
      <c r="B14" s="41" t="s">
        <v>167</v>
      </c>
      <c r="C14" s="41">
        <v>30</v>
      </c>
      <c r="D14" s="41" t="s">
        <v>166</v>
      </c>
    </row>
    <row r="15" spans="1:8" s="41" customFormat="1" x14ac:dyDescent="0.25">
      <c r="A15" s="41" t="s">
        <v>15</v>
      </c>
      <c r="B15" s="41" t="s">
        <v>167</v>
      </c>
      <c r="C15" s="41">
        <v>45000</v>
      </c>
      <c r="D15" s="41" t="s">
        <v>168</v>
      </c>
    </row>
    <row r="16" spans="1:8" s="41" customFormat="1" x14ac:dyDescent="0.25">
      <c r="A16" s="41" t="s">
        <v>16</v>
      </c>
      <c r="B16" s="41" t="s">
        <v>167</v>
      </c>
      <c r="C16" s="41">
        <v>26</v>
      </c>
      <c r="D16" s="41" t="s">
        <v>166</v>
      </c>
    </row>
    <row r="17" spans="1:10" s="41" customFormat="1" x14ac:dyDescent="0.25">
      <c r="A17" s="41" t="s">
        <v>14</v>
      </c>
      <c r="B17" s="41" t="s">
        <v>167</v>
      </c>
      <c r="C17" s="41">
        <v>42000</v>
      </c>
      <c r="D17" s="41" t="s">
        <v>168</v>
      </c>
    </row>
    <row r="18" spans="1:10" s="41" customFormat="1" x14ac:dyDescent="0.25">
      <c r="A18" s="41" t="s">
        <v>169</v>
      </c>
      <c r="B18" s="41" t="s">
        <v>167</v>
      </c>
      <c r="C18" s="41">
        <v>60000</v>
      </c>
      <c r="D18" s="41" t="s">
        <v>168</v>
      </c>
    </row>
    <row r="19" spans="1:10" s="41" customFormat="1" x14ac:dyDescent="0.25">
      <c r="A19" s="89"/>
      <c r="C19" s="89"/>
    </row>
    <row r="20" spans="1:10" ht="17.25" x14ac:dyDescent="0.25">
      <c r="A20" s="7" t="s">
        <v>289</v>
      </c>
    </row>
    <row r="21" spans="1:10" x14ac:dyDescent="0.25">
      <c r="A21" s="46" t="s">
        <v>150</v>
      </c>
      <c r="B21" s="41" t="s">
        <v>149</v>
      </c>
      <c r="C21" s="46" t="s">
        <v>151</v>
      </c>
      <c r="D21" s="46" t="s">
        <v>152</v>
      </c>
      <c r="E21" s="46" t="s">
        <v>163</v>
      </c>
      <c r="F21" s="46" t="s">
        <v>170</v>
      </c>
      <c r="G21" s="46" t="s">
        <v>171</v>
      </c>
      <c r="H21" s="46" t="s">
        <v>174</v>
      </c>
      <c r="I21" s="41" t="s">
        <v>153</v>
      </c>
      <c r="J21" s="41" t="s">
        <v>154</v>
      </c>
    </row>
    <row r="22" spans="1:10" x14ac:dyDescent="0.25">
      <c r="A22" s="41">
        <v>616</v>
      </c>
      <c r="B22" s="41" t="s">
        <v>155</v>
      </c>
      <c r="C22" s="41">
        <v>33</v>
      </c>
      <c r="D22" s="41">
        <v>1</v>
      </c>
      <c r="E22" s="41" t="str">
        <f t="shared" ref="E22:E57" si="0">VLOOKUP(B22,$A$8:$D$18,2,FALSE)</f>
        <v>TrackR</v>
      </c>
      <c r="F22" s="41">
        <f t="shared" ref="F22:F57" si="1">VLOOKUP(B22,$A$8:$D$18,3,FALSE)</f>
        <v>26</v>
      </c>
      <c r="G22" s="41" t="str">
        <f t="shared" ref="G22:G57" si="2">VLOOKUP(B22,$A$8:$D$18,4,FALSE)</f>
        <v>per hour</v>
      </c>
      <c r="H22" s="52">
        <f>IF(Table10[[#This Row],[Division]]=$A$4,$B$4*Table10[[#This Row],[Pay]], IF(Table10[[#This Row],[Pay Per]]=$C$3,Table10[[#This Row],[Pay]]/$B$3,Table10[[#This Row],[Pay]]*$B$5) )</f>
        <v>208</v>
      </c>
      <c r="I22" s="41">
        <v>3</v>
      </c>
      <c r="J22" s="41" t="s">
        <v>148</v>
      </c>
    </row>
    <row r="23" spans="1:10" x14ac:dyDescent="0.25">
      <c r="A23" s="41">
        <v>629</v>
      </c>
      <c r="B23" s="41" t="s">
        <v>155</v>
      </c>
      <c r="C23" s="41">
        <v>53</v>
      </c>
      <c r="D23" s="41">
        <v>1</v>
      </c>
      <c r="E23" s="41" t="str">
        <f t="shared" si="0"/>
        <v>TrackR</v>
      </c>
      <c r="F23" s="41">
        <f t="shared" si="1"/>
        <v>26</v>
      </c>
      <c r="G23" s="41" t="str">
        <f t="shared" si="2"/>
        <v>per hour</v>
      </c>
      <c r="H23" s="52">
        <f>IF(Table10[[#This Row],[Division]]=$A$4,$B$4*Table10[[#This Row],[Pay]], IF(Table10[[#This Row],[Pay Per]]=$C$3,Table10[[#This Row],[Pay]]/$B$3,Table10[[#This Row],[Pay]]*$B$5) )</f>
        <v>208</v>
      </c>
      <c r="I23" s="41">
        <v>6</v>
      </c>
      <c r="J23" s="41" t="s">
        <v>148</v>
      </c>
    </row>
    <row r="24" spans="1:10" s="37" customFormat="1" x14ac:dyDescent="0.25">
      <c r="A24" s="41">
        <v>608</v>
      </c>
      <c r="B24" s="41" t="s">
        <v>155</v>
      </c>
      <c r="C24" s="41">
        <v>26</v>
      </c>
      <c r="D24" s="41">
        <v>1</v>
      </c>
      <c r="E24" s="41" t="str">
        <f t="shared" si="0"/>
        <v>TrackR</v>
      </c>
      <c r="F24" s="41">
        <f t="shared" si="1"/>
        <v>26</v>
      </c>
      <c r="G24" s="41" t="str">
        <f t="shared" si="2"/>
        <v>per hour</v>
      </c>
      <c r="H24" s="52">
        <f>IF(Table10[[#This Row],[Division]]=$A$4,$B$4*Table10[[#This Row],[Pay]], IF(Table10[[#This Row],[Pay Per]]=$C$3,Table10[[#This Row],[Pay]]/$B$3,Table10[[#This Row],[Pay]]*$B$5) )</f>
        <v>208</v>
      </c>
      <c r="I24" s="41">
        <v>4</v>
      </c>
      <c r="J24" s="41" t="s">
        <v>148</v>
      </c>
    </row>
    <row r="25" spans="1:10" x14ac:dyDescent="0.25">
      <c r="A25" s="41">
        <v>617</v>
      </c>
      <c r="B25" s="41" t="s">
        <v>155</v>
      </c>
      <c r="C25" s="41">
        <v>39</v>
      </c>
      <c r="D25" s="41">
        <v>2</v>
      </c>
      <c r="E25" s="41" t="str">
        <f t="shared" si="0"/>
        <v>TrackR</v>
      </c>
      <c r="F25" s="41">
        <f t="shared" si="1"/>
        <v>26</v>
      </c>
      <c r="G25" s="41" t="str">
        <f t="shared" si="2"/>
        <v>per hour</v>
      </c>
      <c r="H25" s="52">
        <f>IF(Table10[[#This Row],[Division]]=$A$4,$B$4*Table10[[#This Row],[Pay]], IF(Table10[[#This Row],[Pay Per]]=$C$3,Table10[[#This Row],[Pay]]/$B$3,Table10[[#This Row],[Pay]]*$B$5) )</f>
        <v>208</v>
      </c>
      <c r="I25" s="41">
        <v>4</v>
      </c>
      <c r="J25" s="41" t="s">
        <v>148</v>
      </c>
    </row>
    <row r="26" spans="1:10" x14ac:dyDescent="0.25">
      <c r="A26" s="41">
        <v>609</v>
      </c>
      <c r="B26" s="41" t="s">
        <v>155</v>
      </c>
      <c r="C26" s="41">
        <v>32</v>
      </c>
      <c r="D26" s="41">
        <v>2</v>
      </c>
      <c r="E26" s="41" t="str">
        <f t="shared" si="0"/>
        <v>TrackR</v>
      </c>
      <c r="F26" s="41">
        <f t="shared" si="1"/>
        <v>26</v>
      </c>
      <c r="G26" s="41" t="str">
        <f t="shared" si="2"/>
        <v>per hour</v>
      </c>
      <c r="H26" s="52">
        <f>IF(Table10[[#This Row],[Division]]=$A$4,$B$4*Table10[[#This Row],[Pay]], IF(Table10[[#This Row],[Pay Per]]=$C$3,Table10[[#This Row],[Pay]]/$B$3,Table10[[#This Row],[Pay]]*$B$5) )</f>
        <v>208</v>
      </c>
      <c r="I26" s="41">
        <v>3</v>
      </c>
      <c r="J26" s="41" t="s">
        <v>148</v>
      </c>
    </row>
    <row r="27" spans="1:10" x14ac:dyDescent="0.25">
      <c r="A27" s="41">
        <v>610</v>
      </c>
      <c r="B27" s="41" t="s">
        <v>155</v>
      </c>
      <c r="C27" s="41">
        <v>49</v>
      </c>
      <c r="D27" s="41">
        <v>2</v>
      </c>
      <c r="E27" s="41" t="str">
        <f t="shared" si="0"/>
        <v>TrackR</v>
      </c>
      <c r="F27" s="41">
        <f t="shared" si="1"/>
        <v>26</v>
      </c>
      <c r="G27" s="41" t="str">
        <f t="shared" si="2"/>
        <v>per hour</v>
      </c>
      <c r="H27" s="52">
        <f>IF(Table10[[#This Row],[Division]]=$A$4,$B$4*Table10[[#This Row],[Pay]], IF(Table10[[#This Row],[Pay Per]]=$C$3,Table10[[#This Row],[Pay]]/$B$3,Table10[[#This Row],[Pay]]*$B$5) )</f>
        <v>208</v>
      </c>
      <c r="I27" s="41">
        <v>6</v>
      </c>
      <c r="J27" s="41" t="s">
        <v>148</v>
      </c>
    </row>
    <row r="28" spans="1:10" x14ac:dyDescent="0.25">
      <c r="A28" s="41">
        <v>623</v>
      </c>
      <c r="B28" s="41" t="s">
        <v>156</v>
      </c>
      <c r="C28" s="41">
        <v>54</v>
      </c>
      <c r="D28" s="41">
        <v>1</v>
      </c>
      <c r="E28" s="41" t="str">
        <f t="shared" si="0"/>
        <v>TrackR</v>
      </c>
      <c r="F28" s="41">
        <f t="shared" si="1"/>
        <v>22</v>
      </c>
      <c r="G28" s="41" t="str">
        <f t="shared" si="2"/>
        <v>per hour</v>
      </c>
      <c r="H28" s="52">
        <f>IF(Table10[[#This Row],[Division]]=$A$4,$B$4*Table10[[#This Row],[Pay]], IF(Table10[[#This Row],[Pay Per]]=$C$3,Table10[[#This Row],[Pay]]/$B$3,Table10[[#This Row],[Pay]]*$B$5) )</f>
        <v>176</v>
      </c>
      <c r="I28" s="41">
        <v>5</v>
      </c>
      <c r="J28" s="41" t="s">
        <v>148</v>
      </c>
    </row>
    <row r="29" spans="1:10" x14ac:dyDescent="0.25">
      <c r="A29" s="41">
        <v>635</v>
      </c>
      <c r="B29" s="41" t="s">
        <v>156</v>
      </c>
      <c r="C29" s="41">
        <v>32</v>
      </c>
      <c r="D29" s="41">
        <v>1</v>
      </c>
      <c r="E29" s="41" t="str">
        <f t="shared" si="0"/>
        <v>TrackR</v>
      </c>
      <c r="F29" s="41">
        <f t="shared" si="1"/>
        <v>22</v>
      </c>
      <c r="G29" s="41" t="str">
        <f t="shared" si="2"/>
        <v>per hour</v>
      </c>
      <c r="H29" s="52">
        <f>IF(Table10[[#This Row],[Division]]=$A$4,$B$4*Table10[[#This Row],[Pay]], IF(Table10[[#This Row],[Pay Per]]=$C$3,Table10[[#This Row],[Pay]]/$B$3,Table10[[#This Row],[Pay]]*$B$5) )</f>
        <v>176</v>
      </c>
      <c r="I29" s="41">
        <v>3</v>
      </c>
      <c r="J29" s="41" t="s">
        <v>148</v>
      </c>
    </row>
    <row r="30" spans="1:10" x14ac:dyDescent="0.25">
      <c r="A30" s="41">
        <v>624</v>
      </c>
      <c r="B30" s="41" t="s">
        <v>156</v>
      </c>
      <c r="C30" s="41">
        <v>35</v>
      </c>
      <c r="D30" s="41">
        <v>1</v>
      </c>
      <c r="E30" s="41" t="str">
        <f t="shared" si="0"/>
        <v>TrackR</v>
      </c>
      <c r="F30" s="41">
        <f t="shared" si="1"/>
        <v>22</v>
      </c>
      <c r="G30" s="41" t="str">
        <f t="shared" si="2"/>
        <v>per hour</v>
      </c>
      <c r="H30" s="52">
        <f>IF(Table10[[#This Row],[Division]]=$A$4,$B$4*Table10[[#This Row],[Pay]], IF(Table10[[#This Row],[Pay Per]]=$C$3,Table10[[#This Row],[Pay]]/$B$3,Table10[[#This Row],[Pay]]*$B$5) )</f>
        <v>176</v>
      </c>
      <c r="I30" s="41">
        <v>4</v>
      </c>
      <c r="J30" s="41" t="s">
        <v>148</v>
      </c>
    </row>
    <row r="31" spans="1:10" x14ac:dyDescent="0.25">
      <c r="A31" s="41">
        <v>613</v>
      </c>
      <c r="B31" s="41" t="s">
        <v>156</v>
      </c>
      <c r="C31" s="41">
        <v>44</v>
      </c>
      <c r="D31" s="41">
        <v>1</v>
      </c>
      <c r="E31" s="41" t="str">
        <f t="shared" si="0"/>
        <v>TrackR</v>
      </c>
      <c r="F31" s="41">
        <f t="shared" si="1"/>
        <v>22</v>
      </c>
      <c r="G31" s="41" t="str">
        <f t="shared" si="2"/>
        <v>per hour</v>
      </c>
      <c r="H31" s="52">
        <f>IF(Table10[[#This Row],[Division]]=$A$4,$B$4*Table10[[#This Row],[Pay]], IF(Table10[[#This Row],[Pay Per]]=$C$3,Table10[[#This Row],[Pay]]/$B$3,Table10[[#This Row],[Pay]]*$B$5) )</f>
        <v>176</v>
      </c>
      <c r="I31" s="41">
        <v>3</v>
      </c>
      <c r="J31" s="41" t="s">
        <v>148</v>
      </c>
    </row>
    <row r="32" spans="1:10" x14ac:dyDescent="0.25">
      <c r="A32" s="41">
        <v>636</v>
      </c>
      <c r="B32" s="41" t="s">
        <v>156</v>
      </c>
      <c r="C32" s="41">
        <v>31</v>
      </c>
      <c r="D32" s="41">
        <v>1</v>
      </c>
      <c r="E32" s="41" t="str">
        <f t="shared" si="0"/>
        <v>TrackR</v>
      </c>
      <c r="F32" s="41">
        <f t="shared" si="1"/>
        <v>22</v>
      </c>
      <c r="G32" s="41" t="str">
        <f t="shared" si="2"/>
        <v>per hour</v>
      </c>
      <c r="H32" s="52">
        <f>IF(Table10[[#This Row],[Division]]=$A$4,$B$4*Table10[[#This Row],[Pay]], IF(Table10[[#This Row],[Pay Per]]=$C$3,Table10[[#This Row],[Pay]]/$B$3,Table10[[#This Row],[Pay]]*$B$5) )</f>
        <v>176</v>
      </c>
      <c r="I32" s="41">
        <v>4</v>
      </c>
      <c r="J32" s="41" t="s">
        <v>148</v>
      </c>
    </row>
    <row r="33" spans="1:10" x14ac:dyDescent="0.25">
      <c r="A33" s="41">
        <v>614</v>
      </c>
      <c r="B33" s="41" t="s">
        <v>156</v>
      </c>
      <c r="C33" s="41">
        <v>52</v>
      </c>
      <c r="D33" s="41">
        <v>1</v>
      </c>
      <c r="E33" s="41" t="str">
        <f t="shared" si="0"/>
        <v>TrackR</v>
      </c>
      <c r="F33" s="41">
        <f t="shared" si="1"/>
        <v>22</v>
      </c>
      <c r="G33" s="41" t="str">
        <f t="shared" si="2"/>
        <v>per hour</v>
      </c>
      <c r="H33" s="52">
        <f>IF(Table10[[#This Row],[Division]]=$A$4,$B$4*Table10[[#This Row],[Pay]], IF(Table10[[#This Row],[Pay Per]]=$C$3,Table10[[#This Row],[Pay]]/$B$3,Table10[[#This Row],[Pay]]*$B$5) )</f>
        <v>176</v>
      </c>
      <c r="I33" s="41">
        <v>2</v>
      </c>
      <c r="J33" s="41" t="s">
        <v>148</v>
      </c>
    </row>
    <row r="34" spans="1:10" x14ac:dyDescent="0.25">
      <c r="A34" s="41">
        <v>637</v>
      </c>
      <c r="B34" s="41" t="s">
        <v>156</v>
      </c>
      <c r="C34" s="41">
        <v>42</v>
      </c>
      <c r="D34" s="41">
        <v>2</v>
      </c>
      <c r="E34" s="41" t="str">
        <f t="shared" si="0"/>
        <v>TrackR</v>
      </c>
      <c r="F34" s="41">
        <f t="shared" si="1"/>
        <v>22</v>
      </c>
      <c r="G34" s="41" t="str">
        <f t="shared" si="2"/>
        <v>per hour</v>
      </c>
      <c r="H34" s="52">
        <f>IF(Table10[[#This Row],[Division]]=$A$4,$B$4*Table10[[#This Row],[Pay]], IF(Table10[[#This Row],[Pay Per]]=$C$3,Table10[[#This Row],[Pay]]/$B$3,Table10[[#This Row],[Pay]]*$B$5) )</f>
        <v>176</v>
      </c>
      <c r="I34" s="41">
        <v>4</v>
      </c>
      <c r="J34" s="41" t="s">
        <v>148</v>
      </c>
    </row>
    <row r="35" spans="1:10" x14ac:dyDescent="0.25">
      <c r="A35" s="41">
        <v>622</v>
      </c>
      <c r="B35" s="41" t="s">
        <v>156</v>
      </c>
      <c r="C35" s="41">
        <v>46</v>
      </c>
      <c r="D35" s="41">
        <v>2</v>
      </c>
      <c r="E35" s="41" t="str">
        <f t="shared" si="0"/>
        <v>TrackR</v>
      </c>
      <c r="F35" s="41">
        <f t="shared" si="1"/>
        <v>22</v>
      </c>
      <c r="G35" s="41" t="str">
        <f t="shared" si="2"/>
        <v>per hour</v>
      </c>
      <c r="H35" s="52">
        <f>IF(Table10[[#This Row],[Division]]=$A$4,$B$4*Table10[[#This Row],[Pay]], IF(Table10[[#This Row],[Pay Per]]=$C$3,Table10[[#This Row],[Pay]]/$B$3,Table10[[#This Row],[Pay]]*$B$5) )</f>
        <v>176</v>
      </c>
      <c r="I35" s="41">
        <v>5</v>
      </c>
      <c r="J35" s="41" t="s">
        <v>148</v>
      </c>
    </row>
    <row r="36" spans="1:10" x14ac:dyDescent="0.25">
      <c r="A36" s="41">
        <v>634</v>
      </c>
      <c r="B36" s="41" t="s">
        <v>156</v>
      </c>
      <c r="C36" s="41">
        <v>35</v>
      </c>
      <c r="D36" s="41">
        <v>2</v>
      </c>
      <c r="E36" s="41" t="str">
        <f t="shared" si="0"/>
        <v>TrackR</v>
      </c>
      <c r="F36" s="41">
        <f t="shared" si="1"/>
        <v>22</v>
      </c>
      <c r="G36" s="41" t="str">
        <f t="shared" si="2"/>
        <v>per hour</v>
      </c>
      <c r="H36" s="52">
        <f>IF(Table10[[#This Row],[Division]]=$A$4,$B$4*Table10[[#This Row],[Pay]], IF(Table10[[#This Row],[Pay Per]]=$C$3,Table10[[#This Row],[Pay]]/$B$3,Table10[[#This Row],[Pay]]*$B$5) )</f>
        <v>176</v>
      </c>
      <c r="I36" s="41">
        <v>3</v>
      </c>
      <c r="J36" s="41" t="s">
        <v>148</v>
      </c>
    </row>
    <row r="37" spans="1:10" x14ac:dyDescent="0.25">
      <c r="A37" s="41">
        <v>615</v>
      </c>
      <c r="B37" s="41" t="s">
        <v>156</v>
      </c>
      <c r="C37" s="41">
        <v>41</v>
      </c>
      <c r="D37" s="41">
        <v>2</v>
      </c>
      <c r="E37" s="41" t="str">
        <f t="shared" si="0"/>
        <v>TrackR</v>
      </c>
      <c r="F37" s="41">
        <f t="shared" si="1"/>
        <v>22</v>
      </c>
      <c r="G37" s="41" t="str">
        <f t="shared" si="2"/>
        <v>per hour</v>
      </c>
      <c r="H37" s="52">
        <f>IF(Table10[[#This Row],[Division]]=$A$4,$B$4*Table10[[#This Row],[Pay]], IF(Table10[[#This Row],[Pay Per]]=$C$3,Table10[[#This Row],[Pay]]/$B$3,Table10[[#This Row],[Pay]]*$B$5) )</f>
        <v>176</v>
      </c>
      <c r="I37" s="41">
        <v>6</v>
      </c>
      <c r="J37" s="41" t="s">
        <v>148</v>
      </c>
    </row>
    <row r="38" spans="1:10" x14ac:dyDescent="0.25">
      <c r="A38" s="41">
        <v>633</v>
      </c>
      <c r="B38" s="41" t="s">
        <v>156</v>
      </c>
      <c r="C38" s="41">
        <v>25</v>
      </c>
      <c r="D38" s="41">
        <v>2</v>
      </c>
      <c r="E38" s="41" t="str">
        <f t="shared" si="0"/>
        <v>TrackR</v>
      </c>
      <c r="F38" s="41">
        <f t="shared" si="1"/>
        <v>22</v>
      </c>
      <c r="G38" s="41" t="str">
        <f t="shared" si="2"/>
        <v>per hour</v>
      </c>
      <c r="H38" s="52">
        <f>IF(Table10[[#This Row],[Division]]=$A$4,$B$4*Table10[[#This Row],[Pay]], IF(Table10[[#This Row],[Pay Per]]=$C$3,Table10[[#This Row],[Pay]]/$B$3,Table10[[#This Row],[Pay]]*$B$5) )</f>
        <v>176</v>
      </c>
      <c r="I38" s="41">
        <v>3</v>
      </c>
      <c r="J38" s="41" t="s">
        <v>148</v>
      </c>
    </row>
    <row r="39" spans="1:10" x14ac:dyDescent="0.25">
      <c r="A39" s="41">
        <v>639</v>
      </c>
      <c r="B39" s="41" t="s">
        <v>156</v>
      </c>
      <c r="C39" s="41">
        <v>31</v>
      </c>
      <c r="D39" s="41">
        <v>2</v>
      </c>
      <c r="E39" s="41" t="str">
        <f t="shared" si="0"/>
        <v>TrackR</v>
      </c>
      <c r="F39" s="41">
        <f t="shared" si="1"/>
        <v>22</v>
      </c>
      <c r="G39" s="41" t="str">
        <f t="shared" si="2"/>
        <v>per hour</v>
      </c>
      <c r="H39" s="52">
        <f>IF(Table10[[#This Row],[Division]]=$A$4,$B$4*Table10[[#This Row],[Pay]], IF(Table10[[#This Row],[Pay Per]]=$C$3,Table10[[#This Row],[Pay]]/$B$3,Table10[[#This Row],[Pay]]*$B$5) )</f>
        <v>176</v>
      </c>
      <c r="I39" s="41">
        <v>4</v>
      </c>
      <c r="J39" s="41" t="s">
        <v>148</v>
      </c>
    </row>
    <row r="40" spans="1:10" x14ac:dyDescent="0.25">
      <c r="A40" s="41">
        <v>638</v>
      </c>
      <c r="B40" s="41" t="s">
        <v>157</v>
      </c>
      <c r="C40" s="41">
        <v>43</v>
      </c>
      <c r="D40" s="41">
        <v>1</v>
      </c>
      <c r="E40" s="41" t="str">
        <f t="shared" si="0"/>
        <v>TrackR</v>
      </c>
      <c r="F40" s="41">
        <f t="shared" si="1"/>
        <v>26</v>
      </c>
      <c r="G40" s="41" t="str">
        <f t="shared" si="2"/>
        <v>per hour</v>
      </c>
      <c r="H40" s="52">
        <f>IF(Table10[[#This Row],[Division]]=$A$4,$B$4*Table10[[#This Row],[Pay]], IF(Table10[[#This Row],[Pay Per]]=$C$3,Table10[[#This Row],[Pay]]/$B$3,Table10[[#This Row],[Pay]]*$B$5) )</f>
        <v>208</v>
      </c>
      <c r="I40" s="41">
        <v>2</v>
      </c>
      <c r="J40" s="41"/>
    </row>
    <row r="41" spans="1:10" x14ac:dyDescent="0.25">
      <c r="A41" s="41">
        <v>607</v>
      </c>
      <c r="B41" s="41" t="s">
        <v>157</v>
      </c>
      <c r="C41" s="41">
        <v>43</v>
      </c>
      <c r="D41" s="41">
        <v>1</v>
      </c>
      <c r="E41" s="41" t="str">
        <f t="shared" si="0"/>
        <v>TrackR</v>
      </c>
      <c r="F41" s="41">
        <f t="shared" si="1"/>
        <v>26</v>
      </c>
      <c r="G41" s="41" t="str">
        <f t="shared" si="2"/>
        <v>per hour</v>
      </c>
      <c r="H41" s="52">
        <f>IF(Table10[[#This Row],[Division]]=$A$4,$B$4*Table10[[#This Row],[Pay]], IF(Table10[[#This Row],[Pay Per]]=$C$3,Table10[[#This Row],[Pay]]/$B$3,Table10[[#This Row],[Pay]]*$B$5) )</f>
        <v>208</v>
      </c>
      <c r="I41" s="41">
        <v>1</v>
      </c>
      <c r="J41" s="41"/>
    </row>
    <row r="42" spans="1:10" x14ac:dyDescent="0.25">
      <c r="A42" s="41">
        <v>631</v>
      </c>
      <c r="B42" s="41" t="s">
        <v>157</v>
      </c>
      <c r="C42" s="41">
        <v>38</v>
      </c>
      <c r="D42" s="41">
        <v>1</v>
      </c>
      <c r="E42" s="41" t="str">
        <f t="shared" si="0"/>
        <v>TrackR</v>
      </c>
      <c r="F42" s="41">
        <f t="shared" si="1"/>
        <v>26</v>
      </c>
      <c r="G42" s="41" t="str">
        <f t="shared" si="2"/>
        <v>per hour</v>
      </c>
      <c r="H42" s="52">
        <f>IF(Table10[[#This Row],[Division]]=$A$4,$B$4*Table10[[#This Row],[Pay]], IF(Table10[[#This Row],[Pay Per]]=$C$3,Table10[[#This Row],[Pay]]/$B$3,Table10[[#This Row],[Pay]]*$B$5) )</f>
        <v>208</v>
      </c>
      <c r="I42" s="41">
        <v>2</v>
      </c>
      <c r="J42" s="41"/>
    </row>
    <row r="43" spans="1:10" x14ac:dyDescent="0.25">
      <c r="A43" s="41">
        <v>618</v>
      </c>
      <c r="B43" s="41" t="s">
        <v>157</v>
      </c>
      <c r="C43" s="41">
        <v>42</v>
      </c>
      <c r="D43" s="41">
        <v>2</v>
      </c>
      <c r="E43" s="41" t="str">
        <f t="shared" si="0"/>
        <v>TrackR</v>
      </c>
      <c r="F43" s="41">
        <f t="shared" si="1"/>
        <v>26</v>
      </c>
      <c r="G43" s="41" t="str">
        <f t="shared" si="2"/>
        <v>per hour</v>
      </c>
      <c r="H43" s="52">
        <f>IF(Table10[[#This Row],[Division]]=$A$4,$B$4*Table10[[#This Row],[Pay]], IF(Table10[[#This Row],[Pay Per]]=$C$3,Table10[[#This Row],[Pay]]/$B$3,Table10[[#This Row],[Pay]]*$B$5) )</f>
        <v>208</v>
      </c>
      <c r="I43" s="41">
        <v>5</v>
      </c>
      <c r="J43" s="41"/>
    </row>
    <row r="44" spans="1:10" x14ac:dyDescent="0.25">
      <c r="A44" s="41">
        <v>606</v>
      </c>
      <c r="B44" s="41" t="s">
        <v>157</v>
      </c>
      <c r="C44" s="41">
        <v>41</v>
      </c>
      <c r="D44" s="41">
        <v>2</v>
      </c>
      <c r="E44" s="41" t="str">
        <f t="shared" si="0"/>
        <v>TrackR</v>
      </c>
      <c r="F44" s="41">
        <f t="shared" si="1"/>
        <v>26</v>
      </c>
      <c r="G44" s="41" t="str">
        <f t="shared" si="2"/>
        <v>per hour</v>
      </c>
      <c r="H44" s="52">
        <f>IF(Table10[[#This Row],[Division]]=$A$4,$B$4*Table10[[#This Row],[Pay]], IF(Table10[[#This Row],[Pay Per]]=$C$3,Table10[[#This Row],[Pay]]/$B$3,Table10[[#This Row],[Pay]]*$B$5) )</f>
        <v>208</v>
      </c>
      <c r="I44" s="41">
        <v>4</v>
      </c>
      <c r="J44" s="41"/>
    </row>
    <row r="45" spans="1:10" x14ac:dyDescent="0.25">
      <c r="A45" s="41">
        <v>630</v>
      </c>
      <c r="B45" s="41" t="s">
        <v>157</v>
      </c>
      <c r="C45" s="41">
        <v>29</v>
      </c>
      <c r="D45" s="41">
        <v>2</v>
      </c>
      <c r="E45" s="41" t="str">
        <f t="shared" si="0"/>
        <v>TrackR</v>
      </c>
      <c r="F45" s="41">
        <f t="shared" si="1"/>
        <v>26</v>
      </c>
      <c r="G45" s="41" t="str">
        <f t="shared" si="2"/>
        <v>per hour</v>
      </c>
      <c r="H45" s="52">
        <f>IF(Table10[[#This Row],[Division]]=$A$4,$B$4*Table10[[#This Row],[Pay]], IF(Table10[[#This Row],[Pay Per]]=$C$3,Table10[[#This Row],[Pay]]/$B$3,Table10[[#This Row],[Pay]]*$B$5) )</f>
        <v>208</v>
      </c>
      <c r="I45" s="41">
        <v>1</v>
      </c>
      <c r="J45" s="41"/>
    </row>
    <row r="46" spans="1:10" x14ac:dyDescent="0.25">
      <c r="A46" s="41">
        <v>611</v>
      </c>
      <c r="B46" s="41" t="s">
        <v>158</v>
      </c>
      <c r="C46" s="41">
        <v>42</v>
      </c>
      <c r="D46" s="41">
        <v>1</v>
      </c>
      <c r="E46" s="41" t="str">
        <f t="shared" si="0"/>
        <v>TrackR</v>
      </c>
      <c r="F46" s="41">
        <f t="shared" si="1"/>
        <v>30</v>
      </c>
      <c r="G46" s="41" t="str">
        <f t="shared" si="2"/>
        <v>per hour</v>
      </c>
      <c r="H46" s="52">
        <f>IF(Table10[[#This Row],[Division]]=$A$4,$B$4*Table10[[#This Row],[Pay]], IF(Table10[[#This Row],[Pay Per]]=$C$3,Table10[[#This Row],[Pay]]/$B$3,Table10[[#This Row],[Pay]]*$B$5) )</f>
        <v>240</v>
      </c>
      <c r="I46" s="41">
        <v>4</v>
      </c>
      <c r="J46" s="41"/>
    </row>
    <row r="47" spans="1:10" x14ac:dyDescent="0.25">
      <c r="A47" s="41">
        <v>605</v>
      </c>
      <c r="B47" s="41" t="s">
        <v>158</v>
      </c>
      <c r="C47" s="41">
        <v>38</v>
      </c>
      <c r="D47" s="41">
        <v>2</v>
      </c>
      <c r="E47" s="41" t="str">
        <f t="shared" si="0"/>
        <v>TrackR</v>
      </c>
      <c r="F47" s="41">
        <f t="shared" si="1"/>
        <v>30</v>
      </c>
      <c r="G47" s="41" t="str">
        <f t="shared" si="2"/>
        <v>per hour</v>
      </c>
      <c r="H47" s="52">
        <f>IF(Table10[[#This Row],[Division]]=$A$4,$B$4*Table10[[#This Row],[Pay]], IF(Table10[[#This Row],[Pay Per]]=$C$3,Table10[[#This Row],[Pay]]/$B$3,Table10[[#This Row],[Pay]]*$B$5) )</f>
        <v>240</v>
      </c>
      <c r="I47" s="41">
        <v>5</v>
      </c>
      <c r="J47" s="41"/>
    </row>
    <row r="48" spans="1:10" hidden="1" x14ac:dyDescent="0.25">
      <c r="A48" s="41">
        <v>632</v>
      </c>
      <c r="B48" s="41" t="s">
        <v>158</v>
      </c>
      <c r="C48" s="41">
        <v>28</v>
      </c>
      <c r="D48" s="41" t="s">
        <v>159</v>
      </c>
      <c r="E48" s="41" t="str">
        <f t="shared" si="0"/>
        <v>TrackR</v>
      </c>
      <c r="F48" s="41">
        <f t="shared" si="1"/>
        <v>30</v>
      </c>
      <c r="G48" s="41" t="str">
        <f t="shared" si="2"/>
        <v>per hour</v>
      </c>
      <c r="H48" s="52">
        <f>IF(Table10[[#This Row],[Division]]=$A$4,$B$4*Table10[[#This Row],[Pay]], IF(Table10[[#This Row],[Pay Per]]=$C$3,Table10[[#This Row],[Pay]]/$B$3,Table10[[#This Row],[Pay]]*$B$5) )</f>
        <v>240</v>
      </c>
      <c r="I48" s="41">
        <v>2</v>
      </c>
      <c r="J48" s="41"/>
    </row>
    <row r="49" spans="1:10" x14ac:dyDescent="0.25">
      <c r="A49" s="41">
        <v>626</v>
      </c>
      <c r="B49" s="41" t="s">
        <v>160</v>
      </c>
      <c r="C49" s="41">
        <v>41</v>
      </c>
      <c r="D49" s="41">
        <v>1</v>
      </c>
      <c r="E49" s="41" t="str">
        <f t="shared" si="0"/>
        <v>TrackR</v>
      </c>
      <c r="F49" s="41">
        <f t="shared" si="1"/>
        <v>26</v>
      </c>
      <c r="G49" s="41" t="str">
        <f t="shared" si="2"/>
        <v>per hour</v>
      </c>
      <c r="H49" s="52">
        <f>IF(Table10[[#This Row],[Division]]=$A$4,$B$4*Table10[[#This Row],[Pay]], IF(Table10[[#This Row],[Pay Per]]=$C$3,Table10[[#This Row],[Pay]]/$B$3,Table10[[#This Row],[Pay]]*$B$5) )</f>
        <v>208</v>
      </c>
      <c r="I49" s="41">
        <v>3</v>
      </c>
      <c r="J49" s="41"/>
    </row>
    <row r="50" spans="1:10" x14ac:dyDescent="0.25">
      <c r="A50" s="41">
        <v>620</v>
      </c>
      <c r="B50" s="41" t="s">
        <v>160</v>
      </c>
      <c r="C50" s="41">
        <v>38</v>
      </c>
      <c r="D50" s="41">
        <v>2</v>
      </c>
      <c r="E50" s="41" t="str">
        <f t="shared" si="0"/>
        <v>TrackR</v>
      </c>
      <c r="F50" s="41">
        <f t="shared" si="1"/>
        <v>26</v>
      </c>
      <c r="G50" s="41" t="str">
        <f t="shared" si="2"/>
        <v>per hour</v>
      </c>
      <c r="H50" s="52">
        <f>IF(Table10[[#This Row],[Division]]=$A$4,$B$4*Table10[[#This Row],[Pay]], IF(Table10[[#This Row],[Pay Per]]=$C$3,Table10[[#This Row],[Pay]]/$B$3,Table10[[#This Row],[Pay]]*$B$5) )</f>
        <v>208</v>
      </c>
      <c r="I50" s="41">
        <v>2</v>
      </c>
      <c r="J50" s="41"/>
    </row>
    <row r="51" spans="1:10" hidden="1" x14ac:dyDescent="0.25">
      <c r="A51" s="41">
        <v>612</v>
      </c>
      <c r="B51" s="41" t="s">
        <v>160</v>
      </c>
      <c r="C51" s="41">
        <v>32</v>
      </c>
      <c r="D51" s="41" t="s">
        <v>159</v>
      </c>
      <c r="E51" s="41" t="str">
        <f t="shared" si="0"/>
        <v>TrackR</v>
      </c>
      <c r="F51" s="41">
        <f t="shared" si="1"/>
        <v>26</v>
      </c>
      <c r="G51" s="41" t="str">
        <f t="shared" si="2"/>
        <v>per hour</v>
      </c>
      <c r="H51" s="52">
        <f>IF(Table10[[#This Row],[Division]]=$A$4,$B$4*Table10[[#This Row],[Pay]], IF(Table10[[#This Row],[Pay Per]]=$C$3,Table10[[#This Row],[Pay]]/$B$3,Table10[[#This Row],[Pay]]*$B$5) )</f>
        <v>208</v>
      </c>
      <c r="I51" s="41">
        <v>4</v>
      </c>
      <c r="J51" s="41"/>
    </row>
    <row r="52" spans="1:10" x14ac:dyDescent="0.25">
      <c r="A52" s="41">
        <v>601</v>
      </c>
      <c r="B52" s="41" t="s">
        <v>161</v>
      </c>
      <c r="C52" s="41">
        <v>25</v>
      </c>
      <c r="D52" s="41" t="s">
        <v>162</v>
      </c>
      <c r="E52" s="41" t="str">
        <f t="shared" si="0"/>
        <v>CDL</v>
      </c>
      <c r="F52" s="41">
        <f t="shared" si="1"/>
        <v>30</v>
      </c>
      <c r="G52" s="41" t="str">
        <f t="shared" si="2"/>
        <v>per hour</v>
      </c>
      <c r="H52" s="52">
        <f>IF(Table10[[#This Row],[Division]]=$A$4,$B$4*Table10[[#This Row],[Pay]], IF(Table10[[#This Row],[Pay Per]]=$C$3,Table10[[#This Row],[Pay]]/$B$3,Table10[[#This Row],[Pay]]*$B$5) )</f>
        <v>300</v>
      </c>
      <c r="I52" s="41">
        <v>4</v>
      </c>
      <c r="J52" s="41"/>
    </row>
    <row r="53" spans="1:10" x14ac:dyDescent="0.25">
      <c r="A53" s="41">
        <v>602</v>
      </c>
      <c r="B53" s="41" t="s">
        <v>161</v>
      </c>
      <c r="C53" s="41">
        <v>33</v>
      </c>
      <c r="D53" s="41" t="s">
        <v>162</v>
      </c>
      <c r="E53" s="41" t="str">
        <f t="shared" si="0"/>
        <v>CDL</v>
      </c>
      <c r="F53" s="41">
        <f t="shared" si="1"/>
        <v>30</v>
      </c>
      <c r="G53" s="41" t="str">
        <f t="shared" si="2"/>
        <v>per hour</v>
      </c>
      <c r="H53" s="52">
        <f>IF(Table10[[#This Row],[Division]]=$A$4,$B$4*Table10[[#This Row],[Pay]], IF(Table10[[#This Row],[Pay Per]]=$C$3,Table10[[#This Row],[Pay]]/$B$3,Table10[[#This Row],[Pay]]*$B$5) )</f>
        <v>300</v>
      </c>
      <c r="I53" s="41">
        <v>2</v>
      </c>
      <c r="J53" s="41"/>
    </row>
    <row r="54" spans="1:10" x14ac:dyDescent="0.25">
      <c r="A54" s="41">
        <v>604</v>
      </c>
      <c r="B54" s="41" t="s">
        <v>15</v>
      </c>
      <c r="C54" s="41">
        <v>33</v>
      </c>
      <c r="D54" s="41" t="s">
        <v>162</v>
      </c>
      <c r="E54" s="41" t="str">
        <f t="shared" si="0"/>
        <v>CDL</v>
      </c>
      <c r="F54" s="41">
        <f t="shared" si="1"/>
        <v>45000</v>
      </c>
      <c r="G54" s="41" t="str">
        <f t="shared" si="2"/>
        <v>per year</v>
      </c>
      <c r="H54" s="52">
        <f>IF(Table10[[#This Row],[Division]]=$A$4,$B$4*Table10[[#This Row],[Pay]], IF(Table10[[#This Row],[Pay Per]]=$C$3,Table10[[#This Row],[Pay]]/$B$3,Table10[[#This Row],[Pay]]*$B$5) )</f>
        <v>200</v>
      </c>
      <c r="I54" s="41">
        <v>3</v>
      </c>
      <c r="J54" s="41"/>
    </row>
    <row r="55" spans="1:10" x14ac:dyDescent="0.25">
      <c r="A55" s="41">
        <v>619</v>
      </c>
      <c r="B55" s="41" t="s">
        <v>15</v>
      </c>
      <c r="C55" s="41">
        <v>34</v>
      </c>
      <c r="D55" s="41" t="s">
        <v>162</v>
      </c>
      <c r="E55" s="41" t="str">
        <f t="shared" si="0"/>
        <v>CDL</v>
      </c>
      <c r="F55" s="41">
        <f t="shared" si="1"/>
        <v>45000</v>
      </c>
      <c r="G55" s="41" t="str">
        <f t="shared" si="2"/>
        <v>per year</v>
      </c>
      <c r="H55" s="52">
        <f>IF(Table10[[#This Row],[Division]]=$A$4,$B$4*Table10[[#This Row],[Pay]], IF(Table10[[#This Row],[Pay Per]]=$C$3,Table10[[#This Row],[Pay]]/$B$3,Table10[[#This Row],[Pay]]*$B$5) )</f>
        <v>200</v>
      </c>
      <c r="I55" s="41">
        <v>3</v>
      </c>
      <c r="J55" s="41"/>
    </row>
    <row r="56" spans="1:10" x14ac:dyDescent="0.25">
      <c r="A56" s="41">
        <v>627</v>
      </c>
      <c r="B56" s="41" t="s">
        <v>16</v>
      </c>
      <c r="C56" s="41">
        <v>32</v>
      </c>
      <c r="D56" s="41" t="s">
        <v>162</v>
      </c>
      <c r="E56" s="41" t="str">
        <f t="shared" si="0"/>
        <v>CDL</v>
      </c>
      <c r="F56" s="41">
        <f t="shared" si="1"/>
        <v>26</v>
      </c>
      <c r="G56" s="41" t="str">
        <f t="shared" si="2"/>
        <v>per hour</v>
      </c>
      <c r="H56" s="52">
        <f>IF(Table10[[#This Row],[Division]]=$A$4,$B$4*Table10[[#This Row],[Pay]], IF(Table10[[#This Row],[Pay Per]]=$C$3,Table10[[#This Row],[Pay]]/$B$3,Table10[[#This Row],[Pay]]*$B$5) )</f>
        <v>260</v>
      </c>
      <c r="I56" s="41">
        <v>2</v>
      </c>
      <c r="J56" s="41"/>
    </row>
    <row r="57" spans="1:10" x14ac:dyDescent="0.25">
      <c r="A57" s="41">
        <v>603</v>
      </c>
      <c r="B57" s="41" t="s">
        <v>16</v>
      </c>
      <c r="C57" s="41">
        <v>54</v>
      </c>
      <c r="D57" s="41" t="s">
        <v>162</v>
      </c>
      <c r="E57" s="41" t="str">
        <f t="shared" si="0"/>
        <v>CDL</v>
      </c>
      <c r="F57" s="41">
        <f t="shared" si="1"/>
        <v>26</v>
      </c>
      <c r="G57" s="41" t="str">
        <f t="shared" si="2"/>
        <v>per hour</v>
      </c>
      <c r="H57" s="52">
        <f>IF(Table10[[#This Row],[Division]]=$A$4,$B$4*Table10[[#This Row],[Pay]], IF(Table10[[#This Row],[Pay Per]]=$C$3,Table10[[#This Row],[Pay]]/$B$3,Table10[[#This Row],[Pay]]*$B$5) )</f>
        <v>260</v>
      </c>
      <c r="I57" s="41">
        <v>5</v>
      </c>
      <c r="J57" s="41"/>
    </row>
    <row r="58" spans="1:10" x14ac:dyDescent="0.25">
      <c r="A58" s="41" t="s">
        <v>95</v>
      </c>
      <c r="C58" s="41"/>
      <c r="D58" s="41"/>
      <c r="H58" s="54">
        <f>SUBTOTAL(109,Table10[Pay / Day])</f>
        <v>7024</v>
      </c>
      <c r="I58" s="34">
        <f>SUBTOTAL(101,Table10[Attitude Code])</f>
        <v>3.5294117647058822</v>
      </c>
      <c r="J58" s="41"/>
    </row>
    <row r="72" spans="4:11" x14ac:dyDescent="0.25">
      <c r="D72" s="41"/>
      <c r="I72" s="41"/>
      <c r="J72" s="41"/>
      <c r="K72" s="47"/>
    </row>
    <row r="73" spans="4:11" x14ac:dyDescent="0.25">
      <c r="D73" s="41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K70"/>
  <sheetViews>
    <sheetView workbookViewId="0">
      <selection activeCell="D7" sqref="D7:D9"/>
    </sheetView>
  </sheetViews>
  <sheetFormatPr defaultColWidth="9.140625" defaultRowHeight="15" x14ac:dyDescent="0.25"/>
  <cols>
    <col min="1" max="1" width="29.85546875" style="41" customWidth="1"/>
    <col min="2" max="2" width="28.5703125" style="41" bestFit="1" customWidth="1"/>
    <col min="3" max="3" width="12" style="41" bestFit="1" customWidth="1"/>
    <col min="4" max="4" width="10.140625" style="41" bestFit="1" customWidth="1"/>
    <col min="5" max="7" width="10.140625" style="41" customWidth="1"/>
    <col min="8" max="8" width="11.42578125" style="41" bestFit="1" customWidth="1"/>
    <col min="9" max="9" width="15.5703125" style="41" customWidth="1"/>
    <col min="10" max="10" width="12.7109375" style="41" customWidth="1"/>
    <col min="11" max="11" width="1.7109375" style="41" customWidth="1"/>
    <col min="12" max="12" width="28.5703125" style="41" bestFit="1" customWidth="1"/>
    <col min="13" max="14" width="10.42578125" style="41" bestFit="1" customWidth="1"/>
    <col min="15" max="15" width="8.5703125" style="41" bestFit="1" customWidth="1"/>
    <col min="16" max="16384" width="9.140625" style="41"/>
  </cols>
  <sheetData>
    <row r="1" spans="1:4" ht="23.25" x14ac:dyDescent="0.35">
      <c r="A1" s="6" t="s">
        <v>358</v>
      </c>
    </row>
    <row r="2" spans="1:4" x14ac:dyDescent="0.25">
      <c r="A2" s="1" t="s">
        <v>364</v>
      </c>
    </row>
    <row r="3" spans="1:4" x14ac:dyDescent="0.25">
      <c r="A3" s="1" t="s">
        <v>365</v>
      </c>
    </row>
    <row r="4" spans="1:4" x14ac:dyDescent="0.25">
      <c r="A4" s="1" t="str">
        <f>"Pay per Day has been decreased from $"&amp;Table10[[#Totals],[Pay / Day]]&amp; " to $"&amp;Table1030[[#Totals],[Pay / Day]]&amp;"."</f>
        <v>Pay per Day has been decreased from $7024 to $5744.</v>
      </c>
    </row>
    <row r="5" spans="1:4" x14ac:dyDescent="0.25">
      <c r="A5" s="1"/>
    </row>
    <row r="6" spans="1:4" ht="17.25" x14ac:dyDescent="0.25">
      <c r="A6" s="7" t="s">
        <v>295</v>
      </c>
    </row>
    <row r="7" spans="1:4" x14ac:dyDescent="0.25">
      <c r="A7" s="87" t="s">
        <v>388</v>
      </c>
      <c r="B7" s="88">
        <f>Assumption_1.01</f>
        <v>225</v>
      </c>
      <c r="C7" s="87" t="s">
        <v>168</v>
      </c>
      <c r="D7" s="41" t="s">
        <v>389</v>
      </c>
    </row>
    <row r="8" spans="1:4" x14ac:dyDescent="0.25">
      <c r="A8" s="87" t="s">
        <v>13</v>
      </c>
      <c r="B8" s="88">
        <f>Assumption_1.04</f>
        <v>8</v>
      </c>
      <c r="C8" s="87" t="s">
        <v>2</v>
      </c>
      <c r="D8" s="41" t="s">
        <v>387</v>
      </c>
    </row>
    <row r="9" spans="1:4" x14ac:dyDescent="0.25">
      <c r="A9" s="87" t="s">
        <v>167</v>
      </c>
      <c r="B9" s="88">
        <f>Assumption_1.05</f>
        <v>10</v>
      </c>
      <c r="C9" s="87" t="s">
        <v>2</v>
      </c>
      <c r="D9" s="41" t="s">
        <v>390</v>
      </c>
    </row>
    <row r="10" spans="1:4" x14ac:dyDescent="0.25">
      <c r="A10" s="89"/>
      <c r="C10" s="89"/>
    </row>
    <row r="11" spans="1:4" ht="17.25" x14ac:dyDescent="0.25">
      <c r="A11" s="7" t="s">
        <v>290</v>
      </c>
    </row>
    <row r="12" spans="1:4" x14ac:dyDescent="0.25">
      <c r="A12" s="41" t="s">
        <v>149</v>
      </c>
      <c r="B12" s="41" t="s">
        <v>163</v>
      </c>
      <c r="C12" s="41" t="s">
        <v>164</v>
      </c>
      <c r="D12" s="41" t="s">
        <v>165</v>
      </c>
    </row>
    <row r="13" spans="1:4" x14ac:dyDescent="0.25">
      <c r="A13" s="41" t="s">
        <v>155</v>
      </c>
      <c r="B13" s="41" t="s">
        <v>13</v>
      </c>
      <c r="C13" s="41">
        <v>26</v>
      </c>
      <c r="D13" s="41" t="s">
        <v>166</v>
      </c>
    </row>
    <row r="14" spans="1:4" x14ac:dyDescent="0.25">
      <c r="A14" s="41" t="s">
        <v>156</v>
      </c>
      <c r="B14" s="41" t="s">
        <v>13</v>
      </c>
      <c r="C14" s="41">
        <v>22</v>
      </c>
      <c r="D14" s="41" t="s">
        <v>166</v>
      </c>
    </row>
    <row r="15" spans="1:4" x14ac:dyDescent="0.25">
      <c r="A15" s="106" t="s">
        <v>348</v>
      </c>
      <c r="B15" s="106" t="s">
        <v>13</v>
      </c>
      <c r="C15" s="106">
        <v>26</v>
      </c>
      <c r="D15" s="106" t="s">
        <v>166</v>
      </c>
    </row>
    <row r="16" spans="1:4" x14ac:dyDescent="0.25">
      <c r="A16" s="106" t="s">
        <v>349</v>
      </c>
      <c r="B16" s="106" t="s">
        <v>13</v>
      </c>
      <c r="C16" s="106">
        <v>26</v>
      </c>
      <c r="D16" s="106" t="s">
        <v>166</v>
      </c>
    </row>
    <row r="17" spans="1:10" x14ac:dyDescent="0.25">
      <c r="A17" s="41" t="s">
        <v>157</v>
      </c>
      <c r="B17" s="41" t="s">
        <v>13</v>
      </c>
      <c r="C17" s="41">
        <v>26</v>
      </c>
      <c r="D17" s="41" t="s">
        <v>166</v>
      </c>
    </row>
    <row r="18" spans="1:10" x14ac:dyDescent="0.25">
      <c r="A18" s="41" t="s">
        <v>158</v>
      </c>
      <c r="B18" s="41" t="s">
        <v>13</v>
      </c>
      <c r="C18" s="41">
        <v>30</v>
      </c>
      <c r="D18" s="41" t="s">
        <v>166</v>
      </c>
    </row>
    <row r="19" spans="1:10" x14ac:dyDescent="0.25">
      <c r="A19" s="41" t="s">
        <v>160</v>
      </c>
      <c r="B19" s="41" t="s">
        <v>13</v>
      </c>
      <c r="C19" s="41">
        <v>26</v>
      </c>
      <c r="D19" s="41" t="s">
        <v>166</v>
      </c>
    </row>
    <row r="20" spans="1:10" x14ac:dyDescent="0.25">
      <c r="A20" s="41" t="s">
        <v>161</v>
      </c>
      <c r="B20" s="41" t="s">
        <v>167</v>
      </c>
      <c r="C20" s="41">
        <v>30</v>
      </c>
      <c r="D20" s="41" t="s">
        <v>166</v>
      </c>
    </row>
    <row r="21" spans="1:10" x14ac:dyDescent="0.25">
      <c r="A21" s="41" t="s">
        <v>15</v>
      </c>
      <c r="B21" s="41" t="s">
        <v>167</v>
      </c>
      <c r="C21" s="41">
        <v>45000</v>
      </c>
      <c r="D21" s="41" t="s">
        <v>168</v>
      </c>
    </row>
    <row r="22" spans="1:10" x14ac:dyDescent="0.25">
      <c r="A22" s="41" t="s">
        <v>16</v>
      </c>
      <c r="B22" s="41" t="s">
        <v>167</v>
      </c>
      <c r="C22" s="41">
        <v>26</v>
      </c>
      <c r="D22" s="41" t="s">
        <v>166</v>
      </c>
    </row>
    <row r="23" spans="1:10" x14ac:dyDescent="0.25">
      <c r="A23" s="41" t="s">
        <v>14</v>
      </c>
      <c r="B23" s="41" t="s">
        <v>167</v>
      </c>
      <c r="C23" s="41">
        <v>42000</v>
      </c>
      <c r="D23" s="41" t="s">
        <v>168</v>
      </c>
    </row>
    <row r="24" spans="1:10" x14ac:dyDescent="0.25">
      <c r="A24" s="41" t="s">
        <v>169</v>
      </c>
      <c r="B24" s="41" t="s">
        <v>167</v>
      </c>
      <c r="C24" s="41">
        <v>60000</v>
      </c>
      <c r="D24" s="41" t="s">
        <v>168</v>
      </c>
    </row>
    <row r="25" spans="1:10" x14ac:dyDescent="0.25">
      <c r="A25" s="89"/>
      <c r="C25" s="89"/>
    </row>
    <row r="26" spans="1:10" ht="17.25" x14ac:dyDescent="0.25">
      <c r="A26" s="7" t="s">
        <v>289</v>
      </c>
    </row>
    <row r="27" spans="1:10" x14ac:dyDescent="0.25">
      <c r="A27" s="46" t="s">
        <v>150</v>
      </c>
      <c r="B27" s="41" t="s">
        <v>149</v>
      </c>
      <c r="C27" s="46" t="s">
        <v>151</v>
      </c>
      <c r="D27" s="46" t="s">
        <v>152</v>
      </c>
      <c r="E27" s="46" t="s">
        <v>163</v>
      </c>
      <c r="F27" s="46" t="s">
        <v>170</v>
      </c>
      <c r="G27" s="46" t="s">
        <v>171</v>
      </c>
      <c r="H27" s="46" t="s">
        <v>174</v>
      </c>
      <c r="I27" s="41" t="s">
        <v>153</v>
      </c>
      <c r="J27" s="41" t="s">
        <v>154</v>
      </c>
    </row>
    <row r="28" spans="1:10" x14ac:dyDescent="0.25">
      <c r="A28" s="41">
        <v>616</v>
      </c>
      <c r="B28" s="41" t="s">
        <v>155</v>
      </c>
      <c r="C28" s="41">
        <v>33</v>
      </c>
      <c r="D28" s="41">
        <v>1</v>
      </c>
      <c r="E28" s="41" t="str">
        <f t="shared" ref="E28:E63" si="0">VLOOKUP(B28,$A$12:$D$22,2,FALSE)</f>
        <v>TrackR</v>
      </c>
      <c r="F28" s="41">
        <f t="shared" ref="F28:F63" si="1">VLOOKUP(B28,$A$12:$D$24,3,FALSE)</f>
        <v>26</v>
      </c>
      <c r="G28" s="41" t="str">
        <f t="shared" ref="G28:G63" si="2">VLOOKUP(B28,$A$12:$D$24,4,FALSE)</f>
        <v>per hour</v>
      </c>
      <c r="H28" s="52">
        <f>IF(Table1030[[#This Row],[Division]]=$A$8,$B$8*Table1030[[#This Row],[Pay]], IF(Table1030[[#This Row],[Pay Per]]=$C$7,Table1030[[#This Row],[Pay]]/$B$7,Table1030[[#This Row],[Pay]]*$B$9) )</f>
        <v>208</v>
      </c>
      <c r="J28" s="41" t="s">
        <v>148</v>
      </c>
    </row>
    <row r="29" spans="1:10" x14ac:dyDescent="0.25">
      <c r="A29" s="41">
        <v>629</v>
      </c>
      <c r="B29" s="41" t="s">
        <v>155</v>
      </c>
      <c r="C29" s="41">
        <v>53</v>
      </c>
      <c r="D29" s="41">
        <v>1</v>
      </c>
      <c r="E29" s="41" t="str">
        <f t="shared" si="0"/>
        <v>TrackR</v>
      </c>
      <c r="F29" s="41">
        <f t="shared" si="1"/>
        <v>26</v>
      </c>
      <c r="G29" s="41" t="str">
        <f t="shared" si="2"/>
        <v>per hour</v>
      </c>
      <c r="H29" s="52">
        <f>IF(Table1030[[#This Row],[Division]]=$A$8,$B$8*Table1030[[#This Row],[Pay]], IF(Table1030[[#This Row],[Pay Per]]=$C$7,Table1030[[#This Row],[Pay]]/$B$7,Table1030[[#This Row],[Pay]]*$B$9) )</f>
        <v>208</v>
      </c>
      <c r="J29" s="41" t="s">
        <v>148</v>
      </c>
    </row>
    <row r="30" spans="1:10" x14ac:dyDescent="0.25">
      <c r="A30" s="41">
        <v>608</v>
      </c>
      <c r="B30" s="41" t="s">
        <v>155</v>
      </c>
      <c r="C30" s="41">
        <v>26</v>
      </c>
      <c r="D30" s="41">
        <v>1</v>
      </c>
      <c r="E30" s="41" t="str">
        <f t="shared" si="0"/>
        <v>TrackR</v>
      </c>
      <c r="F30" s="41">
        <f t="shared" si="1"/>
        <v>26</v>
      </c>
      <c r="G30" s="41" t="str">
        <f t="shared" si="2"/>
        <v>per hour</v>
      </c>
      <c r="H30" s="52">
        <f>IF(Table1030[[#This Row],[Division]]=$A$8,$B$8*Table1030[[#This Row],[Pay]], IF(Table1030[[#This Row],[Pay Per]]=$C$7,Table1030[[#This Row],[Pay]]/$B$7,Table1030[[#This Row],[Pay]]*$B$9) )</f>
        <v>208</v>
      </c>
      <c r="J30" s="41" t="s">
        <v>148</v>
      </c>
    </row>
    <row r="31" spans="1:10" x14ac:dyDescent="0.25">
      <c r="A31" s="41">
        <v>617</v>
      </c>
      <c r="B31" s="41" t="s">
        <v>155</v>
      </c>
      <c r="C31" s="41">
        <v>39</v>
      </c>
      <c r="D31" s="41">
        <v>2</v>
      </c>
      <c r="E31" s="41" t="str">
        <f t="shared" si="0"/>
        <v>TrackR</v>
      </c>
      <c r="F31" s="41">
        <f t="shared" si="1"/>
        <v>26</v>
      </c>
      <c r="G31" s="41" t="str">
        <f t="shared" si="2"/>
        <v>per hour</v>
      </c>
      <c r="H31" s="52">
        <f>IF(Table1030[[#This Row],[Division]]=$A$8,$B$8*Table1030[[#This Row],[Pay]], IF(Table1030[[#This Row],[Pay Per]]=$C$7,Table1030[[#This Row],[Pay]]/$B$7,Table1030[[#This Row],[Pay]]*$B$9) )</f>
        <v>208</v>
      </c>
      <c r="J31" s="41" t="s">
        <v>148</v>
      </c>
    </row>
    <row r="32" spans="1:10" x14ac:dyDescent="0.25">
      <c r="A32" s="41">
        <v>609</v>
      </c>
      <c r="B32" s="41" t="s">
        <v>155</v>
      </c>
      <c r="C32" s="41">
        <v>32</v>
      </c>
      <c r="D32" s="41">
        <v>2</v>
      </c>
      <c r="E32" s="41" t="str">
        <f t="shared" si="0"/>
        <v>TrackR</v>
      </c>
      <c r="F32" s="41">
        <f t="shared" si="1"/>
        <v>26</v>
      </c>
      <c r="G32" s="41" t="str">
        <f t="shared" si="2"/>
        <v>per hour</v>
      </c>
      <c r="H32" s="52">
        <f>IF(Table1030[[#This Row],[Division]]=$A$8,$B$8*Table1030[[#This Row],[Pay]], IF(Table1030[[#This Row],[Pay Per]]=$C$7,Table1030[[#This Row],[Pay]]/$B$7,Table1030[[#This Row],[Pay]]*$B$9) )</f>
        <v>208</v>
      </c>
      <c r="J32" s="41" t="s">
        <v>148</v>
      </c>
    </row>
    <row r="33" spans="1:10" x14ac:dyDescent="0.25">
      <c r="A33" s="41">
        <v>610</v>
      </c>
      <c r="B33" s="41" t="s">
        <v>155</v>
      </c>
      <c r="C33" s="41">
        <v>49</v>
      </c>
      <c r="D33" s="41">
        <v>2</v>
      </c>
      <c r="E33" s="41" t="str">
        <f t="shared" si="0"/>
        <v>TrackR</v>
      </c>
      <c r="F33" s="41">
        <f t="shared" si="1"/>
        <v>26</v>
      </c>
      <c r="G33" s="41" t="str">
        <f t="shared" si="2"/>
        <v>per hour</v>
      </c>
      <c r="H33" s="52">
        <f>IF(Table1030[[#This Row],[Division]]=$A$8,$B$8*Table1030[[#This Row],[Pay]], IF(Table1030[[#This Row],[Pay Per]]=$C$7,Table1030[[#This Row],[Pay]]/$B$7,Table1030[[#This Row],[Pay]]*$B$9) )</f>
        <v>208</v>
      </c>
      <c r="J33" s="41" t="s">
        <v>148</v>
      </c>
    </row>
    <row r="34" spans="1:10" x14ac:dyDescent="0.25">
      <c r="A34" s="106">
        <v>623</v>
      </c>
      <c r="B34" s="106" t="s">
        <v>348</v>
      </c>
      <c r="C34" s="106">
        <v>54</v>
      </c>
      <c r="D34" s="106">
        <v>1</v>
      </c>
      <c r="E34" s="106" t="str">
        <f t="shared" si="0"/>
        <v>TrackR</v>
      </c>
      <c r="F34" s="106">
        <f t="shared" si="1"/>
        <v>26</v>
      </c>
      <c r="G34" s="106" t="str">
        <f t="shared" si="2"/>
        <v>per hour</v>
      </c>
      <c r="H34" s="107">
        <f>IF(Table1030[[#This Row],[Division]]=$A$8,$B$8*Table1030[[#This Row],[Pay]], IF(Table1030[[#This Row],[Pay Per]]=$C$7,Table1030[[#This Row],[Pay]]/$B$7,Table1030[[#This Row],[Pay]]*$B$9) )</f>
        <v>208</v>
      </c>
      <c r="I34" s="106"/>
      <c r="J34" s="106" t="s">
        <v>148</v>
      </c>
    </row>
    <row r="35" spans="1:10" x14ac:dyDescent="0.25">
      <c r="A35" s="106">
        <v>635</v>
      </c>
      <c r="B35" s="106" t="s">
        <v>348</v>
      </c>
      <c r="C35" s="106">
        <v>32</v>
      </c>
      <c r="D35" s="106">
        <v>2</v>
      </c>
      <c r="E35" s="106" t="str">
        <f t="shared" si="0"/>
        <v>TrackR</v>
      </c>
      <c r="F35" s="106">
        <f t="shared" si="1"/>
        <v>26</v>
      </c>
      <c r="G35" s="106" t="str">
        <f t="shared" si="2"/>
        <v>per hour</v>
      </c>
      <c r="H35" s="107">
        <f>IF(Table1030[[#This Row],[Division]]=$A$8,$B$8*Table1030[[#This Row],[Pay]], IF(Table1030[[#This Row],[Pay Per]]=$C$7,Table1030[[#This Row],[Pay]]/$B$7,Table1030[[#This Row],[Pay]]*$B$9) )</f>
        <v>208</v>
      </c>
      <c r="I35" s="106"/>
      <c r="J35" s="106" t="s">
        <v>148</v>
      </c>
    </row>
    <row r="36" spans="1:10" hidden="1" x14ac:dyDescent="0.25">
      <c r="A36" s="106">
        <v>624</v>
      </c>
      <c r="B36" s="106" t="s">
        <v>156</v>
      </c>
      <c r="C36" s="106">
        <v>35</v>
      </c>
      <c r="D36" s="106" t="s">
        <v>159</v>
      </c>
      <c r="E36" s="108" t="str">
        <f t="shared" si="0"/>
        <v>TrackR</v>
      </c>
      <c r="F36" s="108">
        <f t="shared" si="1"/>
        <v>22</v>
      </c>
      <c r="G36" s="108" t="str">
        <f t="shared" si="2"/>
        <v>per hour</v>
      </c>
      <c r="H36" s="107">
        <f>IF(Table1030[[#This Row],[Division]]=$A$8,$B$8*Table1030[[#This Row],[Pay]], IF(Table1030[[#This Row],[Pay Per]]=$C$7,Table1030[[#This Row],[Pay]]/$B$7,Table1030[[#This Row],[Pay]]*$B$9) )</f>
        <v>176</v>
      </c>
      <c r="I36" s="106"/>
      <c r="J36" s="106" t="s">
        <v>148</v>
      </c>
    </row>
    <row r="37" spans="1:10" hidden="1" x14ac:dyDescent="0.25">
      <c r="A37" s="106">
        <v>613</v>
      </c>
      <c r="B37" s="106" t="s">
        <v>156</v>
      </c>
      <c r="C37" s="106">
        <v>44</v>
      </c>
      <c r="D37" s="106" t="s">
        <v>159</v>
      </c>
      <c r="E37" s="108" t="str">
        <f t="shared" si="0"/>
        <v>TrackR</v>
      </c>
      <c r="F37" s="108">
        <f t="shared" si="1"/>
        <v>22</v>
      </c>
      <c r="G37" s="108" t="str">
        <f t="shared" si="2"/>
        <v>per hour</v>
      </c>
      <c r="H37" s="107">
        <f>IF(Table1030[[#This Row],[Division]]=$A$8,$B$8*Table1030[[#This Row],[Pay]], IF(Table1030[[#This Row],[Pay Per]]=$C$7,Table1030[[#This Row],[Pay]]/$B$7,Table1030[[#This Row],[Pay]]*$B$9) )</f>
        <v>176</v>
      </c>
      <c r="I37" s="106"/>
      <c r="J37" s="106" t="s">
        <v>148</v>
      </c>
    </row>
    <row r="38" spans="1:10" hidden="1" x14ac:dyDescent="0.25">
      <c r="A38" s="106">
        <v>636</v>
      </c>
      <c r="B38" s="106" t="s">
        <v>156</v>
      </c>
      <c r="C38" s="106">
        <v>31</v>
      </c>
      <c r="D38" s="106" t="s">
        <v>159</v>
      </c>
      <c r="E38" s="108" t="str">
        <f t="shared" si="0"/>
        <v>TrackR</v>
      </c>
      <c r="F38" s="108">
        <f t="shared" si="1"/>
        <v>22</v>
      </c>
      <c r="G38" s="108" t="str">
        <f t="shared" si="2"/>
        <v>per hour</v>
      </c>
      <c r="H38" s="107">
        <f>IF(Table1030[[#This Row],[Division]]=$A$8,$B$8*Table1030[[#This Row],[Pay]], IF(Table1030[[#This Row],[Pay Per]]=$C$7,Table1030[[#This Row],[Pay]]/$B$7,Table1030[[#This Row],[Pay]]*$B$9) )</f>
        <v>176</v>
      </c>
      <c r="I38" s="106"/>
      <c r="J38" s="106" t="s">
        <v>148</v>
      </c>
    </row>
    <row r="39" spans="1:10" hidden="1" x14ac:dyDescent="0.25">
      <c r="A39" s="106">
        <v>614</v>
      </c>
      <c r="B39" s="106" t="s">
        <v>156</v>
      </c>
      <c r="C39" s="106">
        <v>52</v>
      </c>
      <c r="D39" s="106" t="s">
        <v>159</v>
      </c>
      <c r="E39" s="108" t="str">
        <f t="shared" si="0"/>
        <v>TrackR</v>
      </c>
      <c r="F39" s="108">
        <f t="shared" si="1"/>
        <v>22</v>
      </c>
      <c r="G39" s="108" t="str">
        <f t="shared" si="2"/>
        <v>per hour</v>
      </c>
      <c r="H39" s="107">
        <f>IF(Table1030[[#This Row],[Division]]=$A$8,$B$8*Table1030[[#This Row],[Pay]], IF(Table1030[[#This Row],[Pay Per]]=$C$7,Table1030[[#This Row],[Pay]]/$B$7,Table1030[[#This Row],[Pay]]*$B$9) )</f>
        <v>176</v>
      </c>
      <c r="I39" s="106"/>
      <c r="J39" s="106" t="s">
        <v>148</v>
      </c>
    </row>
    <row r="40" spans="1:10" x14ac:dyDescent="0.25">
      <c r="A40" s="106">
        <v>637</v>
      </c>
      <c r="B40" s="106" t="s">
        <v>349</v>
      </c>
      <c r="C40" s="106">
        <v>42</v>
      </c>
      <c r="D40" s="106">
        <v>1</v>
      </c>
      <c r="E40" s="106" t="str">
        <f t="shared" si="0"/>
        <v>TrackR</v>
      </c>
      <c r="F40" s="106">
        <f t="shared" si="1"/>
        <v>26</v>
      </c>
      <c r="G40" s="106" t="str">
        <f t="shared" si="2"/>
        <v>per hour</v>
      </c>
      <c r="H40" s="107">
        <f>IF(Table1030[[#This Row],[Division]]=$A$8,$B$8*Table1030[[#This Row],[Pay]], IF(Table1030[[#This Row],[Pay Per]]=$C$7,Table1030[[#This Row],[Pay]]/$B$7,Table1030[[#This Row],[Pay]]*$B$9) )</f>
        <v>208</v>
      </c>
      <c r="I40" s="106"/>
      <c r="J40" s="106" t="s">
        <v>148</v>
      </c>
    </row>
    <row r="41" spans="1:10" x14ac:dyDescent="0.25">
      <c r="A41" s="106">
        <v>622</v>
      </c>
      <c r="B41" s="106" t="s">
        <v>349</v>
      </c>
      <c r="C41" s="106">
        <v>46</v>
      </c>
      <c r="D41" s="106">
        <v>2</v>
      </c>
      <c r="E41" s="106" t="str">
        <f t="shared" si="0"/>
        <v>TrackR</v>
      </c>
      <c r="F41" s="106">
        <f t="shared" si="1"/>
        <v>26</v>
      </c>
      <c r="G41" s="106" t="str">
        <f t="shared" si="2"/>
        <v>per hour</v>
      </c>
      <c r="H41" s="107">
        <f>IF(Table1030[[#This Row],[Division]]=$A$8,$B$8*Table1030[[#This Row],[Pay]], IF(Table1030[[#This Row],[Pay Per]]=$C$7,Table1030[[#This Row],[Pay]]/$B$7,Table1030[[#This Row],[Pay]]*$B$9) )</f>
        <v>208</v>
      </c>
      <c r="I41" s="106"/>
      <c r="J41" s="106" t="s">
        <v>148</v>
      </c>
    </row>
    <row r="42" spans="1:10" hidden="1" x14ac:dyDescent="0.25">
      <c r="A42" s="106">
        <v>634</v>
      </c>
      <c r="B42" s="106" t="s">
        <v>156</v>
      </c>
      <c r="C42" s="106">
        <v>35</v>
      </c>
      <c r="D42" s="106" t="s">
        <v>159</v>
      </c>
      <c r="E42" s="106" t="str">
        <f t="shared" si="0"/>
        <v>TrackR</v>
      </c>
      <c r="F42" s="108">
        <f t="shared" si="1"/>
        <v>22</v>
      </c>
      <c r="G42" s="108" t="str">
        <f t="shared" si="2"/>
        <v>per hour</v>
      </c>
      <c r="H42" s="107">
        <f>IF(Table1030[[#This Row],[Division]]=$A$8,$B$8*Table1030[[#This Row],[Pay]], IF(Table1030[[#This Row],[Pay Per]]=$C$7,Table1030[[#This Row],[Pay]]/$B$7,Table1030[[#This Row],[Pay]]*$B$9) )</f>
        <v>176</v>
      </c>
      <c r="I42" s="106"/>
      <c r="J42" s="106" t="s">
        <v>148</v>
      </c>
    </row>
    <row r="43" spans="1:10" hidden="1" x14ac:dyDescent="0.25">
      <c r="A43" s="106">
        <v>615</v>
      </c>
      <c r="B43" s="106" t="s">
        <v>156</v>
      </c>
      <c r="C43" s="106">
        <v>41</v>
      </c>
      <c r="D43" s="106" t="s">
        <v>159</v>
      </c>
      <c r="E43" s="106" t="str">
        <f t="shared" si="0"/>
        <v>TrackR</v>
      </c>
      <c r="F43" s="108">
        <f t="shared" si="1"/>
        <v>22</v>
      </c>
      <c r="G43" s="108" t="str">
        <f t="shared" si="2"/>
        <v>per hour</v>
      </c>
      <c r="H43" s="107">
        <f>IF(Table1030[[#This Row],[Division]]=$A$8,$B$8*Table1030[[#This Row],[Pay]], IF(Table1030[[#This Row],[Pay Per]]=$C$7,Table1030[[#This Row],[Pay]]/$B$7,Table1030[[#This Row],[Pay]]*$B$9) )</f>
        <v>176</v>
      </c>
      <c r="I43" s="106"/>
      <c r="J43" s="106" t="s">
        <v>148</v>
      </c>
    </row>
    <row r="44" spans="1:10" hidden="1" x14ac:dyDescent="0.25">
      <c r="A44" s="106">
        <v>633</v>
      </c>
      <c r="B44" s="106" t="s">
        <v>156</v>
      </c>
      <c r="C44" s="106">
        <v>25</v>
      </c>
      <c r="D44" s="106" t="s">
        <v>159</v>
      </c>
      <c r="E44" s="106" t="str">
        <f t="shared" si="0"/>
        <v>TrackR</v>
      </c>
      <c r="F44" s="108">
        <f t="shared" si="1"/>
        <v>22</v>
      </c>
      <c r="G44" s="108" t="str">
        <f t="shared" si="2"/>
        <v>per hour</v>
      </c>
      <c r="H44" s="107">
        <f>IF(Table1030[[#This Row],[Division]]=$A$8,$B$8*Table1030[[#This Row],[Pay]], IF(Table1030[[#This Row],[Pay Per]]=$C$7,Table1030[[#This Row],[Pay]]/$B$7,Table1030[[#This Row],[Pay]]*$B$9) )</f>
        <v>176</v>
      </c>
      <c r="I44" s="106"/>
      <c r="J44" s="106" t="s">
        <v>148</v>
      </c>
    </row>
    <row r="45" spans="1:10" hidden="1" x14ac:dyDescent="0.25">
      <c r="A45" s="106">
        <v>639</v>
      </c>
      <c r="B45" s="106" t="s">
        <v>156</v>
      </c>
      <c r="C45" s="106">
        <v>31</v>
      </c>
      <c r="D45" s="106" t="s">
        <v>159</v>
      </c>
      <c r="E45" s="106" t="str">
        <f t="shared" si="0"/>
        <v>TrackR</v>
      </c>
      <c r="F45" s="108">
        <f t="shared" si="1"/>
        <v>22</v>
      </c>
      <c r="G45" s="108" t="str">
        <f t="shared" si="2"/>
        <v>per hour</v>
      </c>
      <c r="H45" s="107">
        <f>IF(Table1030[[#This Row],[Division]]=$A$8,$B$8*Table1030[[#This Row],[Pay]], IF(Table1030[[#This Row],[Pay Per]]=$C$7,Table1030[[#This Row],[Pay]]/$B$7,Table1030[[#This Row],[Pay]]*$B$9) )</f>
        <v>176</v>
      </c>
      <c r="I45" s="106"/>
      <c r="J45" s="106" t="s">
        <v>148</v>
      </c>
    </row>
    <row r="46" spans="1:10" x14ac:dyDescent="0.25">
      <c r="A46" s="41">
        <v>638</v>
      </c>
      <c r="B46" s="41" t="s">
        <v>157</v>
      </c>
      <c r="C46" s="41">
        <v>43</v>
      </c>
      <c r="D46" s="41">
        <v>1</v>
      </c>
      <c r="E46" s="41" t="str">
        <f t="shared" si="0"/>
        <v>TrackR</v>
      </c>
      <c r="F46" s="41">
        <f t="shared" si="1"/>
        <v>26</v>
      </c>
      <c r="G46" s="41" t="str">
        <f t="shared" si="2"/>
        <v>per hour</v>
      </c>
      <c r="H46" s="52">
        <f>IF(Table1030[[#This Row],[Division]]=$A$8,$B$8*Table1030[[#This Row],[Pay]], IF(Table1030[[#This Row],[Pay Per]]=$C$7,Table1030[[#This Row],[Pay]]/$B$7,Table1030[[#This Row],[Pay]]*$B$9) )</f>
        <v>208</v>
      </c>
    </row>
    <row r="47" spans="1:10" x14ac:dyDescent="0.25">
      <c r="A47" s="41">
        <v>607</v>
      </c>
      <c r="B47" s="41" t="s">
        <v>157</v>
      </c>
      <c r="C47" s="41">
        <v>43</v>
      </c>
      <c r="D47" s="41">
        <v>1</v>
      </c>
      <c r="E47" s="41" t="str">
        <f t="shared" si="0"/>
        <v>TrackR</v>
      </c>
      <c r="F47" s="41">
        <f t="shared" si="1"/>
        <v>26</v>
      </c>
      <c r="G47" s="41" t="str">
        <f t="shared" si="2"/>
        <v>per hour</v>
      </c>
      <c r="H47" s="52">
        <f>IF(Table1030[[#This Row],[Division]]=$A$8,$B$8*Table1030[[#This Row],[Pay]], IF(Table1030[[#This Row],[Pay Per]]=$C$7,Table1030[[#This Row],[Pay]]/$B$7,Table1030[[#This Row],[Pay]]*$B$9) )</f>
        <v>208</v>
      </c>
    </row>
    <row r="48" spans="1:10" x14ac:dyDescent="0.25">
      <c r="A48" s="41">
        <v>631</v>
      </c>
      <c r="B48" s="41" t="s">
        <v>157</v>
      </c>
      <c r="C48" s="41">
        <v>38</v>
      </c>
      <c r="D48" s="41">
        <v>1</v>
      </c>
      <c r="E48" s="41" t="str">
        <f t="shared" si="0"/>
        <v>TrackR</v>
      </c>
      <c r="F48" s="41">
        <f t="shared" si="1"/>
        <v>26</v>
      </c>
      <c r="G48" s="41" t="str">
        <f t="shared" si="2"/>
        <v>per hour</v>
      </c>
      <c r="H48" s="52">
        <f>IF(Table1030[[#This Row],[Division]]=$A$8,$B$8*Table1030[[#This Row],[Pay]], IF(Table1030[[#This Row],[Pay Per]]=$C$7,Table1030[[#This Row],[Pay]]/$B$7,Table1030[[#This Row],[Pay]]*$B$9) )</f>
        <v>208</v>
      </c>
    </row>
    <row r="49" spans="1:9" x14ac:dyDescent="0.25">
      <c r="A49" s="41">
        <v>618</v>
      </c>
      <c r="B49" s="41" t="s">
        <v>157</v>
      </c>
      <c r="C49" s="41">
        <v>42</v>
      </c>
      <c r="D49" s="41">
        <v>2</v>
      </c>
      <c r="E49" s="41" t="str">
        <f t="shared" si="0"/>
        <v>TrackR</v>
      </c>
      <c r="F49" s="41">
        <f t="shared" si="1"/>
        <v>26</v>
      </c>
      <c r="G49" s="41" t="str">
        <f t="shared" si="2"/>
        <v>per hour</v>
      </c>
      <c r="H49" s="52">
        <f>IF(Table1030[[#This Row],[Division]]=$A$8,$B$8*Table1030[[#This Row],[Pay]], IF(Table1030[[#This Row],[Pay Per]]=$C$7,Table1030[[#This Row],[Pay]]/$B$7,Table1030[[#This Row],[Pay]]*$B$9) )</f>
        <v>208</v>
      </c>
    </row>
    <row r="50" spans="1:9" x14ac:dyDescent="0.25">
      <c r="A50" s="41">
        <v>606</v>
      </c>
      <c r="B50" s="41" t="s">
        <v>157</v>
      </c>
      <c r="C50" s="41">
        <v>41</v>
      </c>
      <c r="D50" s="41">
        <v>2</v>
      </c>
      <c r="E50" s="41" t="str">
        <f t="shared" si="0"/>
        <v>TrackR</v>
      </c>
      <c r="F50" s="41">
        <f t="shared" si="1"/>
        <v>26</v>
      </c>
      <c r="G50" s="41" t="str">
        <f t="shared" si="2"/>
        <v>per hour</v>
      </c>
      <c r="H50" s="52">
        <f>IF(Table1030[[#This Row],[Division]]=$A$8,$B$8*Table1030[[#This Row],[Pay]], IF(Table1030[[#This Row],[Pay Per]]=$C$7,Table1030[[#This Row],[Pay]]/$B$7,Table1030[[#This Row],[Pay]]*$B$9) )</f>
        <v>208</v>
      </c>
    </row>
    <row r="51" spans="1:9" x14ac:dyDescent="0.25">
      <c r="A51" s="41">
        <v>630</v>
      </c>
      <c r="B51" s="41" t="s">
        <v>157</v>
      </c>
      <c r="C51" s="41">
        <v>29</v>
      </c>
      <c r="D51" s="41">
        <v>2</v>
      </c>
      <c r="E51" s="41" t="str">
        <f t="shared" si="0"/>
        <v>TrackR</v>
      </c>
      <c r="F51" s="41">
        <f t="shared" si="1"/>
        <v>26</v>
      </c>
      <c r="G51" s="41" t="str">
        <f t="shared" si="2"/>
        <v>per hour</v>
      </c>
      <c r="H51" s="52">
        <f>IF(Table1030[[#This Row],[Division]]=$A$8,$B$8*Table1030[[#This Row],[Pay]], IF(Table1030[[#This Row],[Pay Per]]=$C$7,Table1030[[#This Row],[Pay]]/$B$7,Table1030[[#This Row],[Pay]]*$B$9) )</f>
        <v>208</v>
      </c>
    </row>
    <row r="52" spans="1:9" x14ac:dyDescent="0.25">
      <c r="A52" s="41">
        <v>611</v>
      </c>
      <c r="B52" s="41" t="s">
        <v>158</v>
      </c>
      <c r="C52" s="41">
        <v>42</v>
      </c>
      <c r="D52" s="41">
        <v>1</v>
      </c>
      <c r="E52" s="41" t="str">
        <f t="shared" si="0"/>
        <v>TrackR</v>
      </c>
      <c r="F52" s="41">
        <f t="shared" si="1"/>
        <v>30</v>
      </c>
      <c r="G52" s="41" t="str">
        <f t="shared" si="2"/>
        <v>per hour</v>
      </c>
      <c r="H52" s="52">
        <f>IF(Table1030[[#This Row],[Division]]=$A$8,$B$8*Table1030[[#This Row],[Pay]], IF(Table1030[[#This Row],[Pay Per]]=$C$7,Table1030[[#This Row],[Pay]]/$B$7,Table1030[[#This Row],[Pay]]*$B$9) )</f>
        <v>240</v>
      </c>
    </row>
    <row r="53" spans="1:9" x14ac:dyDescent="0.25">
      <c r="A53" s="41">
        <v>605</v>
      </c>
      <c r="B53" s="41" t="s">
        <v>158</v>
      </c>
      <c r="C53" s="41">
        <v>38</v>
      </c>
      <c r="D53" s="41">
        <v>2</v>
      </c>
      <c r="E53" s="41" t="str">
        <f t="shared" si="0"/>
        <v>TrackR</v>
      </c>
      <c r="F53" s="41">
        <f t="shared" si="1"/>
        <v>30</v>
      </c>
      <c r="G53" s="41" t="str">
        <f t="shared" si="2"/>
        <v>per hour</v>
      </c>
      <c r="H53" s="52">
        <f>IF(Table1030[[#This Row],[Division]]=$A$8,$B$8*Table1030[[#This Row],[Pay]], IF(Table1030[[#This Row],[Pay Per]]=$C$7,Table1030[[#This Row],[Pay]]/$B$7,Table1030[[#This Row],[Pay]]*$B$9) )</f>
        <v>240</v>
      </c>
    </row>
    <row r="54" spans="1:9" hidden="1" x14ac:dyDescent="0.25">
      <c r="A54" s="41">
        <v>632</v>
      </c>
      <c r="B54" s="41" t="s">
        <v>158</v>
      </c>
      <c r="C54" s="41">
        <v>28</v>
      </c>
      <c r="D54" s="41" t="s">
        <v>159</v>
      </c>
      <c r="E54" s="41" t="str">
        <f t="shared" si="0"/>
        <v>TrackR</v>
      </c>
      <c r="F54" s="41">
        <f t="shared" si="1"/>
        <v>30</v>
      </c>
      <c r="G54" s="41" t="str">
        <f t="shared" si="2"/>
        <v>per hour</v>
      </c>
      <c r="H54" s="52">
        <f>IF(Table1030[[#This Row],[Division]]=$A$8,$B$8*Table1030[[#This Row],[Pay]], IF(Table1030[[#This Row],[Pay Per]]=$C$7,Table1030[[#This Row],[Pay]]/$B$7,Table1030[[#This Row],[Pay]]*$B$9) )</f>
        <v>240</v>
      </c>
    </row>
    <row r="55" spans="1:9" x14ac:dyDescent="0.25">
      <c r="A55" s="41">
        <v>626</v>
      </c>
      <c r="B55" s="41" t="s">
        <v>160</v>
      </c>
      <c r="C55" s="41">
        <v>41</v>
      </c>
      <c r="D55" s="41">
        <v>1</v>
      </c>
      <c r="E55" s="41" t="str">
        <f t="shared" si="0"/>
        <v>TrackR</v>
      </c>
      <c r="F55" s="41">
        <f t="shared" si="1"/>
        <v>26</v>
      </c>
      <c r="G55" s="41" t="str">
        <f t="shared" si="2"/>
        <v>per hour</v>
      </c>
      <c r="H55" s="52">
        <f>IF(Table1030[[#This Row],[Division]]=$A$8,$B$8*Table1030[[#This Row],[Pay]], IF(Table1030[[#This Row],[Pay Per]]=$C$7,Table1030[[#This Row],[Pay]]/$B$7,Table1030[[#This Row],[Pay]]*$B$9) )</f>
        <v>208</v>
      </c>
    </row>
    <row r="56" spans="1:9" x14ac:dyDescent="0.25">
      <c r="A56" s="41">
        <v>620</v>
      </c>
      <c r="B56" s="41" t="s">
        <v>160</v>
      </c>
      <c r="C56" s="41">
        <v>38</v>
      </c>
      <c r="D56" s="41">
        <v>2</v>
      </c>
      <c r="E56" s="41" t="str">
        <f t="shared" si="0"/>
        <v>TrackR</v>
      </c>
      <c r="F56" s="41">
        <f t="shared" si="1"/>
        <v>26</v>
      </c>
      <c r="G56" s="41" t="str">
        <f t="shared" si="2"/>
        <v>per hour</v>
      </c>
      <c r="H56" s="52">
        <f>IF(Table1030[[#This Row],[Division]]=$A$8,$B$8*Table1030[[#This Row],[Pay]], IF(Table1030[[#This Row],[Pay Per]]=$C$7,Table1030[[#This Row],[Pay]]/$B$7,Table1030[[#This Row],[Pay]]*$B$9) )</f>
        <v>208</v>
      </c>
    </row>
    <row r="57" spans="1:9" hidden="1" x14ac:dyDescent="0.25">
      <c r="A57" s="41">
        <v>612</v>
      </c>
      <c r="B57" s="41" t="s">
        <v>160</v>
      </c>
      <c r="C57" s="41">
        <v>32</v>
      </c>
      <c r="D57" s="41" t="s">
        <v>159</v>
      </c>
      <c r="E57" s="41" t="str">
        <f t="shared" si="0"/>
        <v>TrackR</v>
      </c>
      <c r="F57" s="41">
        <f t="shared" si="1"/>
        <v>26</v>
      </c>
      <c r="G57" s="41" t="str">
        <f t="shared" si="2"/>
        <v>per hour</v>
      </c>
      <c r="H57" s="52">
        <f>IF(Table1030[[#This Row],[Division]]=$A$8,$B$8*Table1030[[#This Row],[Pay]], IF(Table1030[[#This Row],[Pay Per]]=$C$7,Table1030[[#This Row],[Pay]]/$B$7,Table1030[[#This Row],[Pay]]*$B$9) )</f>
        <v>208</v>
      </c>
    </row>
    <row r="58" spans="1:9" x14ac:dyDescent="0.25">
      <c r="A58" s="41">
        <v>601</v>
      </c>
      <c r="B58" s="41" t="s">
        <v>161</v>
      </c>
      <c r="C58" s="41">
        <v>25</v>
      </c>
      <c r="D58" s="41" t="s">
        <v>162</v>
      </c>
      <c r="E58" s="41" t="str">
        <f t="shared" si="0"/>
        <v>CDL</v>
      </c>
      <c r="F58" s="41">
        <f t="shared" si="1"/>
        <v>30</v>
      </c>
      <c r="G58" s="41" t="str">
        <f t="shared" si="2"/>
        <v>per hour</v>
      </c>
      <c r="H58" s="52">
        <f>IF(Table1030[[#This Row],[Division]]=$A$8,$B$8*Table1030[[#This Row],[Pay]], IF(Table1030[[#This Row],[Pay Per]]=$C$7,Table1030[[#This Row],[Pay]]/$B$7,Table1030[[#This Row],[Pay]]*$B$9) )</f>
        <v>300</v>
      </c>
    </row>
    <row r="59" spans="1:9" x14ac:dyDescent="0.25">
      <c r="A59" s="41">
        <v>602</v>
      </c>
      <c r="B59" s="41" t="s">
        <v>161</v>
      </c>
      <c r="C59" s="41">
        <v>33</v>
      </c>
      <c r="D59" s="41" t="s">
        <v>162</v>
      </c>
      <c r="E59" s="41" t="str">
        <f t="shared" si="0"/>
        <v>CDL</v>
      </c>
      <c r="F59" s="41">
        <f t="shared" si="1"/>
        <v>30</v>
      </c>
      <c r="G59" s="41" t="str">
        <f t="shared" si="2"/>
        <v>per hour</v>
      </c>
      <c r="H59" s="52">
        <f>IF(Table1030[[#This Row],[Division]]=$A$8,$B$8*Table1030[[#This Row],[Pay]], IF(Table1030[[#This Row],[Pay Per]]=$C$7,Table1030[[#This Row],[Pay]]/$B$7,Table1030[[#This Row],[Pay]]*$B$9) )</f>
        <v>300</v>
      </c>
    </row>
    <row r="60" spans="1:9" x14ac:dyDescent="0.25">
      <c r="A60" s="41">
        <v>604</v>
      </c>
      <c r="B60" s="41" t="s">
        <v>15</v>
      </c>
      <c r="C60" s="41">
        <v>33</v>
      </c>
      <c r="D60" s="41" t="s">
        <v>162</v>
      </c>
      <c r="E60" s="41" t="str">
        <f t="shared" si="0"/>
        <v>CDL</v>
      </c>
      <c r="F60" s="41">
        <f t="shared" si="1"/>
        <v>45000</v>
      </c>
      <c r="G60" s="41" t="str">
        <f t="shared" si="2"/>
        <v>per year</v>
      </c>
      <c r="H60" s="52">
        <f>IF(Table1030[[#This Row],[Division]]=$A$8,$B$8*Table1030[[#This Row],[Pay]], IF(Table1030[[#This Row],[Pay Per]]=$C$7,Table1030[[#This Row],[Pay]]/$B$7,Table1030[[#This Row],[Pay]]*$B$9) )</f>
        <v>200</v>
      </c>
    </row>
    <row r="61" spans="1:9" x14ac:dyDescent="0.25">
      <c r="A61" s="41">
        <v>619</v>
      </c>
      <c r="B61" s="41" t="s">
        <v>15</v>
      </c>
      <c r="C61" s="41">
        <v>34</v>
      </c>
      <c r="D61" s="41" t="s">
        <v>162</v>
      </c>
      <c r="E61" s="41" t="str">
        <f t="shared" si="0"/>
        <v>CDL</v>
      </c>
      <c r="F61" s="41">
        <f t="shared" si="1"/>
        <v>45000</v>
      </c>
      <c r="G61" s="41" t="str">
        <f t="shared" si="2"/>
        <v>per year</v>
      </c>
      <c r="H61" s="52">
        <f>IF(Table1030[[#This Row],[Division]]=$A$8,$B$8*Table1030[[#This Row],[Pay]], IF(Table1030[[#This Row],[Pay Per]]=$C$7,Table1030[[#This Row],[Pay]]/$B$7,Table1030[[#This Row],[Pay]]*$B$9) )</f>
        <v>200</v>
      </c>
    </row>
    <row r="62" spans="1:9" x14ac:dyDescent="0.25">
      <c r="A62" s="41">
        <v>627</v>
      </c>
      <c r="B62" s="41" t="s">
        <v>16</v>
      </c>
      <c r="C62" s="41">
        <v>32</v>
      </c>
      <c r="D62" s="41" t="s">
        <v>162</v>
      </c>
      <c r="E62" s="41" t="str">
        <f t="shared" si="0"/>
        <v>CDL</v>
      </c>
      <c r="F62" s="41">
        <f t="shared" si="1"/>
        <v>26</v>
      </c>
      <c r="G62" s="41" t="str">
        <f t="shared" si="2"/>
        <v>per hour</v>
      </c>
      <c r="H62" s="52">
        <f>IF(Table1030[[#This Row],[Division]]=$A$8,$B$8*Table1030[[#This Row],[Pay]], IF(Table1030[[#This Row],[Pay Per]]=$C$7,Table1030[[#This Row],[Pay]]/$B$7,Table1030[[#This Row],[Pay]]*$B$9) )</f>
        <v>260</v>
      </c>
    </row>
    <row r="63" spans="1:9" x14ac:dyDescent="0.25">
      <c r="A63" s="41">
        <v>603</v>
      </c>
      <c r="B63" s="41" t="s">
        <v>16</v>
      </c>
      <c r="C63" s="41">
        <v>54</v>
      </c>
      <c r="D63" s="41" t="s">
        <v>162</v>
      </c>
      <c r="E63" s="41" t="str">
        <f t="shared" si="0"/>
        <v>CDL</v>
      </c>
      <c r="F63" s="41">
        <f t="shared" si="1"/>
        <v>26</v>
      </c>
      <c r="G63" s="41" t="str">
        <f t="shared" si="2"/>
        <v>per hour</v>
      </c>
      <c r="H63" s="52">
        <f>IF(Table1030[[#This Row],[Division]]=$A$8,$B$8*Table1030[[#This Row],[Pay]], IF(Table1030[[#This Row],[Pay Per]]=$C$7,Table1030[[#This Row],[Pay]]/$B$7,Table1030[[#This Row],[Pay]]*$B$9) )</f>
        <v>260</v>
      </c>
    </row>
    <row r="64" spans="1:9" x14ac:dyDescent="0.25">
      <c r="A64" s="41" t="s">
        <v>95</v>
      </c>
      <c r="H64" s="54">
        <f>SUBTOTAL(109,Table1030[Pay / Day])</f>
        <v>5744</v>
      </c>
      <c r="I64" s="34"/>
    </row>
    <row r="70" spans="11:11" x14ac:dyDescent="0.25">
      <c r="K70" s="47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O26"/>
  <sheetViews>
    <sheetView zoomScaleNormal="100" workbookViewId="0">
      <selection activeCell="F17" sqref="F17"/>
    </sheetView>
  </sheetViews>
  <sheetFormatPr defaultRowHeight="15" x14ac:dyDescent="0.25"/>
  <cols>
    <col min="1" max="1" width="4.85546875" customWidth="1"/>
    <col min="2" max="2" width="28.7109375" customWidth="1"/>
    <col min="3" max="3" width="10.140625" bestFit="1" customWidth="1"/>
    <col min="4" max="15" width="9.140625" customWidth="1"/>
  </cols>
  <sheetData>
    <row r="1" spans="1:15" s="41" customFormat="1" ht="23.25" x14ac:dyDescent="0.35">
      <c r="A1" s="6" t="s">
        <v>288</v>
      </c>
    </row>
    <row r="2" spans="1:15" s="41" customFormat="1" x14ac:dyDescent="0.25">
      <c r="A2" s="41">
        <v>1</v>
      </c>
      <c r="B2" s="41" t="str">
        <f xml:space="preserve"> "There are "&amp;BasicInformation_5&amp;" tables to make TrackRs."</f>
        <v>There are 3 tables to make TrackRs.</v>
      </c>
    </row>
    <row r="3" spans="1:15" s="41" customFormat="1" x14ac:dyDescent="0.25">
      <c r="A3" s="41">
        <v>2</v>
      </c>
      <c r="B3" s="41" t="s">
        <v>310</v>
      </c>
    </row>
    <row r="4" spans="1:15" s="41" customFormat="1" x14ac:dyDescent="0.25">
      <c r="A4" s="41">
        <v>3</v>
      </c>
      <c r="B4" s="41" t="s">
        <v>326</v>
      </c>
    </row>
    <row r="5" spans="1:15" s="41" customFormat="1" x14ac:dyDescent="0.25">
      <c r="A5" s="41">
        <v>4</v>
      </c>
      <c r="B5" s="41" t="s">
        <v>328</v>
      </c>
    </row>
    <row r="6" spans="1:15" s="41" customFormat="1" x14ac:dyDescent="0.25">
      <c r="A6" s="41">
        <v>5</v>
      </c>
      <c r="B6" s="41" t="s">
        <v>355</v>
      </c>
    </row>
    <row r="7" spans="1:15" s="41" customFormat="1" x14ac:dyDescent="0.25">
      <c r="A7" s="41">
        <v>6</v>
      </c>
      <c r="B7" s="41" t="s">
        <v>347</v>
      </c>
    </row>
    <row r="8" spans="1:15" s="41" customFormat="1" x14ac:dyDescent="0.25"/>
    <row r="9" spans="1:15" s="41" customFormat="1" ht="17.25" x14ac:dyDescent="0.25">
      <c r="A9" s="7" t="s">
        <v>329</v>
      </c>
    </row>
    <row r="10" spans="1:15" s="41" customFormat="1" x14ac:dyDescent="0.25">
      <c r="A10" s="41" t="s">
        <v>332</v>
      </c>
      <c r="B10" s="41" t="s">
        <v>149</v>
      </c>
      <c r="C10" s="41" t="s">
        <v>330</v>
      </c>
      <c r="D10" s="41" t="s">
        <v>336</v>
      </c>
      <c r="E10" s="41" t="s">
        <v>337</v>
      </c>
      <c r="F10" s="41" t="s">
        <v>338</v>
      </c>
      <c r="G10" s="41" t="s">
        <v>339</v>
      </c>
      <c r="H10" s="41" t="s">
        <v>340</v>
      </c>
      <c r="I10" s="41" t="s">
        <v>341</v>
      </c>
      <c r="J10" s="41" t="s">
        <v>342</v>
      </c>
      <c r="K10" s="41" t="s">
        <v>343</v>
      </c>
      <c r="L10" s="41" t="s">
        <v>344</v>
      </c>
      <c r="M10" s="41" t="s">
        <v>345</v>
      </c>
      <c r="N10" s="41" t="s">
        <v>331</v>
      </c>
      <c r="O10" s="41" t="s">
        <v>346</v>
      </c>
    </row>
    <row r="11" spans="1:15" s="41" customFormat="1" x14ac:dyDescent="0.25">
      <c r="A11" s="84">
        <v>616</v>
      </c>
      <c r="B11" s="84" t="str">
        <f>VLOOKUP(A11,'Workers AS-IS'!$A$22:$F$57,2,FALSE)</f>
        <v>Team Lead</v>
      </c>
      <c r="C11" s="103">
        <f>VLOOKUP(A11,'Workers AS-IS'!$A$22:$F$57,6,FALSE)</f>
        <v>26</v>
      </c>
      <c r="D11" s="86" t="s">
        <v>146</v>
      </c>
      <c r="E11" s="85" t="s">
        <v>285</v>
      </c>
      <c r="F11" s="84" t="s">
        <v>147</v>
      </c>
      <c r="G11" s="86" t="s">
        <v>146</v>
      </c>
      <c r="H11" s="85" t="s">
        <v>285</v>
      </c>
      <c r="I11" s="84" t="s">
        <v>147</v>
      </c>
      <c r="J11" s="86" t="s">
        <v>146</v>
      </c>
      <c r="K11" s="85" t="s">
        <v>285</v>
      </c>
      <c r="L11" s="84" t="s">
        <v>147</v>
      </c>
      <c r="M11" s="86" t="s">
        <v>146</v>
      </c>
      <c r="N11" s="84" t="s">
        <v>327</v>
      </c>
      <c r="O11" s="84" t="s">
        <v>327</v>
      </c>
    </row>
    <row r="12" spans="1:15" s="41" customFormat="1" x14ac:dyDescent="0.25">
      <c r="A12" s="84">
        <v>623</v>
      </c>
      <c r="B12" s="84" t="str">
        <f>VLOOKUP(A12,'Workers AS-IS'!$A$22:$F$57,2,FALSE)</f>
        <v>Team Member</v>
      </c>
      <c r="C12" s="103">
        <f>VLOOKUP(A12,'Workers AS-IS'!$A$22:$F$57,6,FALSE)</f>
        <v>22</v>
      </c>
      <c r="D12" s="84" t="s">
        <v>147</v>
      </c>
      <c r="E12" s="86" t="s">
        <v>146</v>
      </c>
      <c r="F12" s="85" t="s">
        <v>285</v>
      </c>
      <c r="G12" s="84" t="s">
        <v>147</v>
      </c>
      <c r="H12" s="86" t="s">
        <v>146</v>
      </c>
      <c r="I12" s="85" t="s">
        <v>285</v>
      </c>
      <c r="J12" s="84" t="s">
        <v>147</v>
      </c>
      <c r="K12" s="86" t="s">
        <v>146</v>
      </c>
      <c r="L12" s="85" t="s">
        <v>285</v>
      </c>
      <c r="M12" s="84" t="s">
        <v>147</v>
      </c>
      <c r="N12" s="84" t="s">
        <v>327</v>
      </c>
      <c r="O12" s="84" t="s">
        <v>327</v>
      </c>
    </row>
    <row r="13" spans="1:15" s="41" customFormat="1" x14ac:dyDescent="0.25">
      <c r="A13" s="84">
        <v>635</v>
      </c>
      <c r="B13" s="84" t="str">
        <f>VLOOKUP(A13,'Workers AS-IS'!$A$22:$F$57,2,FALSE)</f>
        <v>Team Member</v>
      </c>
      <c r="C13" s="103">
        <f>VLOOKUP(A13,'Workers AS-IS'!$A$22:$F$57,6,FALSE)</f>
        <v>22</v>
      </c>
      <c r="D13" s="85" t="s">
        <v>285</v>
      </c>
      <c r="E13" s="84" t="s">
        <v>147</v>
      </c>
      <c r="F13" s="86" t="s">
        <v>146</v>
      </c>
      <c r="G13" s="85" t="s">
        <v>285</v>
      </c>
      <c r="H13" s="84" t="s">
        <v>147</v>
      </c>
      <c r="I13" s="86" t="s">
        <v>146</v>
      </c>
      <c r="J13" s="85" t="s">
        <v>285</v>
      </c>
      <c r="K13" s="84" t="s">
        <v>147</v>
      </c>
      <c r="L13" s="86" t="s">
        <v>146</v>
      </c>
      <c r="M13" s="85" t="s">
        <v>285</v>
      </c>
      <c r="N13" s="84" t="s">
        <v>327</v>
      </c>
      <c r="O13" s="84" t="s">
        <v>327</v>
      </c>
    </row>
    <row r="14" spans="1:15" s="41" customFormat="1" x14ac:dyDescent="0.25">
      <c r="A14" s="84">
        <v>629</v>
      </c>
      <c r="B14" s="84" t="str">
        <f>VLOOKUP(A14,'Workers AS-IS'!$A$22:$F$57,2,FALSE)</f>
        <v>Team Lead</v>
      </c>
      <c r="C14" s="103">
        <f>VLOOKUP(A14,'Workers AS-IS'!$A$22:$F$57,6,FALSE)</f>
        <v>26</v>
      </c>
      <c r="D14" s="86" t="s">
        <v>146</v>
      </c>
      <c r="E14" s="85" t="s">
        <v>286</v>
      </c>
      <c r="F14" s="84" t="s">
        <v>147</v>
      </c>
      <c r="G14" s="86" t="s">
        <v>146</v>
      </c>
      <c r="H14" s="85" t="s">
        <v>286</v>
      </c>
      <c r="I14" s="84" t="s">
        <v>147</v>
      </c>
      <c r="J14" s="86" t="s">
        <v>146</v>
      </c>
      <c r="K14" s="85" t="s">
        <v>286</v>
      </c>
      <c r="L14" s="84" t="s">
        <v>147</v>
      </c>
      <c r="M14" s="86" t="s">
        <v>146</v>
      </c>
      <c r="N14" s="84" t="s">
        <v>327</v>
      </c>
      <c r="O14" s="84" t="s">
        <v>327</v>
      </c>
    </row>
    <row r="15" spans="1:15" s="41" customFormat="1" x14ac:dyDescent="0.25">
      <c r="A15" s="84">
        <v>624</v>
      </c>
      <c r="B15" s="84" t="str">
        <f>VLOOKUP(A15,'Workers AS-IS'!$A$22:$F$57,2,FALSE)</f>
        <v>Team Member</v>
      </c>
      <c r="C15" s="103">
        <f>VLOOKUP(A15,'Workers AS-IS'!$A$22:$F$57,6,FALSE)</f>
        <v>22</v>
      </c>
      <c r="D15" s="84" t="s">
        <v>147</v>
      </c>
      <c r="E15" s="86" t="s">
        <v>146</v>
      </c>
      <c r="F15" s="85" t="s">
        <v>286</v>
      </c>
      <c r="G15" s="84" t="s">
        <v>147</v>
      </c>
      <c r="H15" s="86" t="s">
        <v>146</v>
      </c>
      <c r="I15" s="85" t="s">
        <v>286</v>
      </c>
      <c r="J15" s="84" t="s">
        <v>147</v>
      </c>
      <c r="K15" s="86" t="s">
        <v>146</v>
      </c>
      <c r="L15" s="85" t="s">
        <v>286</v>
      </c>
      <c r="M15" s="84" t="s">
        <v>147</v>
      </c>
      <c r="N15" s="84" t="s">
        <v>327</v>
      </c>
      <c r="O15" s="84" t="s">
        <v>327</v>
      </c>
    </row>
    <row r="16" spans="1:15" s="41" customFormat="1" x14ac:dyDescent="0.25">
      <c r="A16" s="84">
        <v>613</v>
      </c>
      <c r="B16" s="84" t="str">
        <f>VLOOKUP(A16,'Workers AS-IS'!$A$22:$F$57,2,FALSE)</f>
        <v>Team Member</v>
      </c>
      <c r="C16" s="103">
        <f>VLOOKUP(A16,'Workers AS-IS'!$A$22:$F$57,6,FALSE)</f>
        <v>22</v>
      </c>
      <c r="D16" s="85" t="s">
        <v>286</v>
      </c>
      <c r="E16" s="84" t="s">
        <v>147</v>
      </c>
      <c r="F16" s="86" t="s">
        <v>146</v>
      </c>
      <c r="G16" s="85" t="s">
        <v>286</v>
      </c>
      <c r="H16" s="84" t="s">
        <v>147</v>
      </c>
      <c r="I16" s="86" t="s">
        <v>146</v>
      </c>
      <c r="J16" s="85" t="s">
        <v>286</v>
      </c>
      <c r="K16" s="84" t="s">
        <v>147</v>
      </c>
      <c r="L16" s="86" t="s">
        <v>146</v>
      </c>
      <c r="M16" s="85" t="s">
        <v>286</v>
      </c>
      <c r="N16" s="84" t="s">
        <v>327</v>
      </c>
      <c r="O16" s="84" t="s">
        <v>327</v>
      </c>
    </row>
    <row r="17" spans="1:15" s="41" customFormat="1" x14ac:dyDescent="0.25">
      <c r="A17" s="84">
        <v>608</v>
      </c>
      <c r="B17" s="84" t="str">
        <f>VLOOKUP(A17,'Workers AS-IS'!$A$22:$F$57,2,FALSE)</f>
        <v>Team Lead</v>
      </c>
      <c r="C17" s="103">
        <f>VLOOKUP(A17,'Workers AS-IS'!$A$22:$F$57,6,FALSE)</f>
        <v>26</v>
      </c>
      <c r="D17" s="86" t="s">
        <v>146</v>
      </c>
      <c r="E17" s="85" t="s">
        <v>287</v>
      </c>
      <c r="F17" s="84" t="s">
        <v>147</v>
      </c>
      <c r="G17" s="86" t="s">
        <v>146</v>
      </c>
      <c r="H17" s="85" t="s">
        <v>287</v>
      </c>
      <c r="I17" s="84" t="s">
        <v>147</v>
      </c>
      <c r="J17" s="86" t="s">
        <v>146</v>
      </c>
      <c r="K17" s="85" t="s">
        <v>287</v>
      </c>
      <c r="L17" s="84" t="s">
        <v>147</v>
      </c>
      <c r="M17" s="86" t="s">
        <v>146</v>
      </c>
      <c r="N17" s="84" t="s">
        <v>327</v>
      </c>
      <c r="O17" s="84" t="s">
        <v>327</v>
      </c>
    </row>
    <row r="18" spans="1:15" s="41" customFormat="1" x14ac:dyDescent="0.25">
      <c r="A18" s="84">
        <v>636</v>
      </c>
      <c r="B18" s="84" t="str">
        <f>VLOOKUP(A18,'Workers AS-IS'!$A$22:$F$57,2,FALSE)</f>
        <v>Team Member</v>
      </c>
      <c r="C18" s="103">
        <f>VLOOKUP(A18,'Workers AS-IS'!$A$22:$F$57,6,FALSE)</f>
        <v>22</v>
      </c>
      <c r="D18" s="84" t="s">
        <v>147</v>
      </c>
      <c r="E18" s="86" t="s">
        <v>146</v>
      </c>
      <c r="F18" s="85" t="s">
        <v>287</v>
      </c>
      <c r="G18" s="84" t="s">
        <v>147</v>
      </c>
      <c r="H18" s="86" t="s">
        <v>146</v>
      </c>
      <c r="I18" s="85" t="s">
        <v>287</v>
      </c>
      <c r="J18" s="84" t="s">
        <v>147</v>
      </c>
      <c r="K18" s="86" t="s">
        <v>146</v>
      </c>
      <c r="L18" s="85" t="s">
        <v>287</v>
      </c>
      <c r="M18" s="84" t="s">
        <v>147</v>
      </c>
      <c r="N18" s="84" t="s">
        <v>327</v>
      </c>
      <c r="O18" s="84" t="s">
        <v>327</v>
      </c>
    </row>
    <row r="19" spans="1:15" s="41" customFormat="1" x14ac:dyDescent="0.25">
      <c r="A19" s="84">
        <v>614</v>
      </c>
      <c r="B19" s="84" t="str">
        <f>VLOOKUP(A19,'Workers AS-IS'!$A$22:$F$57,2,FALSE)</f>
        <v>Team Member</v>
      </c>
      <c r="C19" s="103">
        <f>VLOOKUP(A19,'Workers AS-IS'!$A$22:$F$57,6,FALSE)</f>
        <v>22</v>
      </c>
      <c r="D19" s="85" t="s">
        <v>287</v>
      </c>
      <c r="E19" s="84" t="s">
        <v>147</v>
      </c>
      <c r="F19" s="86" t="s">
        <v>146</v>
      </c>
      <c r="G19" s="85" t="s">
        <v>287</v>
      </c>
      <c r="H19" s="84" t="s">
        <v>147</v>
      </c>
      <c r="I19" s="86" t="s">
        <v>146</v>
      </c>
      <c r="J19" s="85" t="s">
        <v>287</v>
      </c>
      <c r="K19" s="84" t="s">
        <v>147</v>
      </c>
      <c r="L19" s="86" t="s">
        <v>146</v>
      </c>
      <c r="M19" s="85" t="s">
        <v>287</v>
      </c>
      <c r="N19" s="84" t="s">
        <v>327</v>
      </c>
      <c r="O19" s="84" t="s">
        <v>327</v>
      </c>
    </row>
    <row r="20" spans="1:15" s="41" customFormat="1" x14ac:dyDescent="0.25">
      <c r="A20" s="84">
        <v>638</v>
      </c>
      <c r="B20" s="84" t="str">
        <f>VLOOKUP(A20,'Workers AS-IS'!$A$22:$F$57,2,FALSE)</f>
        <v>Team Maintenance</v>
      </c>
      <c r="C20" s="103">
        <f>VLOOKUP(A20,'Workers AS-IS'!$A$22:$F$57,6,FALSE)</f>
        <v>26</v>
      </c>
      <c r="D20" s="101" t="s">
        <v>335</v>
      </c>
      <c r="E20" s="101" t="s">
        <v>335</v>
      </c>
      <c r="F20" s="101" t="s">
        <v>335</v>
      </c>
      <c r="G20" s="101" t="s">
        <v>335</v>
      </c>
      <c r="H20" s="84" t="s">
        <v>147</v>
      </c>
      <c r="I20" s="84" t="s">
        <v>147</v>
      </c>
      <c r="J20" s="101" t="s">
        <v>335</v>
      </c>
      <c r="K20" s="101" t="s">
        <v>335</v>
      </c>
      <c r="L20" s="101" t="s">
        <v>335</v>
      </c>
      <c r="M20" s="101" t="s">
        <v>335</v>
      </c>
      <c r="N20" s="84" t="s">
        <v>327</v>
      </c>
      <c r="O20" s="84" t="s">
        <v>327</v>
      </c>
    </row>
    <row r="21" spans="1:15" s="41" customFormat="1" x14ac:dyDescent="0.25">
      <c r="A21" s="84">
        <v>607</v>
      </c>
      <c r="B21" s="84" t="str">
        <f>VLOOKUP(A21,'Workers AS-IS'!$A$22:$F$57,2,FALSE)</f>
        <v>Team Maintenance</v>
      </c>
      <c r="C21" s="103">
        <f>VLOOKUP(A21,'Workers AS-IS'!$A$22:$F$57,6,FALSE)</f>
        <v>26</v>
      </c>
      <c r="D21" s="101" t="s">
        <v>335</v>
      </c>
      <c r="E21" s="101" t="s">
        <v>335</v>
      </c>
      <c r="F21" s="84" t="s">
        <v>147</v>
      </c>
      <c r="G21" s="84" t="s">
        <v>147</v>
      </c>
      <c r="H21" s="101" t="s">
        <v>335</v>
      </c>
      <c r="I21" s="101" t="s">
        <v>335</v>
      </c>
      <c r="J21" s="101" t="s">
        <v>335</v>
      </c>
      <c r="K21" s="101" t="s">
        <v>335</v>
      </c>
      <c r="L21" s="84" t="s">
        <v>147</v>
      </c>
      <c r="M21" s="84" t="s">
        <v>147</v>
      </c>
      <c r="N21" s="84" t="s">
        <v>327</v>
      </c>
      <c r="O21" s="84" t="s">
        <v>327</v>
      </c>
    </row>
    <row r="22" spans="1:15" s="41" customFormat="1" x14ac:dyDescent="0.25">
      <c r="A22" s="84">
        <v>631</v>
      </c>
      <c r="B22" s="84" t="str">
        <f>VLOOKUP(A22,'Workers AS-IS'!$A$22:$F$57,2,FALSE)</f>
        <v>Team Maintenance</v>
      </c>
      <c r="C22" s="103">
        <f>VLOOKUP(A22,'Workers AS-IS'!$A$22:$F$57,6,FALSE)</f>
        <v>26</v>
      </c>
      <c r="D22" s="84" t="s">
        <v>147</v>
      </c>
      <c r="E22" s="84" t="s">
        <v>147</v>
      </c>
      <c r="F22" s="101" t="s">
        <v>335</v>
      </c>
      <c r="G22" s="101" t="s">
        <v>335</v>
      </c>
      <c r="H22" s="101" t="s">
        <v>335</v>
      </c>
      <c r="I22" s="101" t="s">
        <v>335</v>
      </c>
      <c r="J22" s="84" t="s">
        <v>147</v>
      </c>
      <c r="K22" s="84" t="s">
        <v>147</v>
      </c>
      <c r="L22" s="101" t="s">
        <v>335</v>
      </c>
      <c r="M22" s="101" t="s">
        <v>335</v>
      </c>
      <c r="N22" s="84" t="s">
        <v>327</v>
      </c>
      <c r="O22" s="84" t="s">
        <v>327</v>
      </c>
    </row>
    <row r="23" spans="1:15" s="41" customFormat="1" x14ac:dyDescent="0.25">
      <c r="A23" s="84">
        <v>611</v>
      </c>
      <c r="B23" s="84" t="str">
        <f>VLOOKUP(A23,'Workers AS-IS'!$A$22:$F$57,2,FALSE)</f>
        <v>Shift / Maintenance Manager</v>
      </c>
      <c r="C23" s="103">
        <f>VLOOKUP(A23,'Workers AS-IS'!$A$22:$F$57,6,FALSE)</f>
        <v>30</v>
      </c>
      <c r="D23" s="102" t="s">
        <v>333</v>
      </c>
      <c r="E23" s="102" t="s">
        <v>333</v>
      </c>
      <c r="F23" s="102" t="s">
        <v>333</v>
      </c>
      <c r="G23" s="102" t="s">
        <v>333</v>
      </c>
      <c r="H23" s="102" t="s">
        <v>333</v>
      </c>
      <c r="I23" s="102" t="s">
        <v>333</v>
      </c>
      <c r="J23" s="102" t="s">
        <v>333</v>
      </c>
      <c r="K23" s="102" t="s">
        <v>333</v>
      </c>
      <c r="L23" s="102" t="s">
        <v>333</v>
      </c>
      <c r="M23" s="102" t="s">
        <v>333</v>
      </c>
      <c r="N23" s="84" t="s">
        <v>327</v>
      </c>
      <c r="O23" s="84" t="s">
        <v>327</v>
      </c>
    </row>
    <row r="24" spans="1:15" s="41" customFormat="1" x14ac:dyDescent="0.25">
      <c r="A24" s="84">
        <v>626</v>
      </c>
      <c r="B24" s="84" t="str">
        <f>VLOOKUP(A24,'Workers AS-IS'!$A$22:$F$57,2,FALSE)</f>
        <v>Quality Control Tech</v>
      </c>
      <c r="C24" s="103">
        <f>VLOOKUP(A24,'Workers AS-IS'!$A$22:$F$57,6,FALSE)</f>
        <v>26</v>
      </c>
      <c r="D24" s="102" t="s">
        <v>334</v>
      </c>
      <c r="E24" s="102" t="s">
        <v>334</v>
      </c>
      <c r="F24" s="102" t="s">
        <v>334</v>
      </c>
      <c r="G24" s="102" t="s">
        <v>334</v>
      </c>
      <c r="H24" s="102" t="s">
        <v>334</v>
      </c>
      <c r="I24" s="102" t="s">
        <v>334</v>
      </c>
      <c r="J24" s="102" t="s">
        <v>334</v>
      </c>
      <c r="K24" s="102" t="s">
        <v>334</v>
      </c>
      <c r="L24" s="102" t="s">
        <v>334</v>
      </c>
      <c r="M24" s="102" t="s">
        <v>334</v>
      </c>
      <c r="N24" s="84" t="s">
        <v>327</v>
      </c>
      <c r="O24" s="84" t="s">
        <v>327</v>
      </c>
    </row>
    <row r="25" spans="1:15" s="41" customFormat="1" x14ac:dyDescent="0.25">
      <c r="A25" s="84" t="s">
        <v>95</v>
      </c>
      <c r="B25" s="84">
        <f>SUBTOTAL(103,Table27[Role])</f>
        <v>14</v>
      </c>
      <c r="C25" s="103">
        <f>SUBTOTAL(109,Table27[Pay / Hour])</f>
        <v>344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</row>
    <row r="26" spans="1:15" s="41" customFormat="1" x14ac:dyDescent="0.25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O21"/>
  <sheetViews>
    <sheetView workbookViewId="0">
      <selection activeCell="B38" sqref="B38"/>
    </sheetView>
  </sheetViews>
  <sheetFormatPr defaultColWidth="9.140625" defaultRowHeight="15" x14ac:dyDescent="0.25"/>
  <cols>
    <col min="1" max="1" width="4.85546875" style="41" customWidth="1"/>
    <col min="2" max="2" width="28.7109375" style="41" customWidth="1"/>
    <col min="3" max="3" width="10.140625" style="41" bestFit="1" customWidth="1"/>
    <col min="4" max="15" width="9.140625" style="41" customWidth="1"/>
    <col min="16" max="16384" width="9.140625" style="41"/>
  </cols>
  <sheetData>
    <row r="1" spans="1:15" ht="23.25" x14ac:dyDescent="0.35">
      <c r="A1" s="6" t="s">
        <v>296</v>
      </c>
    </row>
    <row r="2" spans="1:15" x14ac:dyDescent="0.25">
      <c r="A2" s="41">
        <v>1</v>
      </c>
      <c r="B2" s="41" t="s">
        <v>309</v>
      </c>
    </row>
    <row r="3" spans="1:15" x14ac:dyDescent="0.25">
      <c r="A3" s="41">
        <v>2</v>
      </c>
      <c r="B3" s="41" t="s">
        <v>308</v>
      </c>
    </row>
    <row r="4" spans="1:15" x14ac:dyDescent="0.25">
      <c r="A4" s="41">
        <v>3</v>
      </c>
      <c r="B4" s="41" t="s">
        <v>381</v>
      </c>
    </row>
    <row r="5" spans="1:15" x14ac:dyDescent="0.25">
      <c r="A5" s="41">
        <v>4</v>
      </c>
      <c r="B5" s="41" t="s">
        <v>380</v>
      </c>
    </row>
    <row r="6" spans="1:15" x14ac:dyDescent="0.25">
      <c r="A6" s="41">
        <v>5</v>
      </c>
      <c r="B6" s="41" t="s">
        <v>307</v>
      </c>
    </row>
    <row r="7" spans="1:15" x14ac:dyDescent="0.25">
      <c r="A7" s="41">
        <v>6</v>
      </c>
      <c r="B7" s="41" t="str">
        <f>"The number of workers in a shift are reduced from "&amp;Table27[[#Totals],[Role]]&amp;" to "&amp;Table2729[[#Totals],[Role]]&amp;" and Total Pay / Hour also reduced from $"&amp;Table27[[#Totals],[Pay / Hour]]&amp;" to $"&amp;Table2729[[#Totals],[Pay / Hour]]&amp;"."</f>
        <v>The number of workers in a shift are reduced from 14 to 10 and Total Pay / Hour also reduced from $344 to $264.</v>
      </c>
    </row>
    <row r="9" spans="1:15" ht="17.25" x14ac:dyDescent="0.25">
      <c r="A9" s="7" t="s">
        <v>329</v>
      </c>
    </row>
    <row r="10" spans="1:15" x14ac:dyDescent="0.25">
      <c r="A10" s="41" t="s">
        <v>332</v>
      </c>
      <c r="B10" s="41" t="s">
        <v>149</v>
      </c>
      <c r="C10" s="41" t="s">
        <v>330</v>
      </c>
      <c r="D10" s="41" t="s">
        <v>336</v>
      </c>
      <c r="E10" s="41" t="s">
        <v>337</v>
      </c>
      <c r="F10" s="41" t="s">
        <v>338</v>
      </c>
      <c r="G10" s="41" t="s">
        <v>339</v>
      </c>
      <c r="H10" s="41" t="s">
        <v>340</v>
      </c>
      <c r="I10" s="41" t="s">
        <v>341</v>
      </c>
      <c r="J10" s="41" t="s">
        <v>342</v>
      </c>
      <c r="K10" s="41" t="s">
        <v>343</v>
      </c>
      <c r="L10" s="41" t="s">
        <v>344</v>
      </c>
      <c r="M10" s="41" t="s">
        <v>345</v>
      </c>
      <c r="N10" s="41" t="s">
        <v>331</v>
      </c>
      <c r="O10" s="41" t="s">
        <v>346</v>
      </c>
    </row>
    <row r="11" spans="1:15" x14ac:dyDescent="0.25">
      <c r="A11" s="84">
        <v>616</v>
      </c>
      <c r="B11" s="84" t="str">
        <f>VLOOKUP(A11,'Workers TO-BE'!A28:F63,2,FALSE)</f>
        <v>Team Lead</v>
      </c>
      <c r="C11" s="103">
        <f>VLOOKUP(B11,'Workers TO-BE'!B28:G63,5,FALSE)</f>
        <v>26</v>
      </c>
      <c r="D11" s="85" t="s">
        <v>285</v>
      </c>
      <c r="E11" s="85" t="s">
        <v>285</v>
      </c>
      <c r="F11" s="85" t="s">
        <v>285</v>
      </c>
      <c r="G11" s="85" t="s">
        <v>285</v>
      </c>
      <c r="H11" s="84" t="s">
        <v>147</v>
      </c>
      <c r="I11" s="84" t="s">
        <v>147</v>
      </c>
      <c r="J11" s="85" t="s">
        <v>285</v>
      </c>
      <c r="K11" s="85" t="s">
        <v>285</v>
      </c>
      <c r="L11" s="85" t="s">
        <v>285</v>
      </c>
      <c r="M11" s="85" t="s">
        <v>285</v>
      </c>
      <c r="N11" s="84" t="s">
        <v>327</v>
      </c>
      <c r="O11" s="84" t="s">
        <v>327</v>
      </c>
    </row>
    <row r="12" spans="1:15" x14ac:dyDescent="0.25">
      <c r="A12" s="84">
        <v>629</v>
      </c>
      <c r="B12" s="84" t="str">
        <f>VLOOKUP(A12,'Workers TO-BE'!A29:F63,2,FALSE)</f>
        <v>Team Lead</v>
      </c>
      <c r="C12" s="103">
        <f>VLOOKUP(B12,'Workers TO-BE'!B29:G63,5,FALSE)</f>
        <v>26</v>
      </c>
      <c r="D12" s="85" t="s">
        <v>286</v>
      </c>
      <c r="E12" s="85" t="s">
        <v>286</v>
      </c>
      <c r="F12" s="85" t="s">
        <v>286</v>
      </c>
      <c r="G12" s="85" t="s">
        <v>286</v>
      </c>
      <c r="H12" s="85" t="s">
        <v>286</v>
      </c>
      <c r="I12" s="85" t="s">
        <v>286</v>
      </c>
      <c r="J12" s="84" t="s">
        <v>147</v>
      </c>
      <c r="K12" s="84" t="s">
        <v>147</v>
      </c>
      <c r="L12" s="85" t="s">
        <v>286</v>
      </c>
      <c r="M12" s="85" t="s">
        <v>286</v>
      </c>
      <c r="N12" s="84" t="s">
        <v>327</v>
      </c>
      <c r="O12" s="84" t="s">
        <v>327</v>
      </c>
    </row>
    <row r="13" spans="1:15" x14ac:dyDescent="0.25">
      <c r="A13" s="84">
        <v>608</v>
      </c>
      <c r="B13" s="84" t="str">
        <f>VLOOKUP(A13,'Workers TO-BE'!A30:F64,2,FALSE)</f>
        <v>Team Lead</v>
      </c>
      <c r="C13" s="103">
        <f>VLOOKUP(B13,'Workers TO-BE'!B30:G64,5,FALSE)</f>
        <v>26</v>
      </c>
      <c r="D13" s="85" t="s">
        <v>287</v>
      </c>
      <c r="E13" s="85" t="s">
        <v>287</v>
      </c>
      <c r="F13" s="85" t="s">
        <v>287</v>
      </c>
      <c r="G13" s="85" t="s">
        <v>287</v>
      </c>
      <c r="H13" s="85" t="s">
        <v>287</v>
      </c>
      <c r="I13" s="85" t="s">
        <v>287</v>
      </c>
      <c r="J13" s="85" t="s">
        <v>287</v>
      </c>
      <c r="K13" s="85" t="s">
        <v>287</v>
      </c>
      <c r="L13" s="84" t="s">
        <v>147</v>
      </c>
      <c r="M13" s="84" t="s">
        <v>147</v>
      </c>
      <c r="N13" s="84" t="s">
        <v>327</v>
      </c>
      <c r="O13" s="84" t="s">
        <v>327</v>
      </c>
    </row>
    <row r="14" spans="1:15" x14ac:dyDescent="0.25">
      <c r="A14" s="84">
        <v>623</v>
      </c>
      <c r="B14" s="84" t="str">
        <f>VLOOKUP(A14,'Workers TO-BE'!A31:F65,2,FALSE)</f>
        <v>Team Pickup</v>
      </c>
      <c r="C14" s="103">
        <f>VLOOKUP(B14,'Workers TO-BE'!B31:G65,5,FALSE)</f>
        <v>26</v>
      </c>
      <c r="D14" s="86" t="s">
        <v>146</v>
      </c>
      <c r="E14" s="86" t="s">
        <v>146</v>
      </c>
      <c r="F14" s="84" t="s">
        <v>147</v>
      </c>
      <c r="G14" s="84" t="s">
        <v>147</v>
      </c>
      <c r="H14" s="86" t="s">
        <v>146</v>
      </c>
      <c r="I14" s="86" t="s">
        <v>146</v>
      </c>
      <c r="J14" s="86" t="s">
        <v>146</v>
      </c>
      <c r="K14" s="86" t="s">
        <v>146</v>
      </c>
      <c r="L14" s="86" t="s">
        <v>146</v>
      </c>
      <c r="M14" s="86" t="s">
        <v>146</v>
      </c>
      <c r="N14" s="84" t="s">
        <v>327</v>
      </c>
      <c r="O14" s="84" t="s">
        <v>327</v>
      </c>
    </row>
    <row r="15" spans="1:15" x14ac:dyDescent="0.25">
      <c r="A15" s="84">
        <v>637</v>
      </c>
      <c r="B15" s="84" t="str">
        <f>VLOOKUP(A15,'Workers TO-BE'!A32:F66,2,FALSE)</f>
        <v>Team Backup</v>
      </c>
      <c r="C15" s="103">
        <f>VLOOKUP(B15,'Workers TO-BE'!B32:G66,5,FALSE)</f>
        <v>26</v>
      </c>
      <c r="D15" s="84" t="s">
        <v>147</v>
      </c>
      <c r="E15" s="84" t="s">
        <v>147</v>
      </c>
      <c r="F15" s="86" t="s">
        <v>146</v>
      </c>
      <c r="G15" s="86" t="s">
        <v>146</v>
      </c>
      <c r="H15" s="85" t="s">
        <v>285</v>
      </c>
      <c r="I15" s="85" t="s">
        <v>285</v>
      </c>
      <c r="J15" s="85" t="s">
        <v>286</v>
      </c>
      <c r="K15" s="85" t="s">
        <v>286</v>
      </c>
      <c r="L15" s="85" t="s">
        <v>287</v>
      </c>
      <c r="M15" s="85" t="s">
        <v>287</v>
      </c>
      <c r="N15" s="84" t="s">
        <v>327</v>
      </c>
      <c r="O15" s="84" t="s">
        <v>327</v>
      </c>
    </row>
    <row r="16" spans="1:15" x14ac:dyDescent="0.25">
      <c r="A16" s="84">
        <v>638</v>
      </c>
      <c r="B16" s="84" t="str">
        <f>VLOOKUP(A16,'Workers TO-BE'!A33:F67,2,FALSE)</f>
        <v>Team Maintenance</v>
      </c>
      <c r="C16" s="103">
        <f>VLOOKUP(B16,'Workers TO-BE'!B33:G67,5,FALSE)</f>
        <v>26</v>
      </c>
      <c r="D16" s="101" t="s">
        <v>335</v>
      </c>
      <c r="E16" s="101" t="s">
        <v>335</v>
      </c>
      <c r="F16" s="101" t="s">
        <v>335</v>
      </c>
      <c r="G16" s="101" t="s">
        <v>335</v>
      </c>
      <c r="H16" s="84" t="s">
        <v>147</v>
      </c>
      <c r="I16" s="84" t="s">
        <v>147</v>
      </c>
      <c r="J16" s="101" t="s">
        <v>335</v>
      </c>
      <c r="K16" s="101" t="s">
        <v>335</v>
      </c>
      <c r="L16" s="101" t="s">
        <v>335</v>
      </c>
      <c r="M16" s="101" t="s">
        <v>335</v>
      </c>
      <c r="N16" s="84" t="s">
        <v>327</v>
      </c>
      <c r="O16" s="84" t="s">
        <v>327</v>
      </c>
    </row>
    <row r="17" spans="1:15" x14ac:dyDescent="0.25">
      <c r="A17" s="84">
        <v>607</v>
      </c>
      <c r="B17" s="84" t="str">
        <f>VLOOKUP(A17,'Workers TO-BE'!A34:F68,2,FALSE)</f>
        <v>Team Maintenance</v>
      </c>
      <c r="C17" s="103">
        <f>VLOOKUP(B17,'Workers TO-BE'!B34:G68,5,FALSE)</f>
        <v>26</v>
      </c>
      <c r="D17" s="101" t="s">
        <v>335</v>
      </c>
      <c r="E17" s="101" t="s">
        <v>335</v>
      </c>
      <c r="F17" s="84" t="s">
        <v>147</v>
      </c>
      <c r="G17" s="84" t="s">
        <v>147</v>
      </c>
      <c r="H17" s="101" t="s">
        <v>335</v>
      </c>
      <c r="I17" s="101" t="s">
        <v>335</v>
      </c>
      <c r="J17" s="101" t="s">
        <v>335</v>
      </c>
      <c r="K17" s="101" t="s">
        <v>335</v>
      </c>
      <c r="L17" s="84" t="s">
        <v>147</v>
      </c>
      <c r="M17" s="84" t="s">
        <v>147</v>
      </c>
      <c r="N17" s="84" t="s">
        <v>327</v>
      </c>
      <c r="O17" s="84" t="s">
        <v>327</v>
      </c>
    </row>
    <row r="18" spans="1:15" x14ac:dyDescent="0.25">
      <c r="A18" s="84">
        <v>631</v>
      </c>
      <c r="B18" s="84" t="str">
        <f>VLOOKUP(A18,'Workers TO-BE'!A35:F69,2,FALSE)</f>
        <v>Team Maintenance</v>
      </c>
      <c r="C18" s="103">
        <f>VLOOKUP(B18,'Workers TO-BE'!B35:G69,5,FALSE)</f>
        <v>26</v>
      </c>
      <c r="D18" s="84" t="s">
        <v>147</v>
      </c>
      <c r="E18" s="84" t="s">
        <v>147</v>
      </c>
      <c r="F18" s="101" t="s">
        <v>335</v>
      </c>
      <c r="G18" s="101" t="s">
        <v>335</v>
      </c>
      <c r="H18" s="101" t="s">
        <v>335</v>
      </c>
      <c r="I18" s="101" t="s">
        <v>335</v>
      </c>
      <c r="J18" s="84" t="s">
        <v>147</v>
      </c>
      <c r="K18" s="84" t="s">
        <v>147</v>
      </c>
      <c r="L18" s="101" t="s">
        <v>335</v>
      </c>
      <c r="M18" s="101" t="s">
        <v>335</v>
      </c>
      <c r="N18" s="84" t="s">
        <v>327</v>
      </c>
      <c r="O18" s="84" t="s">
        <v>327</v>
      </c>
    </row>
    <row r="19" spans="1:15" x14ac:dyDescent="0.25">
      <c r="A19" s="84">
        <v>611</v>
      </c>
      <c r="B19" s="84" t="str">
        <f>VLOOKUP(A19,'Workers TO-BE'!A40:F70,2,FALSE)</f>
        <v>Shift / Maintenance Manager</v>
      </c>
      <c r="C19" s="103">
        <f>VLOOKUP(B19,'Workers TO-BE'!B40:G70,5,FALSE)</f>
        <v>30</v>
      </c>
      <c r="D19" s="102" t="s">
        <v>333</v>
      </c>
      <c r="E19" s="102" t="s">
        <v>333</v>
      </c>
      <c r="F19" s="102" t="s">
        <v>333</v>
      </c>
      <c r="G19" s="102" t="s">
        <v>333</v>
      </c>
      <c r="H19" s="102" t="s">
        <v>333</v>
      </c>
      <c r="I19" s="102" t="s">
        <v>333</v>
      </c>
      <c r="J19" s="102" t="s">
        <v>333</v>
      </c>
      <c r="K19" s="102" t="s">
        <v>333</v>
      </c>
      <c r="L19" s="102" t="s">
        <v>333</v>
      </c>
      <c r="M19" s="102" t="s">
        <v>333</v>
      </c>
      <c r="N19" s="84" t="s">
        <v>327</v>
      </c>
      <c r="O19" s="84" t="s">
        <v>327</v>
      </c>
    </row>
    <row r="20" spans="1:15" x14ac:dyDescent="0.25">
      <c r="A20" s="84">
        <v>626</v>
      </c>
      <c r="B20" s="84" t="str">
        <f>VLOOKUP(A20,'Workers TO-BE'!A41:F71,2,FALSE)</f>
        <v>Quality Control Tech</v>
      </c>
      <c r="C20" s="103">
        <f>VLOOKUP(B20,'Workers TO-BE'!B41:G71,5,FALSE)</f>
        <v>26</v>
      </c>
      <c r="D20" s="102" t="s">
        <v>334</v>
      </c>
      <c r="E20" s="102" t="s">
        <v>334</v>
      </c>
      <c r="F20" s="102" t="s">
        <v>334</v>
      </c>
      <c r="G20" s="102" t="s">
        <v>334</v>
      </c>
      <c r="H20" s="102" t="s">
        <v>334</v>
      </c>
      <c r="I20" s="102" t="s">
        <v>334</v>
      </c>
      <c r="J20" s="102" t="s">
        <v>334</v>
      </c>
      <c r="K20" s="102" t="s">
        <v>334</v>
      </c>
      <c r="L20" s="102" t="s">
        <v>334</v>
      </c>
      <c r="M20" s="102" t="s">
        <v>334</v>
      </c>
      <c r="N20" s="84" t="s">
        <v>327</v>
      </c>
      <c r="O20" s="84" t="s">
        <v>327</v>
      </c>
    </row>
    <row r="21" spans="1:15" x14ac:dyDescent="0.25">
      <c r="A21" s="84" t="s">
        <v>95</v>
      </c>
      <c r="B21" s="84">
        <f>SUBTOTAL(103,Table2729[Role])</f>
        <v>10</v>
      </c>
      <c r="C21" s="103">
        <f>SUBTOTAL(109,Table2729[Pay / Hour])</f>
        <v>264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</row>
  </sheetData>
  <pageMargins left="0.7" right="0.7" top="0.75" bottom="0.75" header="0.3" footer="0.3"/>
  <ignoredErrors>
    <ignoredError sqref="B12:B20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M15"/>
  <sheetViews>
    <sheetView workbookViewId="0">
      <selection activeCell="M15" sqref="M15"/>
    </sheetView>
  </sheetViews>
  <sheetFormatPr defaultRowHeight="15" x14ac:dyDescent="0.25"/>
  <cols>
    <col min="1" max="1" width="13.7109375" bestFit="1" customWidth="1"/>
    <col min="2" max="2" width="23.42578125" bestFit="1" customWidth="1"/>
    <col min="3" max="3" width="14.85546875" bestFit="1" customWidth="1"/>
    <col min="4" max="4" width="40" bestFit="1" customWidth="1"/>
    <col min="5" max="5" width="96.85546875" hidden="1" customWidth="1"/>
    <col min="6" max="6" width="7.140625" bestFit="1" customWidth="1"/>
    <col min="7" max="7" width="6.42578125" bestFit="1" customWidth="1"/>
    <col min="8" max="8" width="15.85546875" style="41" bestFit="1" customWidth="1"/>
    <col min="9" max="9" width="8.140625" style="41" bestFit="1" customWidth="1"/>
    <col min="10" max="11" width="8.140625" style="41" customWidth="1"/>
    <col min="12" max="12" width="16.5703125" style="41" bestFit="1" customWidth="1"/>
    <col min="13" max="13" width="12.7109375" bestFit="1" customWidth="1"/>
  </cols>
  <sheetData>
    <row r="1" spans="1:13" s="41" customFormat="1" ht="23.25" x14ac:dyDescent="0.35">
      <c r="A1" s="6" t="s">
        <v>194</v>
      </c>
    </row>
    <row r="2" spans="1:13" x14ac:dyDescent="0.25">
      <c r="A2" s="41" t="s">
        <v>194</v>
      </c>
      <c r="B2" s="41" t="s">
        <v>33</v>
      </c>
      <c r="C2" s="41" t="s">
        <v>34</v>
      </c>
      <c r="D2" s="41" t="s">
        <v>75</v>
      </c>
      <c r="E2" s="41" t="s">
        <v>76</v>
      </c>
      <c r="F2" s="41" t="s">
        <v>35</v>
      </c>
      <c r="G2" s="41" t="s">
        <v>36</v>
      </c>
      <c r="H2" s="41" t="s">
        <v>312</v>
      </c>
      <c r="I2" s="41" t="s">
        <v>120</v>
      </c>
      <c r="J2" s="41" t="s">
        <v>351</v>
      </c>
      <c r="K2" s="41" t="s">
        <v>352</v>
      </c>
      <c r="L2" s="41" t="s">
        <v>313</v>
      </c>
      <c r="M2" s="41" t="s">
        <v>96</v>
      </c>
    </row>
    <row r="3" spans="1:13" x14ac:dyDescent="0.25">
      <c r="A3" s="40" t="s">
        <v>108</v>
      </c>
      <c r="B3" s="40" t="s">
        <v>59</v>
      </c>
      <c r="C3" s="40" t="s">
        <v>60</v>
      </c>
      <c r="D3" s="40" t="s">
        <v>92</v>
      </c>
      <c r="E3" s="40" t="s">
        <v>93</v>
      </c>
      <c r="F3" s="40">
        <v>1</v>
      </c>
      <c r="G3" s="40" t="s">
        <v>44</v>
      </c>
      <c r="H3" s="40" t="str">
        <f>"Shelf "&amp;Table114[[#This Row],[Row]] &amp; " - Bay "&amp; Table114[[#This Row],[Bay]]</f>
        <v>Shelf 1 - Bay A</v>
      </c>
      <c r="I3" s="40" t="s">
        <v>121</v>
      </c>
      <c r="J3" s="40"/>
      <c r="K3" s="40"/>
      <c r="L3" s="40" t="str">
        <f>IF(Table114[[#This Row],[Fixed]]="Yes",Table114[[#This Row],[Location AS-IS]],"Shelf "&amp;Table114[[#This Row],[New Row]] &amp; " - Bay "&amp; Table114[[#This Row],[New Bay]])</f>
        <v>Shelf 1 - Bay A</v>
      </c>
      <c r="M3" s="69">
        <v>2</v>
      </c>
    </row>
    <row r="4" spans="1:13" x14ac:dyDescent="0.25">
      <c r="A4" s="40" t="s">
        <v>109</v>
      </c>
      <c r="B4" s="40" t="s">
        <v>42</v>
      </c>
      <c r="C4" s="40" t="s">
        <v>43</v>
      </c>
      <c r="D4" s="40" t="s">
        <v>81</v>
      </c>
      <c r="E4" s="40" t="s">
        <v>82</v>
      </c>
      <c r="F4" s="40">
        <v>2</v>
      </c>
      <c r="G4" s="40" t="s">
        <v>44</v>
      </c>
      <c r="H4" s="40" t="str">
        <f>"Shelf "&amp;Table114[[#This Row],[Row]] &amp; " - Bay "&amp; Table114[[#This Row],[Bay]]</f>
        <v>Shelf 2 - Bay A</v>
      </c>
      <c r="I4" s="40" t="s">
        <v>121</v>
      </c>
      <c r="J4" s="40"/>
      <c r="K4" s="40"/>
      <c r="L4" s="40" t="str">
        <f>IF(Table114[[#This Row],[Fixed]]="Yes",Table114[[#This Row],[Location AS-IS]],"Shelf "&amp;Table114[[#This Row],[New Row]] &amp; " - Bay "&amp; Table114[[#This Row],[New Bay]])</f>
        <v>Shelf 2 - Bay A</v>
      </c>
      <c r="M4" s="69">
        <v>17.420000000000002</v>
      </c>
    </row>
    <row r="5" spans="1:13" x14ac:dyDescent="0.25">
      <c r="A5" s="40" t="s">
        <v>110</v>
      </c>
      <c r="B5" s="40" t="s">
        <v>57</v>
      </c>
      <c r="C5" s="40" t="s">
        <v>58</v>
      </c>
      <c r="D5" s="40" t="s">
        <v>90</v>
      </c>
      <c r="E5" s="40" t="s">
        <v>91</v>
      </c>
      <c r="F5" s="40">
        <v>3</v>
      </c>
      <c r="G5" s="40" t="s">
        <v>39</v>
      </c>
      <c r="H5" s="40" t="str">
        <f>"Shelf "&amp;Table114[[#This Row],[Row]] &amp; " - Bay "&amp; Table114[[#This Row],[Bay]]</f>
        <v>Shelf 3 - Bay C</v>
      </c>
      <c r="I5" s="40" t="s">
        <v>121</v>
      </c>
      <c r="J5" s="40"/>
      <c r="K5" s="40"/>
      <c r="L5" s="40" t="str">
        <f>IF(Table114[[#This Row],[Fixed]]="Yes",Table114[[#This Row],[Location AS-IS]],"Shelf "&amp;Table114[[#This Row],[New Row]] &amp; " - Bay "&amp; Table114[[#This Row],[New Bay]])</f>
        <v>Shelf 3 - Bay C</v>
      </c>
      <c r="M5" s="69">
        <v>4</v>
      </c>
    </row>
    <row r="6" spans="1:13" x14ac:dyDescent="0.25">
      <c r="A6" s="40" t="s">
        <v>111</v>
      </c>
      <c r="B6" s="40" t="s">
        <v>45</v>
      </c>
      <c r="C6" s="40" t="s">
        <v>46</v>
      </c>
      <c r="D6" s="40" t="s">
        <v>83</v>
      </c>
      <c r="E6" s="40"/>
      <c r="F6" s="40">
        <v>4</v>
      </c>
      <c r="G6" s="40" t="s">
        <v>47</v>
      </c>
      <c r="H6" s="40" t="str">
        <f>"Shelf "&amp;Table114[[#This Row],[Row]] &amp; " - Bay "&amp; Table114[[#This Row],[Bay]]</f>
        <v>Shelf 4 - Bay D</v>
      </c>
      <c r="I6" s="40"/>
      <c r="J6" s="40">
        <v>10</v>
      </c>
      <c r="K6" s="40" t="s">
        <v>51</v>
      </c>
      <c r="L6" s="40" t="str">
        <f>IF(Table114[[#This Row],[Fixed]]="Yes",Table114[[#This Row],[Location AS-IS]],"Shelf "&amp;Table114[[#This Row],[New Row]] &amp; " - Bay "&amp; Table114[[#This Row],[New Bay]])</f>
        <v>Shelf 10 - Bay B</v>
      </c>
      <c r="M6" s="69">
        <v>14.99</v>
      </c>
    </row>
    <row r="7" spans="1:13" x14ac:dyDescent="0.25">
      <c r="A7" s="40" t="s">
        <v>112</v>
      </c>
      <c r="B7" s="40" t="s">
        <v>48</v>
      </c>
      <c r="C7" s="40" t="s">
        <v>49</v>
      </c>
      <c r="D7" s="40" t="s">
        <v>84</v>
      </c>
      <c r="E7" s="40" t="s">
        <v>85</v>
      </c>
      <c r="F7" s="40">
        <v>5</v>
      </c>
      <c r="G7" s="40" t="s">
        <v>41</v>
      </c>
      <c r="H7" s="40" t="str">
        <f>"Shelf "&amp;Table114[[#This Row],[Row]] &amp; " - Bay "&amp; Table114[[#This Row],[Bay]]</f>
        <v>Shelf 5 - Bay E</v>
      </c>
      <c r="I7" s="40"/>
      <c r="J7" s="40">
        <v>10</v>
      </c>
      <c r="K7" s="40" t="s">
        <v>44</v>
      </c>
      <c r="L7" s="40" t="str">
        <f>IF(Table114[[#This Row],[Fixed]]="Yes",Table114[[#This Row],[Location AS-IS]],"Shelf "&amp;Table114[[#This Row],[New Row]] &amp; " - Bay "&amp; Table114[[#This Row],[New Bay]])</f>
        <v>Shelf 10 - Bay A</v>
      </c>
      <c r="M7" s="69">
        <v>4.1500000000000004</v>
      </c>
    </row>
    <row r="8" spans="1:13" x14ac:dyDescent="0.25">
      <c r="A8" s="40" t="s">
        <v>113</v>
      </c>
      <c r="B8" s="32" t="s">
        <v>48</v>
      </c>
      <c r="C8" s="33" t="s">
        <v>50</v>
      </c>
      <c r="D8" s="33" t="s">
        <v>86</v>
      </c>
      <c r="E8" s="33"/>
      <c r="F8" s="40">
        <v>6</v>
      </c>
      <c r="G8" s="33" t="s">
        <v>51</v>
      </c>
      <c r="H8" s="33" t="str">
        <f>"Shelf "&amp;Table114[[#This Row],[Row]] &amp; " - Bay "&amp; Table114[[#This Row],[Bay]]</f>
        <v>Shelf 6 - Bay B</v>
      </c>
      <c r="I8" s="40" t="s">
        <v>121</v>
      </c>
      <c r="J8" s="40"/>
      <c r="K8" s="40"/>
      <c r="L8" s="40" t="str">
        <f>IF(Table114[[#This Row],[Fixed]]="Yes",Table114[[#This Row],[Location AS-IS]],"Shelf "&amp;Table114[[#This Row],[New Row]] &amp; " - Bay "&amp; Table114[[#This Row],[New Bay]])</f>
        <v>Shelf 6 - Bay B</v>
      </c>
      <c r="M8" s="69">
        <v>1.88</v>
      </c>
    </row>
    <row r="9" spans="1:13" x14ac:dyDescent="0.25">
      <c r="A9" s="40" t="s">
        <v>114</v>
      </c>
      <c r="B9" s="40" t="s">
        <v>55</v>
      </c>
      <c r="C9" s="40" t="s">
        <v>56</v>
      </c>
      <c r="D9" s="40" t="s">
        <v>89</v>
      </c>
      <c r="E9" s="40"/>
      <c r="F9" s="40">
        <v>7</v>
      </c>
      <c r="G9" s="40" t="s">
        <v>41</v>
      </c>
      <c r="H9" s="40" t="str">
        <f>"Shelf "&amp;Table114[[#This Row],[Row]] &amp; " - Bay "&amp; Table114[[#This Row],[Bay]]</f>
        <v>Shelf 7 - Bay E</v>
      </c>
      <c r="I9" s="40"/>
      <c r="J9" s="40">
        <v>7</v>
      </c>
      <c r="K9" s="40" t="s">
        <v>41</v>
      </c>
      <c r="L9" s="40" t="str">
        <f>IF(Table114[[#This Row],[Fixed]]="Yes",Table114[[#This Row],[Location AS-IS]],"Shelf "&amp;Table114[[#This Row],[New Row]] &amp; " - Bay "&amp; Table114[[#This Row],[New Bay]])</f>
        <v>Shelf 7 - Bay E</v>
      </c>
      <c r="M9" s="69">
        <v>38.15</v>
      </c>
    </row>
    <row r="10" spans="1:13" x14ac:dyDescent="0.25">
      <c r="A10" s="40" t="s">
        <v>115</v>
      </c>
      <c r="B10" s="40" t="s">
        <v>52</v>
      </c>
      <c r="C10" s="40" t="s">
        <v>53</v>
      </c>
      <c r="D10" s="40" t="s">
        <v>87</v>
      </c>
      <c r="E10" s="40"/>
      <c r="F10" s="40">
        <v>7</v>
      </c>
      <c r="G10" s="40" t="s">
        <v>51</v>
      </c>
      <c r="H10" s="40" t="str">
        <f>"Shelf "&amp;Table114[[#This Row],[Row]] &amp; " - Bay "&amp; Table114[[#This Row],[Bay]]</f>
        <v>Shelf 7 - Bay B</v>
      </c>
      <c r="I10" s="40" t="s">
        <v>121</v>
      </c>
      <c r="J10" s="40"/>
      <c r="K10" s="40"/>
      <c r="L10" s="40" t="str">
        <f>IF(Table114[[#This Row],[Fixed]]="Yes",Table114[[#This Row],[Location AS-IS]],"Shelf "&amp;Table114[[#This Row],[New Row]] &amp; " - Bay "&amp; Table114[[#This Row],[New Bay]])</f>
        <v>Shelf 7 - Bay B</v>
      </c>
      <c r="M10" s="69">
        <v>0.56999999999999995</v>
      </c>
    </row>
    <row r="11" spans="1:13" x14ac:dyDescent="0.25">
      <c r="A11" s="40" t="s">
        <v>116</v>
      </c>
      <c r="B11" s="40" t="s">
        <v>37</v>
      </c>
      <c r="C11" s="40" t="s">
        <v>40</v>
      </c>
      <c r="D11" s="40" t="s">
        <v>79</v>
      </c>
      <c r="E11" s="40" t="s">
        <v>80</v>
      </c>
      <c r="F11" s="40">
        <v>10</v>
      </c>
      <c r="G11" s="40" t="s">
        <v>41</v>
      </c>
      <c r="H11" s="40" t="str">
        <f>"Shelf "&amp;Table114[[#This Row],[Row]] &amp; " - Bay "&amp; Table114[[#This Row],[Bay]]</f>
        <v>Shelf 10 - Bay E</v>
      </c>
      <c r="I11" s="40" t="s">
        <v>121</v>
      </c>
      <c r="J11" s="40"/>
      <c r="K11" s="40"/>
      <c r="L11" s="40" t="str">
        <f>IF(Table114[[#This Row],[Fixed]]="Yes",Table114[[#This Row],[Location AS-IS]],"Shelf "&amp;Table114[[#This Row],[New Row]] &amp; " - Bay "&amp; Table114[[#This Row],[New Bay]])</f>
        <v>Shelf 10 - Bay E</v>
      </c>
      <c r="M11" s="69">
        <v>0.08</v>
      </c>
    </row>
    <row r="12" spans="1:13" x14ac:dyDescent="0.25">
      <c r="A12" s="40" t="s">
        <v>117</v>
      </c>
      <c r="B12" s="40" t="s">
        <v>37</v>
      </c>
      <c r="C12" s="40" t="s">
        <v>38</v>
      </c>
      <c r="D12" s="40" t="s">
        <v>77</v>
      </c>
      <c r="E12" s="40" t="s">
        <v>78</v>
      </c>
      <c r="F12" s="40">
        <v>10</v>
      </c>
      <c r="G12" s="40" t="s">
        <v>39</v>
      </c>
      <c r="H12" s="40" t="str">
        <f>"Shelf "&amp;Table114[[#This Row],[Row]] &amp; " - Bay "&amp; Table114[[#This Row],[Bay]]</f>
        <v>Shelf 10 - Bay C</v>
      </c>
      <c r="I12" s="40" t="s">
        <v>121</v>
      </c>
      <c r="J12" s="40"/>
      <c r="K12" s="40"/>
      <c r="L12" s="40" t="str">
        <f>IF(Table114[[#This Row],[Fixed]]="Yes",Table114[[#This Row],[Location AS-IS]],"Shelf "&amp;Table114[[#This Row],[New Row]] &amp; " - Bay "&amp; Table114[[#This Row],[New Bay]])</f>
        <v>Shelf 10 - Bay C</v>
      </c>
      <c r="M12" s="69">
        <v>6.61</v>
      </c>
    </row>
    <row r="13" spans="1:13" x14ac:dyDescent="0.25">
      <c r="A13" s="40" t="s">
        <v>118</v>
      </c>
      <c r="B13" s="40" t="s">
        <v>61</v>
      </c>
      <c r="C13" s="40" t="s">
        <v>62</v>
      </c>
      <c r="D13" s="40" t="s">
        <v>94</v>
      </c>
      <c r="E13" s="40"/>
      <c r="F13" s="40">
        <v>14</v>
      </c>
      <c r="G13" s="40" t="s">
        <v>44</v>
      </c>
      <c r="H13" s="40" t="str">
        <f>"Shelf "&amp;Table114[[#This Row],[Row]] &amp; " - Bay "&amp; Table114[[#This Row],[Bay]]</f>
        <v>Shelf 14 - Bay A</v>
      </c>
      <c r="I13" s="40" t="s">
        <v>121</v>
      </c>
      <c r="J13" s="40"/>
      <c r="K13" s="40"/>
      <c r="L13" s="40" t="str">
        <f>IF(Table114[[#This Row],[Fixed]]="Yes",Table114[[#This Row],[Location AS-IS]],"Shelf "&amp;Table114[[#This Row],[New Row]] &amp; " - Bay "&amp; Table114[[#This Row],[New Bay]])</f>
        <v>Shelf 14 - Bay A</v>
      </c>
      <c r="M13" s="69">
        <v>3</v>
      </c>
    </row>
    <row r="14" spans="1:13" x14ac:dyDescent="0.25">
      <c r="A14" s="40" t="s">
        <v>119</v>
      </c>
      <c r="B14" s="40" t="s">
        <v>52</v>
      </c>
      <c r="C14" s="40" t="s">
        <v>54</v>
      </c>
      <c r="D14" s="40" t="s">
        <v>88</v>
      </c>
      <c r="E14" s="40"/>
      <c r="F14" s="40">
        <v>8</v>
      </c>
      <c r="G14" s="40" t="s">
        <v>41</v>
      </c>
      <c r="H14" s="40" t="str">
        <f>"Shelf "&amp;Table114[[#This Row],[Row]] &amp; " - Bay "&amp; Table114[[#This Row],[Bay]]</f>
        <v>Shelf 8 - Bay E</v>
      </c>
      <c r="I14" s="40"/>
      <c r="J14" s="40">
        <v>6</v>
      </c>
      <c r="K14" s="40" t="s">
        <v>39</v>
      </c>
      <c r="L14" s="40" t="str">
        <f>IF(Table114[[#This Row],[Fixed]]="Yes",Table114[[#This Row],[Location AS-IS]],"Shelf "&amp;Table114[[#This Row],[New Row]] &amp; " - Bay "&amp; Table114[[#This Row],[New Bay]])</f>
        <v>Shelf 6 - Bay C</v>
      </c>
      <c r="M14" s="69">
        <v>0.31</v>
      </c>
    </row>
    <row r="15" spans="1:13" x14ac:dyDescent="0.25">
      <c r="A15" s="41" t="s">
        <v>95</v>
      </c>
      <c r="B15" s="41"/>
      <c r="C15" s="41"/>
      <c r="D15" s="41"/>
      <c r="E15" s="41"/>
      <c r="F15" s="41"/>
      <c r="G15" s="41"/>
      <c r="M15" s="54">
        <f>SUBTOTAL(109,Table114[Cost (CAD)])</f>
        <v>93.16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I41"/>
  <sheetViews>
    <sheetView workbookViewId="0">
      <selection activeCell="A10" sqref="A10"/>
    </sheetView>
  </sheetViews>
  <sheetFormatPr defaultRowHeight="15" x14ac:dyDescent="0.25"/>
  <cols>
    <col min="1" max="1" width="9" customWidth="1"/>
    <col min="2" max="2" width="19.7109375" bestFit="1" customWidth="1"/>
    <col min="3" max="3" width="11" bestFit="1" customWidth="1"/>
    <col min="4" max="4" width="17.7109375" bestFit="1" customWidth="1"/>
    <col min="5" max="5" width="19.28515625" bestFit="1" customWidth="1"/>
    <col min="6" max="6" width="15.7109375" bestFit="1" customWidth="1"/>
    <col min="7" max="7" width="14.85546875" bestFit="1" customWidth="1"/>
    <col min="8" max="8" width="18.140625" bestFit="1" customWidth="1"/>
    <col min="9" max="9" width="14.28515625" bestFit="1" customWidth="1"/>
  </cols>
  <sheetData>
    <row r="1" spans="1:9" ht="23.25" x14ac:dyDescent="0.35">
      <c r="A1" s="6" t="s">
        <v>298</v>
      </c>
      <c r="B1" s="41"/>
      <c r="D1" s="41"/>
    </row>
    <row r="2" spans="1:9" s="41" customFormat="1" x14ac:dyDescent="0.25">
      <c r="A2" s="41" t="s">
        <v>299</v>
      </c>
    </row>
    <row r="3" spans="1:9" ht="17.25" x14ac:dyDescent="0.25">
      <c r="A3" s="7" t="s">
        <v>214</v>
      </c>
      <c r="B3" s="41"/>
      <c r="C3" s="41"/>
      <c r="D3" s="41"/>
    </row>
    <row r="4" spans="1:9" x14ac:dyDescent="0.25">
      <c r="A4" s="97">
        <f>AVERAGE('Workers AS-IS'!F22:F39)</f>
        <v>23.333333333333332</v>
      </c>
      <c r="B4" s="41" t="s">
        <v>166</v>
      </c>
    </row>
    <row r="5" spans="1:9" x14ac:dyDescent="0.25">
      <c r="A5" s="98">
        <f>A4/60/60</f>
        <v>6.4814814814814813E-3</v>
      </c>
      <c r="B5" s="41" t="s">
        <v>215</v>
      </c>
    </row>
    <row r="6" spans="1:9" s="41" customFormat="1" x14ac:dyDescent="0.25"/>
    <row r="7" spans="1:9" s="41" customFormat="1" ht="17.25" x14ac:dyDescent="0.25">
      <c r="A7" s="7" t="s">
        <v>72</v>
      </c>
    </row>
    <row r="8" spans="1:9" s="41" customFormat="1" x14ac:dyDescent="0.25">
      <c r="A8" s="34">
        <f>Table52[[#Totals],[Duration]]</f>
        <v>253.5</v>
      </c>
      <c r="B8" s="41" t="s">
        <v>369</v>
      </c>
    </row>
    <row r="9" spans="1:9" s="41" customFormat="1" x14ac:dyDescent="0.25">
      <c r="A9" s="112">
        <f>Table3[[#Totals],[Minutes Max]]*60</f>
        <v>138.13752550102004</v>
      </c>
      <c r="B9" s="41" t="s">
        <v>370</v>
      </c>
    </row>
    <row r="10" spans="1:9" s="41" customFormat="1" x14ac:dyDescent="0.25">
      <c r="A10" s="113">
        <f>A8-A9</f>
        <v>115.36247449897996</v>
      </c>
      <c r="B10" s="41" t="s">
        <v>371</v>
      </c>
    </row>
    <row r="11" spans="1:9" s="41" customFormat="1" x14ac:dyDescent="0.25">
      <c r="A11" s="52">
        <f>Table52[[#Totals],[Labour Task Value]]</f>
        <v>1.6430555555555559</v>
      </c>
      <c r="B11" s="41" t="s">
        <v>216</v>
      </c>
    </row>
    <row r="12" spans="1:9" s="41" customFormat="1" x14ac:dyDescent="0.25">
      <c r="A12" s="52">
        <f>Table52[[#Totals],[Component Cost]]</f>
        <v>93.16</v>
      </c>
      <c r="B12" s="41" t="s">
        <v>217</v>
      </c>
    </row>
    <row r="13" spans="1:9" s="41" customFormat="1" x14ac:dyDescent="0.25">
      <c r="A13" s="52">
        <f>Table52[[#Totals],[Total to Task]]</f>
        <v>94.803055555555545</v>
      </c>
      <c r="B13" s="41" t="s">
        <v>218</v>
      </c>
    </row>
    <row r="14" spans="1:9" s="41" customFormat="1" x14ac:dyDescent="0.25">
      <c r="A14" s="52"/>
    </row>
    <row r="15" spans="1:9" s="41" customFormat="1" ht="17.25" x14ac:dyDescent="0.25">
      <c r="A15" s="7" t="s">
        <v>125</v>
      </c>
    </row>
    <row r="16" spans="1:9" x14ac:dyDescent="0.25">
      <c r="A16" s="57" t="s">
        <v>188</v>
      </c>
      <c r="B16" s="57" t="s">
        <v>189</v>
      </c>
      <c r="C16" s="57" t="s">
        <v>190</v>
      </c>
      <c r="D16" s="57" t="s">
        <v>191</v>
      </c>
      <c r="E16" s="57" t="s">
        <v>192</v>
      </c>
      <c r="F16" s="57" t="s">
        <v>193</v>
      </c>
      <c r="G16" s="57" t="s">
        <v>194</v>
      </c>
      <c r="H16" s="57" t="s">
        <v>219</v>
      </c>
      <c r="I16" s="71" t="s">
        <v>195</v>
      </c>
    </row>
    <row r="17" spans="1:9" x14ac:dyDescent="0.25">
      <c r="A17" s="58">
        <v>1</v>
      </c>
      <c r="B17" s="59" t="s">
        <v>196</v>
      </c>
      <c r="C17" s="59">
        <v>14</v>
      </c>
      <c r="D17" s="58">
        <f>C17</f>
        <v>14</v>
      </c>
      <c r="E17" s="60">
        <f t="shared" ref="E17:E40" si="0">C17*$A$5</f>
        <v>9.0740740740740733E-2</v>
      </c>
      <c r="F17" s="60">
        <f>E17</f>
        <v>9.0740740740740733E-2</v>
      </c>
      <c r="G17" s="59" t="s">
        <v>38</v>
      </c>
      <c r="H17" s="60">
        <f>VLOOKUP($G17,Table114[[Part Number]:[Cost (CAD)]], 11,FALSE)</f>
        <v>6.61</v>
      </c>
      <c r="I17" s="60">
        <f t="shared" ref="I17:I40" si="1">$E17+$H17+IF(ISNUMBER(I16),I16,0)</f>
        <v>6.7007407407407413</v>
      </c>
    </row>
    <row r="18" spans="1:9" x14ac:dyDescent="0.25">
      <c r="A18" s="61">
        <v>2</v>
      </c>
      <c r="B18" s="62" t="s">
        <v>197</v>
      </c>
      <c r="C18" s="62">
        <v>10</v>
      </c>
      <c r="D18" s="61">
        <f>D17+C18</f>
        <v>24</v>
      </c>
      <c r="E18" s="63">
        <f t="shared" si="0"/>
        <v>6.4814814814814811E-2</v>
      </c>
      <c r="F18" s="63">
        <f>F17+E18</f>
        <v>0.15555555555555556</v>
      </c>
      <c r="G18" s="62" t="s">
        <v>38</v>
      </c>
      <c r="H18" s="63"/>
      <c r="I18" s="63">
        <f t="shared" si="1"/>
        <v>6.7655555555555562</v>
      </c>
    </row>
    <row r="19" spans="1:9" x14ac:dyDescent="0.25">
      <c r="A19" s="58">
        <v>3</v>
      </c>
      <c r="B19" s="59" t="s">
        <v>198</v>
      </c>
      <c r="C19" s="59">
        <v>3</v>
      </c>
      <c r="D19" s="58">
        <f t="shared" ref="D19:D40" si="2">D18+C19</f>
        <v>27</v>
      </c>
      <c r="E19" s="60">
        <f t="shared" si="0"/>
        <v>1.9444444444444445E-2</v>
      </c>
      <c r="F19" s="60">
        <f t="shared" ref="F19:F40" si="3">F18+E19</f>
        <v>0.17499999999999999</v>
      </c>
      <c r="G19" s="64" t="s">
        <v>40</v>
      </c>
      <c r="H19" s="60">
        <f>VLOOKUP($G19,Table114[[Part Number]:[Cost (CAD)]], 11,FALSE)</f>
        <v>0.08</v>
      </c>
      <c r="I19" s="60">
        <f t="shared" si="1"/>
        <v>6.8650000000000002</v>
      </c>
    </row>
    <row r="20" spans="1:9" x14ac:dyDescent="0.25">
      <c r="A20" s="61">
        <v>4</v>
      </c>
      <c r="B20" s="62" t="s">
        <v>199</v>
      </c>
      <c r="C20" s="62">
        <v>7</v>
      </c>
      <c r="D20" s="61">
        <f t="shared" si="2"/>
        <v>34</v>
      </c>
      <c r="E20" s="63">
        <f t="shared" si="0"/>
        <v>4.5370370370370366E-2</v>
      </c>
      <c r="F20" s="63">
        <f t="shared" si="3"/>
        <v>0.22037037037037036</v>
      </c>
      <c r="G20" s="62" t="s">
        <v>62</v>
      </c>
      <c r="H20" s="60">
        <f>VLOOKUP($G20,Table114[[Part Number]:[Cost (CAD)]], 11,FALSE)</f>
        <v>3</v>
      </c>
      <c r="I20" s="63">
        <f t="shared" si="1"/>
        <v>9.9103703703703712</v>
      </c>
    </row>
    <row r="21" spans="1:9" x14ac:dyDescent="0.25">
      <c r="A21" s="58">
        <v>5</v>
      </c>
      <c r="B21" s="59" t="s">
        <v>200</v>
      </c>
      <c r="C21" s="59">
        <v>2</v>
      </c>
      <c r="D21" s="58">
        <f t="shared" si="2"/>
        <v>36</v>
      </c>
      <c r="E21" s="60">
        <f t="shared" si="0"/>
        <v>1.2962962962962963E-2</v>
      </c>
      <c r="F21" s="60">
        <f t="shared" si="3"/>
        <v>0.23333333333333331</v>
      </c>
      <c r="G21" s="58"/>
      <c r="H21" s="60"/>
      <c r="I21" s="60">
        <f t="shared" si="1"/>
        <v>9.9233333333333338</v>
      </c>
    </row>
    <row r="22" spans="1:9" x14ac:dyDescent="0.25">
      <c r="A22" s="61">
        <v>6</v>
      </c>
      <c r="B22" s="62" t="s">
        <v>201</v>
      </c>
      <c r="C22" s="62">
        <v>6.6</v>
      </c>
      <c r="D22" s="61">
        <f t="shared" si="2"/>
        <v>42.6</v>
      </c>
      <c r="E22" s="63">
        <f t="shared" si="0"/>
        <v>4.2777777777777776E-2</v>
      </c>
      <c r="F22" s="63">
        <f t="shared" si="3"/>
        <v>0.27611111111111108</v>
      </c>
      <c r="G22" s="62" t="s">
        <v>58</v>
      </c>
      <c r="H22" s="60">
        <f>VLOOKUP($G22,Table114[[Part Number]:[Cost (CAD)]], 11,FALSE)</f>
        <v>4</v>
      </c>
      <c r="I22" s="63">
        <f t="shared" si="1"/>
        <v>13.966111111111111</v>
      </c>
    </row>
    <row r="23" spans="1:9" x14ac:dyDescent="0.25">
      <c r="A23" s="58">
        <v>7</v>
      </c>
      <c r="B23" s="59" t="s">
        <v>202</v>
      </c>
      <c r="C23" s="59">
        <v>20</v>
      </c>
      <c r="D23" s="58">
        <f t="shared" si="2"/>
        <v>62.6</v>
      </c>
      <c r="E23" s="60">
        <f t="shared" si="0"/>
        <v>0.12962962962962962</v>
      </c>
      <c r="F23" s="60">
        <f t="shared" si="3"/>
        <v>0.40574074074074074</v>
      </c>
      <c r="G23" s="59" t="s">
        <v>46</v>
      </c>
      <c r="H23" s="60">
        <f>VLOOKUP($G23,Table114[[Part Number]:[Cost (CAD)]], 11,FALSE)</f>
        <v>14.99</v>
      </c>
      <c r="I23" s="60">
        <f t="shared" si="1"/>
        <v>29.085740740740739</v>
      </c>
    </row>
    <row r="24" spans="1:9" x14ac:dyDescent="0.25">
      <c r="A24" s="61">
        <v>8</v>
      </c>
      <c r="B24" s="62" t="s">
        <v>203</v>
      </c>
      <c r="C24" s="62">
        <v>30</v>
      </c>
      <c r="D24" s="61">
        <f t="shared" si="2"/>
        <v>92.6</v>
      </c>
      <c r="E24" s="63">
        <f t="shared" si="0"/>
        <v>0.19444444444444445</v>
      </c>
      <c r="F24" s="63">
        <f t="shared" si="3"/>
        <v>0.60018518518518515</v>
      </c>
      <c r="G24" s="61"/>
      <c r="H24" s="63"/>
      <c r="I24" s="63">
        <f t="shared" si="1"/>
        <v>29.280185185185182</v>
      </c>
    </row>
    <row r="25" spans="1:9" x14ac:dyDescent="0.25">
      <c r="A25" s="58">
        <v>9</v>
      </c>
      <c r="B25" s="59" t="s">
        <v>204</v>
      </c>
      <c r="C25" s="59">
        <v>24</v>
      </c>
      <c r="D25" s="58">
        <f t="shared" si="2"/>
        <v>116.6</v>
      </c>
      <c r="E25" s="60">
        <f t="shared" si="0"/>
        <v>0.15555555555555556</v>
      </c>
      <c r="F25" s="60">
        <f t="shared" si="3"/>
        <v>0.75574074074074071</v>
      </c>
      <c r="G25" s="59" t="s">
        <v>62</v>
      </c>
      <c r="H25" s="60"/>
      <c r="I25" s="60">
        <f t="shared" si="1"/>
        <v>29.435740740740737</v>
      </c>
    </row>
    <row r="26" spans="1:9" x14ac:dyDescent="0.25">
      <c r="A26" s="61">
        <v>10</v>
      </c>
      <c r="B26" s="62" t="s">
        <v>205</v>
      </c>
      <c r="C26" s="62">
        <v>12</v>
      </c>
      <c r="D26" s="61">
        <f t="shared" si="2"/>
        <v>128.6</v>
      </c>
      <c r="E26" s="63">
        <f t="shared" si="0"/>
        <v>7.7777777777777779E-2</v>
      </c>
      <c r="F26" s="63">
        <f t="shared" si="3"/>
        <v>0.83351851851851855</v>
      </c>
      <c r="G26" s="62" t="s">
        <v>53</v>
      </c>
      <c r="H26" s="60">
        <f>VLOOKUP($G26,Table114[[Part Number]:[Cost (CAD)]], 11,FALSE)</f>
        <v>0.56999999999999995</v>
      </c>
      <c r="I26" s="63">
        <f t="shared" si="1"/>
        <v>30.083518518518517</v>
      </c>
    </row>
    <row r="27" spans="1:9" x14ac:dyDescent="0.25">
      <c r="A27" s="58">
        <v>11</v>
      </c>
      <c r="B27" s="59" t="s">
        <v>206</v>
      </c>
      <c r="C27" s="59">
        <v>6</v>
      </c>
      <c r="D27" s="58">
        <f t="shared" si="2"/>
        <v>134.6</v>
      </c>
      <c r="E27" s="60">
        <f t="shared" si="0"/>
        <v>3.888888888888889E-2</v>
      </c>
      <c r="F27" s="60">
        <f t="shared" si="3"/>
        <v>0.87240740740740741</v>
      </c>
      <c r="G27" s="58"/>
      <c r="H27" s="60"/>
      <c r="I27" s="60">
        <f t="shared" si="1"/>
        <v>30.122407407407405</v>
      </c>
    </row>
    <row r="28" spans="1:9" x14ac:dyDescent="0.25">
      <c r="A28" s="61">
        <v>12</v>
      </c>
      <c r="B28" s="62" t="s">
        <v>200</v>
      </c>
      <c r="C28" s="62">
        <v>2</v>
      </c>
      <c r="D28" s="61">
        <f t="shared" si="2"/>
        <v>136.6</v>
      </c>
      <c r="E28" s="63">
        <f t="shared" si="0"/>
        <v>1.2962962962962963E-2</v>
      </c>
      <c r="F28" s="63">
        <f t="shared" si="3"/>
        <v>0.88537037037037036</v>
      </c>
      <c r="G28" s="61"/>
      <c r="H28" s="63"/>
      <c r="I28" s="63">
        <f t="shared" si="1"/>
        <v>30.135370370370367</v>
      </c>
    </row>
    <row r="29" spans="1:9" x14ac:dyDescent="0.25">
      <c r="A29" s="58">
        <v>13</v>
      </c>
      <c r="B29" s="59" t="s">
        <v>207</v>
      </c>
      <c r="C29" s="59">
        <v>4.4000000000000004</v>
      </c>
      <c r="D29" s="58">
        <f t="shared" si="2"/>
        <v>141</v>
      </c>
      <c r="E29" s="60">
        <f t="shared" si="0"/>
        <v>2.8518518518518519E-2</v>
      </c>
      <c r="F29" s="60">
        <f t="shared" si="3"/>
        <v>0.91388888888888886</v>
      </c>
      <c r="G29" s="59" t="s">
        <v>49</v>
      </c>
      <c r="H29" s="60">
        <f>VLOOKUP($G29,Table114[[Part Number]:[Cost (CAD)]], 11,FALSE)</f>
        <v>4.1500000000000004</v>
      </c>
      <c r="I29" s="60">
        <f t="shared" si="1"/>
        <v>34.313888888888883</v>
      </c>
    </row>
    <row r="30" spans="1:9" x14ac:dyDescent="0.25">
      <c r="A30" s="61">
        <v>14</v>
      </c>
      <c r="B30" s="62" t="s">
        <v>202</v>
      </c>
      <c r="C30" s="62">
        <v>8.8000000000000007</v>
      </c>
      <c r="D30" s="61">
        <f t="shared" si="2"/>
        <v>149.80000000000001</v>
      </c>
      <c r="E30" s="63">
        <f t="shared" si="0"/>
        <v>5.7037037037037039E-2</v>
      </c>
      <c r="F30" s="63">
        <f t="shared" si="3"/>
        <v>0.97092592592592586</v>
      </c>
      <c r="G30" s="61" t="s">
        <v>54</v>
      </c>
      <c r="H30" s="60">
        <f>VLOOKUP($G30,Table114[[Part Number]:[Cost (CAD)]], 11,FALSE)</f>
        <v>0.31</v>
      </c>
      <c r="I30" s="63">
        <f t="shared" si="1"/>
        <v>34.680925925925919</v>
      </c>
    </row>
    <row r="31" spans="1:9" x14ac:dyDescent="0.25">
      <c r="A31" s="58">
        <v>15</v>
      </c>
      <c r="B31" s="59" t="s">
        <v>208</v>
      </c>
      <c r="C31" s="59">
        <v>6</v>
      </c>
      <c r="D31" s="58">
        <f t="shared" si="2"/>
        <v>155.80000000000001</v>
      </c>
      <c r="E31" s="60">
        <f t="shared" si="0"/>
        <v>3.888888888888889E-2</v>
      </c>
      <c r="F31" s="60">
        <f t="shared" si="3"/>
        <v>1.0098148148148147</v>
      </c>
      <c r="G31" s="58"/>
      <c r="H31" s="60"/>
      <c r="I31" s="60">
        <f t="shared" si="1"/>
        <v>34.719814814814811</v>
      </c>
    </row>
    <row r="32" spans="1:9" x14ac:dyDescent="0.25">
      <c r="A32" s="61">
        <v>16</v>
      </c>
      <c r="B32" s="62" t="s">
        <v>209</v>
      </c>
      <c r="C32" s="62">
        <v>2</v>
      </c>
      <c r="D32" s="61">
        <f t="shared" si="2"/>
        <v>157.80000000000001</v>
      </c>
      <c r="E32" s="63">
        <f t="shared" si="0"/>
        <v>1.2962962962962963E-2</v>
      </c>
      <c r="F32" s="63">
        <f t="shared" si="3"/>
        <v>1.0227777777777778</v>
      </c>
      <c r="G32" s="61"/>
      <c r="H32" s="63"/>
      <c r="I32" s="63">
        <f t="shared" si="1"/>
        <v>34.732777777777777</v>
      </c>
    </row>
    <row r="33" spans="1:9" x14ac:dyDescent="0.25">
      <c r="A33" s="58">
        <v>17</v>
      </c>
      <c r="B33" s="59" t="s">
        <v>198</v>
      </c>
      <c r="C33" s="59">
        <v>1.2</v>
      </c>
      <c r="D33" s="58">
        <f t="shared" si="2"/>
        <v>159</v>
      </c>
      <c r="E33" s="60">
        <f t="shared" si="0"/>
        <v>7.7777777777777776E-3</v>
      </c>
      <c r="F33" s="60">
        <f t="shared" si="3"/>
        <v>1.0305555555555557</v>
      </c>
      <c r="G33" s="59" t="s">
        <v>60</v>
      </c>
      <c r="H33" s="60">
        <f>VLOOKUP($G33,Table114[[Part Number]:[Cost (CAD)]], 11,FALSE)</f>
        <v>2</v>
      </c>
      <c r="I33" s="60">
        <f t="shared" si="1"/>
        <v>36.740555555555552</v>
      </c>
    </row>
    <row r="34" spans="1:9" x14ac:dyDescent="0.25">
      <c r="A34" s="61">
        <v>18</v>
      </c>
      <c r="B34" s="62" t="s">
        <v>198</v>
      </c>
      <c r="C34" s="62">
        <v>1.2</v>
      </c>
      <c r="D34" s="61">
        <f t="shared" si="2"/>
        <v>160.19999999999999</v>
      </c>
      <c r="E34" s="63">
        <f t="shared" si="0"/>
        <v>7.7777777777777776E-3</v>
      </c>
      <c r="F34" s="63">
        <f t="shared" si="3"/>
        <v>1.0383333333333336</v>
      </c>
      <c r="G34" s="62" t="s">
        <v>50</v>
      </c>
      <c r="H34" s="60">
        <f>VLOOKUP($G34,Table114[[Part Number]:[Cost (CAD)]], 11,FALSE)</f>
        <v>1.88</v>
      </c>
      <c r="I34" s="63">
        <f t="shared" si="1"/>
        <v>38.62833333333333</v>
      </c>
    </row>
    <row r="35" spans="1:9" x14ac:dyDescent="0.25">
      <c r="A35" s="58">
        <v>19</v>
      </c>
      <c r="B35" s="59" t="s">
        <v>201</v>
      </c>
      <c r="C35" s="59">
        <v>12</v>
      </c>
      <c r="D35" s="58">
        <f t="shared" si="2"/>
        <v>172.2</v>
      </c>
      <c r="E35" s="60">
        <f t="shared" si="0"/>
        <v>7.7777777777777779E-2</v>
      </c>
      <c r="F35" s="60">
        <f t="shared" si="3"/>
        <v>1.1161111111111113</v>
      </c>
      <c r="G35" s="59" t="s">
        <v>43</v>
      </c>
      <c r="H35" s="60">
        <f>VLOOKUP($G35,Table114[[Part Number]:[Cost (CAD)]], 11,FALSE)</f>
        <v>17.420000000000002</v>
      </c>
      <c r="I35" s="60">
        <f t="shared" si="1"/>
        <v>56.126111111111115</v>
      </c>
    </row>
    <row r="36" spans="1:9" x14ac:dyDescent="0.25">
      <c r="A36" s="61">
        <v>20</v>
      </c>
      <c r="B36" s="62" t="s">
        <v>198</v>
      </c>
      <c r="C36" s="62">
        <v>8</v>
      </c>
      <c r="D36" s="61">
        <f t="shared" si="2"/>
        <v>180.2</v>
      </c>
      <c r="E36" s="63">
        <f t="shared" si="0"/>
        <v>5.185185185185185E-2</v>
      </c>
      <c r="F36" s="63">
        <f t="shared" si="3"/>
        <v>1.1679629629629631</v>
      </c>
      <c r="G36" s="62" t="s">
        <v>56</v>
      </c>
      <c r="H36" s="60">
        <f>VLOOKUP($G36,Table114[[Part Number]:[Cost (CAD)]], 11,FALSE)</f>
        <v>38.15</v>
      </c>
      <c r="I36" s="63">
        <f t="shared" si="1"/>
        <v>94.327962962962971</v>
      </c>
    </row>
    <row r="37" spans="1:9" x14ac:dyDescent="0.25">
      <c r="A37" s="58">
        <v>21</v>
      </c>
      <c r="B37" s="59" t="s">
        <v>210</v>
      </c>
      <c r="C37" s="59">
        <v>13.3</v>
      </c>
      <c r="D37" s="58">
        <f t="shared" si="2"/>
        <v>193.5</v>
      </c>
      <c r="E37" s="60">
        <f t="shared" si="0"/>
        <v>8.6203703703703699E-2</v>
      </c>
      <c r="F37" s="60">
        <f t="shared" si="3"/>
        <v>1.2541666666666669</v>
      </c>
      <c r="G37" s="59" t="s">
        <v>13</v>
      </c>
      <c r="H37" s="60"/>
      <c r="I37" s="60">
        <f t="shared" si="1"/>
        <v>94.414166666666674</v>
      </c>
    </row>
    <row r="38" spans="1:9" x14ac:dyDescent="0.25">
      <c r="A38" s="61">
        <v>22</v>
      </c>
      <c r="B38" s="62" t="s">
        <v>211</v>
      </c>
      <c r="C38" s="62">
        <v>10</v>
      </c>
      <c r="D38" s="61">
        <f t="shared" si="2"/>
        <v>203.5</v>
      </c>
      <c r="E38" s="63">
        <f t="shared" si="0"/>
        <v>6.4814814814814811E-2</v>
      </c>
      <c r="F38" s="63">
        <f t="shared" si="3"/>
        <v>1.3189814814814818</v>
      </c>
      <c r="G38" s="62" t="s">
        <v>13</v>
      </c>
      <c r="H38" s="63"/>
      <c r="I38" s="63">
        <f t="shared" si="1"/>
        <v>94.478981481481483</v>
      </c>
    </row>
    <row r="39" spans="1:9" x14ac:dyDescent="0.25">
      <c r="A39" s="58">
        <v>23</v>
      </c>
      <c r="B39" s="59" t="s">
        <v>212</v>
      </c>
      <c r="C39" s="59">
        <v>10</v>
      </c>
      <c r="D39" s="58">
        <f t="shared" si="2"/>
        <v>213.5</v>
      </c>
      <c r="E39" s="60">
        <f t="shared" si="0"/>
        <v>6.4814814814814811E-2</v>
      </c>
      <c r="F39" s="60">
        <f t="shared" si="3"/>
        <v>1.3837962962962966</v>
      </c>
      <c r="G39" s="59" t="s">
        <v>13</v>
      </c>
      <c r="H39" s="60"/>
      <c r="I39" s="60">
        <f t="shared" si="1"/>
        <v>94.543796296296293</v>
      </c>
    </row>
    <row r="40" spans="1:9" x14ac:dyDescent="0.25">
      <c r="A40" s="61">
        <v>24</v>
      </c>
      <c r="B40" s="62" t="s">
        <v>213</v>
      </c>
      <c r="C40" s="62">
        <v>40</v>
      </c>
      <c r="D40" s="61">
        <f t="shared" si="2"/>
        <v>253.5</v>
      </c>
      <c r="E40" s="63">
        <f t="shared" si="0"/>
        <v>0.25925925925925924</v>
      </c>
      <c r="F40" s="63">
        <f t="shared" si="3"/>
        <v>1.6430555555555559</v>
      </c>
      <c r="G40" s="62" t="s">
        <v>13</v>
      </c>
      <c r="H40" s="63"/>
      <c r="I40" s="70">
        <f t="shared" si="1"/>
        <v>94.803055555555545</v>
      </c>
    </row>
    <row r="41" spans="1:9" x14ac:dyDescent="0.25">
      <c r="A41" s="65" t="s">
        <v>95</v>
      </c>
      <c r="B41" s="66"/>
      <c r="C41" s="66">
        <f>SUBTOTAL(109,Table52[Duration])</f>
        <v>253.5</v>
      </c>
      <c r="D41" s="65"/>
      <c r="E41" s="67">
        <f>SUBTOTAL(109,Table52[Labour Task Value])</f>
        <v>1.6430555555555559</v>
      </c>
      <c r="F41" s="67"/>
      <c r="G41" s="66"/>
      <c r="H41" s="67">
        <f>SUBTOTAL(109,Table52[Component Cost])</f>
        <v>93.16</v>
      </c>
      <c r="I41" s="67">
        <f>SUBTOTAL(104,Table52[Total to Task])</f>
        <v>94.803055555555545</v>
      </c>
    </row>
  </sheetData>
  <conditionalFormatting sqref="A17:I4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{1EF9E6CA-7848-4CB0-8637-1630744F22AC}</x14:id>
        </ext>
      </extLst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F9E6CA-7848-4CB0-8637-1630744F22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A17:I40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R114"/>
  <sheetViews>
    <sheetView workbookViewId="0">
      <selection activeCell="C4" sqref="C4"/>
    </sheetView>
  </sheetViews>
  <sheetFormatPr defaultRowHeight="15" x14ac:dyDescent="0.25"/>
  <cols>
    <col min="1" max="1" width="9" customWidth="1"/>
    <col min="2" max="2" width="19.7109375" bestFit="1" customWidth="1"/>
    <col min="3" max="3" width="11" customWidth="1"/>
    <col min="4" max="4" width="17.7109375" bestFit="1" customWidth="1"/>
    <col min="5" max="5" width="19.28515625" bestFit="1" customWidth="1"/>
    <col min="6" max="6" width="15.7109375" customWidth="1"/>
    <col min="7" max="7" width="14.85546875" customWidth="1"/>
    <col min="8" max="8" width="18.140625" customWidth="1"/>
    <col min="9" max="9" width="14.28515625" bestFit="1" customWidth="1"/>
    <col min="10" max="10" width="10.85546875" bestFit="1" customWidth="1"/>
    <col min="11" max="11" width="16.28515625" bestFit="1" customWidth="1"/>
    <col min="12" max="12" width="7.7109375" bestFit="1" customWidth="1"/>
    <col min="13" max="13" width="13.28515625" bestFit="1" customWidth="1"/>
    <col min="14" max="14" width="18.140625" bestFit="1" customWidth="1"/>
    <col min="15" max="15" width="43.85546875" bestFit="1" customWidth="1"/>
    <col min="16" max="16" width="12" bestFit="1" customWidth="1"/>
    <col min="17" max="17" width="12.28515625" bestFit="1" customWidth="1"/>
    <col min="18" max="18" width="18.140625" bestFit="1" customWidth="1"/>
  </cols>
  <sheetData>
    <row r="1" spans="1:18" ht="23.25" x14ac:dyDescent="0.35">
      <c r="A1" s="6" t="s">
        <v>300</v>
      </c>
      <c r="B1" s="41"/>
      <c r="D1" s="41"/>
    </row>
    <row r="2" spans="1:18" s="41" customFormat="1" x14ac:dyDescent="0.25">
      <c r="A2" s="41" t="s">
        <v>301</v>
      </c>
    </row>
    <row r="3" spans="1:18" ht="17.25" x14ac:dyDescent="0.25">
      <c r="A3" s="7" t="s">
        <v>214</v>
      </c>
      <c r="B3" s="41"/>
      <c r="C3" s="41"/>
      <c r="D3" s="41"/>
    </row>
    <row r="4" spans="1:18" x14ac:dyDescent="0.25">
      <c r="A4" s="97">
        <f>AVERAGE('Workers AS-IS'!F22:F39)</f>
        <v>23.333333333333332</v>
      </c>
      <c r="B4" s="41" t="s">
        <v>166</v>
      </c>
    </row>
    <row r="5" spans="1:18" x14ac:dyDescent="0.25">
      <c r="A5" s="98">
        <f>A4/60/60</f>
        <v>6.4814814814814813E-3</v>
      </c>
      <c r="B5" s="41" t="s">
        <v>215</v>
      </c>
    </row>
    <row r="7" spans="1:18" x14ac:dyDescent="0.25">
      <c r="A7" s="57" t="s">
        <v>188</v>
      </c>
      <c r="B7" s="57" t="s">
        <v>189</v>
      </c>
      <c r="C7" s="57" t="s">
        <v>190</v>
      </c>
      <c r="D7" s="57" t="s">
        <v>191</v>
      </c>
      <c r="E7" s="57" t="s">
        <v>192</v>
      </c>
      <c r="F7" s="57" t="s">
        <v>193</v>
      </c>
      <c r="G7" s="57" t="s">
        <v>194</v>
      </c>
      <c r="H7" s="57" t="s">
        <v>219</v>
      </c>
      <c r="I7" s="57" t="s">
        <v>195</v>
      </c>
      <c r="J7" s="72" t="s">
        <v>220</v>
      </c>
      <c r="K7" s="72" t="s">
        <v>221</v>
      </c>
      <c r="L7" s="72" t="s">
        <v>222</v>
      </c>
      <c r="M7" s="72" t="s">
        <v>223</v>
      </c>
      <c r="N7" s="72" t="s">
        <v>280</v>
      </c>
      <c r="O7" s="72" t="s">
        <v>224</v>
      </c>
      <c r="P7" s="72" t="s">
        <v>225</v>
      </c>
      <c r="Q7" s="72" t="s">
        <v>226</v>
      </c>
      <c r="R7" s="72" t="s">
        <v>227</v>
      </c>
    </row>
    <row r="8" spans="1:18" x14ac:dyDescent="0.25">
      <c r="A8" s="58">
        <v>1</v>
      </c>
      <c r="B8" s="59" t="s">
        <v>196</v>
      </c>
      <c r="C8" s="59">
        <v>14</v>
      </c>
      <c r="D8" s="58">
        <f>C8</f>
        <v>14</v>
      </c>
      <c r="E8" s="60">
        <f t="shared" ref="E8:E31" si="0">C8*$A$5</f>
        <v>9.0740740740740733E-2</v>
      </c>
      <c r="F8" s="60">
        <f>E8</f>
        <v>9.0740740740740733E-2</v>
      </c>
      <c r="G8" s="59" t="s">
        <v>38</v>
      </c>
      <c r="H8" s="60">
        <f>VLOOKUP($G8,Table114[[Part Number]:[Cost (CAD)]], 11,FALSE)</f>
        <v>6.61</v>
      </c>
      <c r="I8" s="60">
        <f t="shared" ref="I8:I31" si="1">$E8+$H8+IF(ISNUMBER(I7),I7,0)</f>
        <v>6.7007407407407413</v>
      </c>
      <c r="J8" s="41">
        <v>0</v>
      </c>
      <c r="K8" s="41"/>
      <c r="L8" s="73"/>
      <c r="M8" s="74"/>
      <c r="N8" s="75"/>
      <c r="O8" s="73">
        <f>Table5713[[#This Row],[Duration]]+Table5713[[#This Row],[Time]]</f>
        <v>14</v>
      </c>
      <c r="P8" s="75">
        <f>Table5713[[#This Row],[Labour Task Value]]+Table5713[[#This Row],[Component Cost]]+Table5713[[#This Row],[Component Cost2]]+Table5713[[#This Row],[Labour cost]]</f>
        <v>6.7007407407407413</v>
      </c>
      <c r="Q8" s="76">
        <f>1-Table5713[[#This Row],[Fail Rate]]</f>
        <v>1</v>
      </c>
      <c r="R8" s="76">
        <f>Table5713[[#This Row],[Reliability]]</f>
        <v>1</v>
      </c>
    </row>
    <row r="9" spans="1:18" x14ac:dyDescent="0.25">
      <c r="A9" s="61">
        <v>2</v>
      </c>
      <c r="B9" s="62" t="s">
        <v>197</v>
      </c>
      <c r="C9" s="62">
        <v>10</v>
      </c>
      <c r="D9" s="61">
        <f>D8+C9</f>
        <v>24</v>
      </c>
      <c r="E9" s="63">
        <f t="shared" si="0"/>
        <v>6.4814814814814811E-2</v>
      </c>
      <c r="F9" s="63">
        <f>F8+E9</f>
        <v>0.15555555555555556</v>
      </c>
      <c r="G9" s="62" t="s">
        <v>38</v>
      </c>
      <c r="H9" s="63"/>
      <c r="I9" s="63">
        <f t="shared" si="1"/>
        <v>6.7655555555555562</v>
      </c>
      <c r="J9" s="43">
        <v>0.02</v>
      </c>
      <c r="K9" s="41" t="s">
        <v>228</v>
      </c>
      <c r="L9" s="73">
        <f>D42</f>
        <v>27</v>
      </c>
      <c r="M9" s="74">
        <f>Table5713[[#This Row],[Time]]*$A$5</f>
        <v>0.17499999999999999</v>
      </c>
      <c r="N9" s="75">
        <f>H39</f>
        <v>6.61</v>
      </c>
      <c r="O9" s="73">
        <f>Table5713[[#This Row],[Duration]]+Table5713[[#This Row],[Time]]+O8</f>
        <v>51</v>
      </c>
      <c r="P9" s="75">
        <f>Table5713[[#This Row],[Labour Task Value]]+Table5713[[#This Row],[Component Cost]]+Table5713[[#This Row],[Component Cost2]]+P8+Table5713[[#This Row],[Labour cost]]</f>
        <v>13.550555555555558</v>
      </c>
      <c r="Q9" s="76">
        <f>1-Table5713[[#This Row],[Fail Rate]]</f>
        <v>0.98</v>
      </c>
      <c r="R9" s="76">
        <f>Table5713[[#This Row],[Reliability]]*R8</f>
        <v>0.98</v>
      </c>
    </row>
    <row r="10" spans="1:18" x14ac:dyDescent="0.25">
      <c r="A10" s="58">
        <v>3</v>
      </c>
      <c r="B10" s="59" t="s">
        <v>198</v>
      </c>
      <c r="C10" s="59">
        <v>3</v>
      </c>
      <c r="D10" s="58">
        <f t="shared" ref="D10:D31" si="2">D9+C10</f>
        <v>27</v>
      </c>
      <c r="E10" s="60">
        <f t="shared" si="0"/>
        <v>1.9444444444444445E-2</v>
      </c>
      <c r="F10" s="60">
        <f t="shared" ref="F10:F31" si="3">F9+E10</f>
        <v>0.17499999999999999</v>
      </c>
      <c r="G10" s="64" t="s">
        <v>40</v>
      </c>
      <c r="H10" s="60">
        <f>VLOOKUP($G10,Table114[[Part Number]:[Cost (CAD)]], 11,FALSE)</f>
        <v>0.08</v>
      </c>
      <c r="I10" s="60">
        <f t="shared" si="1"/>
        <v>6.8650000000000002</v>
      </c>
      <c r="J10" s="41">
        <v>0</v>
      </c>
      <c r="K10" s="41"/>
      <c r="L10" s="73"/>
      <c r="M10" s="74"/>
      <c r="N10" s="75"/>
      <c r="O10" s="73">
        <f>Table5713[[#This Row],[Duration]]+Table5713[[#This Row],[Time]]+O9</f>
        <v>54</v>
      </c>
      <c r="P10" s="75">
        <f>Table5713[[#This Row],[Labour Task Value]]+Table5713[[#This Row],[Component Cost]]+Table5713[[#This Row],[Component Cost2]]+P9+Table5713[[#This Row],[Labour cost]]</f>
        <v>13.650000000000002</v>
      </c>
      <c r="Q10" s="76">
        <f>1-Table5713[[#This Row],[Fail Rate]]</f>
        <v>1</v>
      </c>
      <c r="R10" s="76">
        <f>Table5713[[#This Row],[Reliability]]*R9</f>
        <v>0.98</v>
      </c>
    </row>
    <row r="11" spans="1:18" x14ac:dyDescent="0.25">
      <c r="A11" s="61">
        <v>4</v>
      </c>
      <c r="B11" s="62" t="s">
        <v>199</v>
      </c>
      <c r="C11" s="62">
        <v>7</v>
      </c>
      <c r="D11" s="61">
        <f t="shared" si="2"/>
        <v>34</v>
      </c>
      <c r="E11" s="63">
        <f t="shared" si="0"/>
        <v>4.5370370370370366E-2</v>
      </c>
      <c r="F11" s="63">
        <f t="shared" si="3"/>
        <v>0.22037037037037036</v>
      </c>
      <c r="G11" s="62" t="s">
        <v>62</v>
      </c>
      <c r="H11" s="60">
        <f>VLOOKUP($G11,Table114[[Part Number]:[Cost (CAD)]], 11,FALSE)</f>
        <v>3</v>
      </c>
      <c r="I11" s="63">
        <f t="shared" si="1"/>
        <v>9.9103703703703712</v>
      </c>
      <c r="J11" s="41">
        <v>0</v>
      </c>
      <c r="K11" s="41"/>
      <c r="L11" s="73"/>
      <c r="M11" s="74"/>
      <c r="N11" s="75"/>
      <c r="O11" s="73">
        <f>Table5713[[#This Row],[Duration]]+Table5713[[#This Row],[Time]]+O10</f>
        <v>61</v>
      </c>
      <c r="P11" s="75">
        <f>Table5713[[#This Row],[Labour Task Value]]+Table5713[[#This Row],[Component Cost]]+Table5713[[#This Row],[Component Cost2]]+P10+Table5713[[#This Row],[Labour cost]]</f>
        <v>16.695370370370373</v>
      </c>
      <c r="Q11" s="76">
        <f>1-Table5713[[#This Row],[Fail Rate]]</f>
        <v>1</v>
      </c>
      <c r="R11" s="76">
        <f>Table5713[[#This Row],[Reliability]]*R10</f>
        <v>0.98</v>
      </c>
    </row>
    <row r="12" spans="1:18" x14ac:dyDescent="0.25">
      <c r="A12" s="58">
        <v>5</v>
      </c>
      <c r="B12" s="59" t="s">
        <v>200</v>
      </c>
      <c r="C12" s="59">
        <v>2</v>
      </c>
      <c r="D12" s="58">
        <f t="shared" si="2"/>
        <v>36</v>
      </c>
      <c r="E12" s="60">
        <f t="shared" si="0"/>
        <v>1.2962962962962963E-2</v>
      </c>
      <c r="F12" s="60">
        <f t="shared" si="3"/>
        <v>0.23333333333333331</v>
      </c>
      <c r="G12" s="58"/>
      <c r="H12" s="60"/>
      <c r="I12" s="60">
        <f t="shared" si="1"/>
        <v>9.9233333333333338</v>
      </c>
      <c r="J12" s="77">
        <v>5.1999999999999998E-2</v>
      </c>
      <c r="K12" s="41" t="s">
        <v>229</v>
      </c>
      <c r="L12" s="73">
        <f>D53</f>
        <v>29</v>
      </c>
      <c r="M12" s="74">
        <f>Table5713[[#This Row],[Time]]*$A$5</f>
        <v>0.18796296296296297</v>
      </c>
      <c r="N12" s="75">
        <f>H48</f>
        <v>9.6900000000000013</v>
      </c>
      <c r="O12" s="73">
        <f>Table5713[[#This Row],[Duration]]+Table5713[[#This Row],[Time]]+O11</f>
        <v>92</v>
      </c>
      <c r="P12" s="75">
        <f>Table5713[[#This Row],[Labour Task Value]]+Table5713[[#This Row],[Component Cost]]+Table5713[[#This Row],[Component Cost2]]+P11+Table5713[[#This Row],[Labour cost]]</f>
        <v>26.5862962962963</v>
      </c>
      <c r="Q12" s="76">
        <f>1-Table5713[[#This Row],[Fail Rate]]</f>
        <v>0.94799999999999995</v>
      </c>
      <c r="R12" s="76">
        <f>Table5713[[#This Row],[Reliability]]*R11</f>
        <v>0.92903999999999998</v>
      </c>
    </row>
    <row r="13" spans="1:18" x14ac:dyDescent="0.25">
      <c r="A13" s="61">
        <v>6</v>
      </c>
      <c r="B13" s="62" t="s">
        <v>201</v>
      </c>
      <c r="C13" s="62">
        <v>6.6</v>
      </c>
      <c r="D13" s="61">
        <f t="shared" si="2"/>
        <v>42.6</v>
      </c>
      <c r="E13" s="63">
        <f t="shared" si="0"/>
        <v>4.2777777777777776E-2</v>
      </c>
      <c r="F13" s="63">
        <f t="shared" si="3"/>
        <v>0.27611111111111108</v>
      </c>
      <c r="G13" s="62" t="s">
        <v>58</v>
      </c>
      <c r="H13" s="60">
        <f>VLOOKUP($G13,Table114[[Part Number]:[Cost (CAD)]], 11,FALSE)</f>
        <v>4</v>
      </c>
      <c r="I13" s="63">
        <f t="shared" si="1"/>
        <v>13.966111111111111</v>
      </c>
      <c r="J13" s="41">
        <v>0</v>
      </c>
      <c r="K13" s="41"/>
      <c r="L13" s="73"/>
      <c r="M13" s="74"/>
      <c r="N13" s="75"/>
      <c r="O13" s="73">
        <f>Table5713[[#This Row],[Duration]]+Table5713[[#This Row],[Time]]+O12</f>
        <v>98.6</v>
      </c>
      <c r="P13" s="75">
        <f>Table5713[[#This Row],[Labour Task Value]]+Table5713[[#This Row],[Component Cost]]+Table5713[[#This Row],[Component Cost2]]+P12+Table5713[[#This Row],[Labour cost]]</f>
        <v>30.629074074074076</v>
      </c>
      <c r="Q13" s="76">
        <f>1-Table5713[[#This Row],[Fail Rate]]</f>
        <v>1</v>
      </c>
      <c r="R13" s="76">
        <f>Table5713[[#This Row],[Reliability]]*R12</f>
        <v>0.92903999999999998</v>
      </c>
    </row>
    <row r="14" spans="1:18" x14ac:dyDescent="0.25">
      <c r="A14" s="58">
        <v>7</v>
      </c>
      <c r="B14" s="59" t="s">
        <v>202</v>
      </c>
      <c r="C14" s="59">
        <v>20</v>
      </c>
      <c r="D14" s="58">
        <f t="shared" si="2"/>
        <v>62.6</v>
      </c>
      <c r="E14" s="60">
        <f t="shared" si="0"/>
        <v>0.12962962962962962</v>
      </c>
      <c r="F14" s="60">
        <f t="shared" si="3"/>
        <v>0.40574074074074074</v>
      </c>
      <c r="G14" s="59" t="s">
        <v>46</v>
      </c>
      <c r="H14" s="60">
        <f>VLOOKUP($G14,Table114[[Part Number]:[Cost (CAD)]], 11,FALSE)</f>
        <v>14.99</v>
      </c>
      <c r="I14" s="60">
        <f t="shared" si="1"/>
        <v>29.085740740740739</v>
      </c>
      <c r="J14" s="41">
        <v>0</v>
      </c>
      <c r="K14" s="41"/>
      <c r="L14" s="73"/>
      <c r="M14" s="74"/>
      <c r="N14" s="75"/>
      <c r="O14" s="73">
        <f>Table5713[[#This Row],[Duration]]+Table5713[[#This Row],[Time]]+O13</f>
        <v>118.6</v>
      </c>
      <c r="P14" s="75">
        <f>Table5713[[#This Row],[Labour Task Value]]+Table5713[[#This Row],[Component Cost]]+Table5713[[#This Row],[Component Cost2]]+P13+Table5713[[#This Row],[Labour cost]]</f>
        <v>45.748703703703704</v>
      </c>
      <c r="Q14" s="76">
        <f>1-Table5713[[#This Row],[Fail Rate]]</f>
        <v>1</v>
      </c>
      <c r="R14" s="76">
        <f>Table5713[[#This Row],[Reliability]]*R13</f>
        <v>0.92903999999999998</v>
      </c>
    </row>
    <row r="15" spans="1:18" x14ac:dyDescent="0.25">
      <c r="A15" s="61">
        <v>8</v>
      </c>
      <c r="B15" s="62" t="s">
        <v>203</v>
      </c>
      <c r="C15" s="62">
        <v>30</v>
      </c>
      <c r="D15" s="61">
        <f t="shared" si="2"/>
        <v>92.6</v>
      </c>
      <c r="E15" s="63">
        <f t="shared" si="0"/>
        <v>0.19444444444444445</v>
      </c>
      <c r="F15" s="63">
        <f t="shared" si="3"/>
        <v>0.60018518518518515</v>
      </c>
      <c r="G15" s="61"/>
      <c r="H15" s="63"/>
      <c r="I15" s="63">
        <f t="shared" si="1"/>
        <v>29.280185185185182</v>
      </c>
      <c r="J15" s="43">
        <v>0.02</v>
      </c>
      <c r="K15" s="41" t="s">
        <v>230</v>
      </c>
      <c r="L15" s="73">
        <f>D59</f>
        <v>61</v>
      </c>
      <c r="M15" s="74">
        <f>Table5713[[#This Row],[Time]]*$A$5</f>
        <v>0.39537037037037037</v>
      </c>
      <c r="N15" s="75"/>
      <c r="O15" s="73">
        <f>Table5713[[#This Row],[Duration]]+Table5713[[#This Row],[Time]]+O14</f>
        <v>209.6</v>
      </c>
      <c r="P15" s="75">
        <f>Table5713[[#This Row],[Labour Task Value]]+Table5713[[#This Row],[Component Cost]]+Table5713[[#This Row],[Component Cost2]]+P14+Table5713[[#This Row],[Labour cost]]</f>
        <v>46.338518518518519</v>
      </c>
      <c r="Q15" s="76">
        <f>1-Table5713[[#This Row],[Fail Rate]]</f>
        <v>0.98</v>
      </c>
      <c r="R15" s="76">
        <f>Table5713[[#This Row],[Reliability]]*R14</f>
        <v>0.91045919999999991</v>
      </c>
    </row>
    <row r="16" spans="1:18" x14ac:dyDescent="0.25">
      <c r="A16" s="58">
        <v>9</v>
      </c>
      <c r="B16" s="59" t="s">
        <v>204</v>
      </c>
      <c r="C16" s="59">
        <v>24</v>
      </c>
      <c r="D16" s="58">
        <f t="shared" si="2"/>
        <v>116.6</v>
      </c>
      <c r="E16" s="60">
        <f t="shared" si="0"/>
        <v>0.15555555555555556</v>
      </c>
      <c r="F16" s="60">
        <f t="shared" si="3"/>
        <v>0.75574074074074071</v>
      </c>
      <c r="G16" s="59" t="s">
        <v>62</v>
      </c>
      <c r="H16" s="60"/>
      <c r="I16" s="60">
        <f t="shared" si="1"/>
        <v>29.435740740740737</v>
      </c>
      <c r="J16" s="41">
        <v>0</v>
      </c>
      <c r="K16" s="41"/>
      <c r="L16" s="73"/>
      <c r="M16" s="74"/>
      <c r="N16" s="75"/>
      <c r="O16" s="73">
        <f>Table5713[[#This Row],[Duration]]+Table5713[[#This Row],[Time]]+O15</f>
        <v>233.6</v>
      </c>
      <c r="P16" s="75">
        <f>Table5713[[#This Row],[Labour Task Value]]+Table5713[[#This Row],[Component Cost]]+Table5713[[#This Row],[Component Cost2]]+P15+Table5713[[#This Row],[Labour cost]]</f>
        <v>46.494074074074078</v>
      </c>
      <c r="Q16" s="76">
        <f>1-Table5713[[#This Row],[Fail Rate]]</f>
        <v>1</v>
      </c>
      <c r="R16" s="76">
        <f>Table5713[[#This Row],[Reliability]]*R15</f>
        <v>0.91045919999999991</v>
      </c>
    </row>
    <row r="17" spans="1:18" x14ac:dyDescent="0.25">
      <c r="A17" s="61">
        <v>10</v>
      </c>
      <c r="B17" s="62" t="s">
        <v>205</v>
      </c>
      <c r="C17" s="62">
        <v>12</v>
      </c>
      <c r="D17" s="61">
        <f t="shared" si="2"/>
        <v>128.6</v>
      </c>
      <c r="E17" s="63">
        <f t="shared" si="0"/>
        <v>7.7777777777777779E-2</v>
      </c>
      <c r="F17" s="63">
        <f t="shared" si="3"/>
        <v>0.83351851851851855</v>
      </c>
      <c r="G17" s="62" t="s">
        <v>53</v>
      </c>
      <c r="H17" s="60">
        <f>VLOOKUP($G17,Table114[[Part Number]:[Cost (CAD)]], 11,FALSE)</f>
        <v>0.56999999999999995</v>
      </c>
      <c r="I17" s="63">
        <f t="shared" si="1"/>
        <v>30.083518518518517</v>
      </c>
      <c r="J17" s="41">
        <v>0</v>
      </c>
      <c r="K17" s="41"/>
      <c r="L17" s="73"/>
      <c r="M17" s="74"/>
      <c r="N17" s="75"/>
      <c r="O17" s="73">
        <f>Table5713[[#This Row],[Duration]]+Table5713[[#This Row],[Time]]+O16</f>
        <v>245.6</v>
      </c>
      <c r="P17" s="75">
        <f>Table5713[[#This Row],[Labour Task Value]]+Table5713[[#This Row],[Component Cost]]+Table5713[[#This Row],[Component Cost2]]+P16+Table5713[[#This Row],[Labour cost]]</f>
        <v>47.141851851851854</v>
      </c>
      <c r="Q17" s="76">
        <f>1-Table5713[[#This Row],[Fail Rate]]</f>
        <v>1</v>
      </c>
      <c r="R17" s="76">
        <f>Table5713[[#This Row],[Reliability]]*R16</f>
        <v>0.91045919999999991</v>
      </c>
    </row>
    <row r="18" spans="1:18" x14ac:dyDescent="0.25">
      <c r="A18" s="58">
        <v>11</v>
      </c>
      <c r="B18" s="59" t="s">
        <v>206</v>
      </c>
      <c r="C18" s="59">
        <v>6</v>
      </c>
      <c r="D18" s="58">
        <f t="shared" si="2"/>
        <v>134.6</v>
      </c>
      <c r="E18" s="60">
        <f t="shared" si="0"/>
        <v>3.888888888888889E-2</v>
      </c>
      <c r="F18" s="60">
        <f t="shared" si="3"/>
        <v>0.87240740740740741</v>
      </c>
      <c r="G18" s="58"/>
      <c r="H18" s="60"/>
      <c r="I18" s="60">
        <f t="shared" si="1"/>
        <v>30.122407407407405</v>
      </c>
      <c r="J18" s="41">
        <v>0</v>
      </c>
      <c r="K18" s="41"/>
      <c r="L18" s="73"/>
      <c r="M18" s="74"/>
      <c r="N18" s="75"/>
      <c r="O18" s="73">
        <f>Table5713[[#This Row],[Duration]]+Table5713[[#This Row],[Time]]+O17</f>
        <v>251.6</v>
      </c>
      <c r="P18" s="75">
        <f>Table5713[[#This Row],[Labour Task Value]]+Table5713[[#This Row],[Component Cost]]+Table5713[[#This Row],[Component Cost2]]+P17+Table5713[[#This Row],[Labour cost]]</f>
        <v>47.180740740740745</v>
      </c>
      <c r="Q18" s="76">
        <f>1-Table5713[[#This Row],[Fail Rate]]</f>
        <v>1</v>
      </c>
      <c r="R18" s="76">
        <f>Table5713[[#This Row],[Reliability]]*R17</f>
        <v>0.91045919999999991</v>
      </c>
    </row>
    <row r="19" spans="1:18" x14ac:dyDescent="0.25">
      <c r="A19" s="61">
        <v>12</v>
      </c>
      <c r="B19" s="62" t="s">
        <v>200</v>
      </c>
      <c r="C19" s="62">
        <v>2</v>
      </c>
      <c r="D19" s="61">
        <f t="shared" si="2"/>
        <v>136.6</v>
      </c>
      <c r="E19" s="63">
        <f t="shared" si="0"/>
        <v>1.2962962962962963E-2</v>
      </c>
      <c r="F19" s="63">
        <f t="shared" si="3"/>
        <v>0.88537037037037036</v>
      </c>
      <c r="G19" s="61"/>
      <c r="H19" s="63"/>
      <c r="I19" s="63">
        <f t="shared" si="1"/>
        <v>30.135370370370367</v>
      </c>
      <c r="J19" s="77">
        <v>6.8000000000000005E-2</v>
      </c>
      <c r="K19" s="41" t="s">
        <v>231</v>
      </c>
      <c r="L19" s="73">
        <f>D73</f>
        <v>62</v>
      </c>
      <c r="M19" s="74">
        <f>Table5713[[#This Row],[Time]]*$A$5</f>
        <v>0.40185185185185185</v>
      </c>
      <c r="N19" s="75">
        <f>H68</f>
        <v>5.03</v>
      </c>
      <c r="O19" s="73">
        <f>Table5713[[#This Row],[Duration]]+Table5713[[#This Row],[Time]]+O18</f>
        <v>315.60000000000002</v>
      </c>
      <c r="P19" s="75">
        <f>Table5713[[#This Row],[Labour Task Value]]+Table5713[[#This Row],[Component Cost]]+Table5713[[#This Row],[Component Cost2]]+P18+Table5713[[#This Row],[Labour cost]]</f>
        <v>52.625555555555557</v>
      </c>
      <c r="Q19" s="76">
        <f>1-Table5713[[#This Row],[Fail Rate]]</f>
        <v>0.93199999999999994</v>
      </c>
      <c r="R19" s="76">
        <f>Table5713[[#This Row],[Reliability]]*R18</f>
        <v>0.84854797439999985</v>
      </c>
    </row>
    <row r="20" spans="1:18" x14ac:dyDescent="0.25">
      <c r="A20" s="58">
        <v>13</v>
      </c>
      <c r="B20" s="59" t="s">
        <v>207</v>
      </c>
      <c r="C20" s="59">
        <v>4.4000000000000004</v>
      </c>
      <c r="D20" s="58">
        <f t="shared" si="2"/>
        <v>141</v>
      </c>
      <c r="E20" s="60">
        <f t="shared" si="0"/>
        <v>2.8518518518518519E-2</v>
      </c>
      <c r="F20" s="60">
        <f t="shared" si="3"/>
        <v>0.91388888888888886</v>
      </c>
      <c r="G20" s="59" t="s">
        <v>49</v>
      </c>
      <c r="H20" s="60">
        <f>VLOOKUP($G20,Table114[[Part Number]:[Cost (CAD)]], 11,FALSE)</f>
        <v>4.1500000000000004</v>
      </c>
      <c r="I20" s="60">
        <f t="shared" si="1"/>
        <v>34.313888888888883</v>
      </c>
      <c r="J20" s="41">
        <v>0</v>
      </c>
      <c r="K20" s="41"/>
      <c r="L20" s="73"/>
      <c r="M20" s="74"/>
      <c r="N20" s="75"/>
      <c r="O20" s="73">
        <f>Table5713[[#This Row],[Duration]]+Table5713[[#This Row],[Time]]+O19</f>
        <v>320</v>
      </c>
      <c r="P20" s="75">
        <f>Table5713[[#This Row],[Labour Task Value]]+Table5713[[#This Row],[Component Cost]]+Table5713[[#This Row],[Component Cost2]]+P19+Table5713[[#This Row],[Labour cost]]</f>
        <v>56.80407407407408</v>
      </c>
      <c r="Q20" s="76">
        <f>1-Table5713[[#This Row],[Fail Rate]]</f>
        <v>1</v>
      </c>
      <c r="R20" s="76">
        <f>Table5713[[#This Row],[Reliability]]*R19</f>
        <v>0.84854797439999985</v>
      </c>
    </row>
    <row r="21" spans="1:18" x14ac:dyDescent="0.25">
      <c r="A21" s="61">
        <v>14</v>
      </c>
      <c r="B21" s="62" t="s">
        <v>202</v>
      </c>
      <c r="C21" s="62">
        <v>8.8000000000000007</v>
      </c>
      <c r="D21" s="61">
        <f t="shared" si="2"/>
        <v>149.80000000000001</v>
      </c>
      <c r="E21" s="63">
        <f t="shared" si="0"/>
        <v>5.7037037037037039E-2</v>
      </c>
      <c r="F21" s="63">
        <f t="shared" si="3"/>
        <v>0.97092592592592586</v>
      </c>
      <c r="G21" s="61" t="s">
        <v>54</v>
      </c>
      <c r="H21" s="60">
        <f>VLOOKUP($G21,Table114[[Part Number]:[Cost (CAD)]], 11,FALSE)</f>
        <v>0.31</v>
      </c>
      <c r="I21" s="63">
        <f t="shared" si="1"/>
        <v>34.680925925925919</v>
      </c>
      <c r="J21" s="41">
        <v>0</v>
      </c>
      <c r="K21" s="41"/>
      <c r="L21" s="73"/>
      <c r="M21" s="74"/>
      <c r="N21" s="75"/>
      <c r="O21" s="73">
        <f>Table5713[[#This Row],[Duration]]+Table5713[[#This Row],[Time]]+O20</f>
        <v>328.8</v>
      </c>
      <c r="P21" s="75">
        <f>Table5713[[#This Row],[Labour Task Value]]+Table5713[[#This Row],[Component Cost]]+Table5713[[#This Row],[Component Cost2]]+P20+Table5713[[#This Row],[Labour cost]]</f>
        <v>57.171111111111117</v>
      </c>
      <c r="Q21" s="76">
        <f>1-Table5713[[#This Row],[Fail Rate]]</f>
        <v>1</v>
      </c>
      <c r="R21" s="76">
        <f>Table5713[[#This Row],[Reliability]]*R20</f>
        <v>0.84854797439999985</v>
      </c>
    </row>
    <row r="22" spans="1:18" x14ac:dyDescent="0.25">
      <c r="A22" s="58">
        <v>15</v>
      </c>
      <c r="B22" s="59" t="s">
        <v>208</v>
      </c>
      <c r="C22" s="59">
        <v>6</v>
      </c>
      <c r="D22" s="58">
        <f t="shared" si="2"/>
        <v>155.80000000000001</v>
      </c>
      <c r="E22" s="60">
        <f t="shared" si="0"/>
        <v>3.888888888888889E-2</v>
      </c>
      <c r="F22" s="60">
        <f t="shared" si="3"/>
        <v>1.0098148148148147</v>
      </c>
      <c r="G22" s="58"/>
      <c r="H22" s="60"/>
      <c r="I22" s="60">
        <f t="shared" si="1"/>
        <v>34.719814814814811</v>
      </c>
      <c r="J22" s="41">
        <v>0</v>
      </c>
      <c r="K22" s="41"/>
      <c r="L22" s="73"/>
      <c r="M22" s="74"/>
      <c r="N22" s="75"/>
      <c r="O22" s="73">
        <f>Table5713[[#This Row],[Duration]]+Table5713[[#This Row],[Time]]+O21</f>
        <v>334.8</v>
      </c>
      <c r="P22" s="75">
        <f>Table5713[[#This Row],[Labour Task Value]]+Table5713[[#This Row],[Component Cost]]+Table5713[[#This Row],[Component Cost2]]+P21+Table5713[[#This Row],[Labour cost]]</f>
        <v>57.210000000000008</v>
      </c>
      <c r="Q22" s="76">
        <f>1-Table5713[[#This Row],[Fail Rate]]</f>
        <v>1</v>
      </c>
      <c r="R22" s="76">
        <f>Table5713[[#This Row],[Reliability]]*R21</f>
        <v>0.84854797439999985</v>
      </c>
    </row>
    <row r="23" spans="1:18" x14ac:dyDescent="0.25">
      <c r="A23" s="61">
        <v>16</v>
      </c>
      <c r="B23" s="62" t="s">
        <v>209</v>
      </c>
      <c r="C23" s="62">
        <v>2</v>
      </c>
      <c r="D23" s="61">
        <f t="shared" si="2"/>
        <v>157.80000000000001</v>
      </c>
      <c r="E23" s="63">
        <f t="shared" si="0"/>
        <v>1.2962962962962963E-2</v>
      </c>
      <c r="F23" s="63">
        <f t="shared" si="3"/>
        <v>1.0227777777777778</v>
      </c>
      <c r="G23" s="61"/>
      <c r="H23" s="63"/>
      <c r="I23" s="63">
        <f t="shared" si="1"/>
        <v>34.732777777777777</v>
      </c>
      <c r="J23" s="78">
        <v>0</v>
      </c>
      <c r="K23" s="41" t="s">
        <v>232</v>
      </c>
      <c r="L23" s="73">
        <f>D85</f>
        <v>36.799999999999997</v>
      </c>
      <c r="M23" s="74">
        <f>Table5713[[#This Row],[Time]]*$A$5</f>
        <v>0.23851851851851849</v>
      </c>
      <c r="N23" s="75">
        <f>H80</f>
        <v>0.87999999999999989</v>
      </c>
      <c r="O23" s="73">
        <f>Table5713[[#This Row],[Duration]]+Table5713[[#This Row],[Time]]+O22</f>
        <v>373.6</v>
      </c>
      <c r="P23" s="75">
        <f>Table5713[[#This Row],[Labour Task Value]]+Table5713[[#This Row],[Component Cost]]+Table5713[[#This Row],[Component Cost2]]+P22+Table5713[[#This Row],[Labour cost]]</f>
        <v>58.341481481481487</v>
      </c>
      <c r="Q23" s="76">
        <f>1-Table5713[[#This Row],[Fail Rate]]</f>
        <v>1</v>
      </c>
      <c r="R23" s="76">
        <f>Table5713[[#This Row],[Reliability]]*R22</f>
        <v>0.84854797439999985</v>
      </c>
    </row>
    <row r="24" spans="1:18" x14ac:dyDescent="0.25">
      <c r="A24" s="58">
        <v>17</v>
      </c>
      <c r="B24" s="59" t="s">
        <v>198</v>
      </c>
      <c r="C24" s="59">
        <v>1.2</v>
      </c>
      <c r="D24" s="58">
        <f t="shared" si="2"/>
        <v>159</v>
      </c>
      <c r="E24" s="60">
        <f t="shared" si="0"/>
        <v>7.7777777777777776E-3</v>
      </c>
      <c r="F24" s="60">
        <f t="shared" si="3"/>
        <v>1.0305555555555557</v>
      </c>
      <c r="G24" s="59" t="s">
        <v>60</v>
      </c>
      <c r="H24" s="60">
        <f>VLOOKUP($G24,Table114[[Part Number]:[Cost (CAD)]], 11,FALSE)</f>
        <v>2</v>
      </c>
      <c r="I24" s="60">
        <f t="shared" si="1"/>
        <v>36.740555555555552</v>
      </c>
      <c r="J24" s="41">
        <v>0</v>
      </c>
      <c r="K24" s="41"/>
      <c r="L24" s="73"/>
      <c r="M24" s="74"/>
      <c r="N24" s="75"/>
      <c r="O24" s="73">
        <f>Table5713[[#This Row],[Duration]]+Table5713[[#This Row],[Time]]+O23</f>
        <v>374.8</v>
      </c>
      <c r="P24" s="75">
        <f>Table5713[[#This Row],[Labour Task Value]]+Table5713[[#This Row],[Component Cost]]+Table5713[[#This Row],[Component Cost2]]+P23+Table5713[[#This Row],[Labour cost]]</f>
        <v>60.349259259259263</v>
      </c>
      <c r="Q24" s="76">
        <f>1-Table5713[[#This Row],[Fail Rate]]</f>
        <v>1</v>
      </c>
      <c r="R24" s="76">
        <f>Table5713[[#This Row],[Reliability]]*R23</f>
        <v>0.84854797439999985</v>
      </c>
    </row>
    <row r="25" spans="1:18" x14ac:dyDescent="0.25">
      <c r="A25" s="61">
        <v>18</v>
      </c>
      <c r="B25" s="62" t="s">
        <v>198</v>
      </c>
      <c r="C25" s="62">
        <v>1.2</v>
      </c>
      <c r="D25" s="61">
        <f t="shared" si="2"/>
        <v>160.19999999999999</v>
      </c>
      <c r="E25" s="63">
        <f t="shared" si="0"/>
        <v>7.7777777777777776E-3</v>
      </c>
      <c r="F25" s="63">
        <f t="shared" si="3"/>
        <v>1.0383333333333336</v>
      </c>
      <c r="G25" s="62" t="s">
        <v>50</v>
      </c>
      <c r="H25" s="60">
        <f>VLOOKUP($G25,Table114[[Part Number]:[Cost (CAD)]], 11,FALSE)</f>
        <v>1.88</v>
      </c>
      <c r="I25" s="63">
        <f t="shared" si="1"/>
        <v>38.62833333333333</v>
      </c>
      <c r="J25" s="41">
        <v>0</v>
      </c>
      <c r="K25" s="41"/>
      <c r="L25" s="73"/>
      <c r="M25" s="74"/>
      <c r="N25" s="75"/>
      <c r="O25" s="73">
        <f>Table5713[[#This Row],[Duration]]+Table5713[[#This Row],[Time]]+O24</f>
        <v>376</v>
      </c>
      <c r="P25" s="75">
        <f>Table5713[[#This Row],[Labour Task Value]]+Table5713[[#This Row],[Component Cost]]+Table5713[[#This Row],[Component Cost2]]+P24+Table5713[[#This Row],[Labour cost]]</f>
        <v>62.237037037037041</v>
      </c>
      <c r="Q25" s="76">
        <f>1-Table5713[[#This Row],[Fail Rate]]</f>
        <v>1</v>
      </c>
      <c r="R25" s="76">
        <f>Table5713[[#This Row],[Reliability]]*R24</f>
        <v>0.84854797439999985</v>
      </c>
    </row>
    <row r="26" spans="1:18" x14ac:dyDescent="0.25">
      <c r="A26" s="58">
        <v>19</v>
      </c>
      <c r="B26" s="59" t="s">
        <v>201</v>
      </c>
      <c r="C26" s="59">
        <v>12</v>
      </c>
      <c r="D26" s="58">
        <f t="shared" si="2"/>
        <v>172.2</v>
      </c>
      <c r="E26" s="60">
        <f t="shared" si="0"/>
        <v>7.7777777777777779E-2</v>
      </c>
      <c r="F26" s="60">
        <f t="shared" si="3"/>
        <v>1.1161111111111113</v>
      </c>
      <c r="G26" s="59" t="s">
        <v>43</v>
      </c>
      <c r="H26" s="60">
        <f>VLOOKUP($G26,Table114[[Part Number]:[Cost (CAD)]], 11,FALSE)</f>
        <v>17.420000000000002</v>
      </c>
      <c r="I26" s="60">
        <f t="shared" si="1"/>
        <v>56.126111111111115</v>
      </c>
      <c r="J26" s="43">
        <v>0.03</v>
      </c>
      <c r="K26" s="41" t="s">
        <v>233</v>
      </c>
      <c r="L26" s="73">
        <f>D97</f>
        <v>34.4</v>
      </c>
      <c r="M26" s="74">
        <f>Table5713[[#This Row],[Time]]*$A$5</f>
        <v>0.22296296296296295</v>
      </c>
      <c r="N26" s="75">
        <f>H92</f>
        <v>21.3</v>
      </c>
      <c r="O26" s="73">
        <f>Table5713[[#This Row],[Duration]]+Table5713[[#This Row],[Time]]+O25</f>
        <v>422.4</v>
      </c>
      <c r="P26" s="75">
        <f>Table5713[[#This Row],[Labour Task Value]]+Table5713[[#This Row],[Component Cost]]+Table5713[[#This Row],[Component Cost2]]+P25+Table5713[[#This Row],[Labour cost]]</f>
        <v>101.25777777777779</v>
      </c>
      <c r="Q26" s="76">
        <f>1-Table5713[[#This Row],[Fail Rate]]</f>
        <v>0.97</v>
      </c>
      <c r="R26" s="76">
        <f>Table5713[[#This Row],[Reliability]]*R25</f>
        <v>0.82309153516799982</v>
      </c>
    </row>
    <row r="27" spans="1:18" x14ac:dyDescent="0.25">
      <c r="A27" s="61">
        <v>20</v>
      </c>
      <c r="B27" s="62" t="s">
        <v>198</v>
      </c>
      <c r="C27" s="62">
        <v>8</v>
      </c>
      <c r="D27" s="61">
        <f t="shared" si="2"/>
        <v>180.2</v>
      </c>
      <c r="E27" s="63">
        <f t="shared" si="0"/>
        <v>5.185185185185185E-2</v>
      </c>
      <c r="F27" s="63">
        <f t="shared" si="3"/>
        <v>1.1679629629629631</v>
      </c>
      <c r="G27" s="62" t="s">
        <v>56</v>
      </c>
      <c r="H27" s="60">
        <f>VLOOKUP($G27,Table114[[Part Number]:[Cost (CAD)]], 11,FALSE)</f>
        <v>38.15</v>
      </c>
      <c r="I27" s="63">
        <f t="shared" si="1"/>
        <v>94.327962962962971</v>
      </c>
      <c r="J27" s="41">
        <v>0</v>
      </c>
      <c r="K27" s="41"/>
      <c r="L27" s="73"/>
      <c r="M27" s="74"/>
      <c r="N27" s="75"/>
      <c r="O27" s="73">
        <f>Table5713[[#This Row],[Duration]]+Table5713[[#This Row],[Time]]+O26</f>
        <v>430.4</v>
      </c>
      <c r="P27" s="75">
        <f>Table5713[[#This Row],[Labour Task Value]]+Table5713[[#This Row],[Component Cost]]+Table5713[[#This Row],[Component Cost2]]+P26+Table5713[[#This Row],[Labour cost]]</f>
        <v>139.45962962962963</v>
      </c>
      <c r="Q27" s="76">
        <f>1-Table5713[[#This Row],[Fail Rate]]</f>
        <v>1</v>
      </c>
      <c r="R27" s="76">
        <f>Table5713[[#This Row],[Reliability]]*R26</f>
        <v>0.82309153516799982</v>
      </c>
    </row>
    <row r="28" spans="1:18" x14ac:dyDescent="0.25">
      <c r="A28" s="58">
        <v>21</v>
      </c>
      <c r="B28" s="59" t="s">
        <v>210</v>
      </c>
      <c r="C28" s="59">
        <v>13.3</v>
      </c>
      <c r="D28" s="58">
        <f t="shared" si="2"/>
        <v>193.5</v>
      </c>
      <c r="E28" s="60">
        <f t="shared" si="0"/>
        <v>8.6203703703703699E-2</v>
      </c>
      <c r="F28" s="60">
        <f t="shared" si="3"/>
        <v>1.2541666666666669</v>
      </c>
      <c r="G28" s="59" t="s">
        <v>13</v>
      </c>
      <c r="H28" s="60"/>
      <c r="I28" s="60">
        <f t="shared" si="1"/>
        <v>94.414166666666674</v>
      </c>
      <c r="J28" s="41">
        <v>0</v>
      </c>
      <c r="K28" s="41"/>
      <c r="L28" s="73"/>
      <c r="M28" s="74"/>
      <c r="N28" s="75"/>
      <c r="O28" s="73">
        <f>Table5713[[#This Row],[Duration]]+Table5713[[#This Row],[Time]]+O27</f>
        <v>443.7</v>
      </c>
      <c r="P28" s="75">
        <f>Table5713[[#This Row],[Labour Task Value]]+Table5713[[#This Row],[Component Cost]]+Table5713[[#This Row],[Component Cost2]]+P27+Table5713[[#This Row],[Labour cost]]</f>
        <v>139.54583333333335</v>
      </c>
      <c r="Q28" s="76">
        <f>1-Table5713[[#This Row],[Fail Rate]]</f>
        <v>1</v>
      </c>
      <c r="R28" s="76">
        <f>Table5713[[#This Row],[Reliability]]*R27</f>
        <v>0.82309153516799982</v>
      </c>
    </row>
    <row r="29" spans="1:18" x14ac:dyDescent="0.25">
      <c r="A29" s="61">
        <v>22</v>
      </c>
      <c r="B29" s="62" t="s">
        <v>211</v>
      </c>
      <c r="C29" s="62">
        <v>10</v>
      </c>
      <c r="D29" s="61">
        <f t="shared" si="2"/>
        <v>203.5</v>
      </c>
      <c r="E29" s="63">
        <f t="shared" si="0"/>
        <v>6.4814814814814811E-2</v>
      </c>
      <c r="F29" s="63">
        <f t="shared" si="3"/>
        <v>1.3189814814814818</v>
      </c>
      <c r="G29" s="62" t="s">
        <v>13</v>
      </c>
      <c r="H29" s="63"/>
      <c r="I29" s="63">
        <f t="shared" si="1"/>
        <v>94.478981481481483</v>
      </c>
      <c r="J29" s="41">
        <v>0</v>
      </c>
      <c r="K29" s="41"/>
      <c r="L29" s="73"/>
      <c r="M29" s="74"/>
      <c r="N29" s="75"/>
      <c r="O29" s="73">
        <f>Table5713[[#This Row],[Duration]]+Table5713[[#This Row],[Time]]+O28</f>
        <v>453.7</v>
      </c>
      <c r="P29" s="75">
        <f>Table5713[[#This Row],[Labour Task Value]]+Table5713[[#This Row],[Component Cost]]+Table5713[[#This Row],[Component Cost2]]+P28+Table5713[[#This Row],[Labour cost]]</f>
        <v>139.61064814814816</v>
      </c>
      <c r="Q29" s="76">
        <f>1-Table5713[[#This Row],[Fail Rate]]</f>
        <v>1</v>
      </c>
      <c r="R29" s="76">
        <f>Table5713[[#This Row],[Reliability]]*R28</f>
        <v>0.82309153516799982</v>
      </c>
    </row>
    <row r="30" spans="1:18" x14ac:dyDescent="0.25">
      <c r="A30" s="58">
        <v>23</v>
      </c>
      <c r="B30" s="59" t="s">
        <v>212</v>
      </c>
      <c r="C30" s="59">
        <v>10</v>
      </c>
      <c r="D30" s="58">
        <f t="shared" si="2"/>
        <v>213.5</v>
      </c>
      <c r="E30" s="60">
        <f t="shared" si="0"/>
        <v>6.4814814814814811E-2</v>
      </c>
      <c r="F30" s="60">
        <f t="shared" si="3"/>
        <v>1.3837962962962966</v>
      </c>
      <c r="G30" s="59" t="s">
        <v>13</v>
      </c>
      <c r="H30" s="60"/>
      <c r="I30" s="60">
        <f t="shared" si="1"/>
        <v>94.543796296296293</v>
      </c>
      <c r="J30" s="77">
        <v>9.5000000000000001E-2</v>
      </c>
      <c r="K30" s="41" t="s">
        <v>234</v>
      </c>
      <c r="L30" s="73">
        <f>D108</f>
        <v>41.6</v>
      </c>
      <c r="M30" s="74">
        <f>Table5713[[#This Row],[Time]]*$A$5</f>
        <v>0.26962962962962961</v>
      </c>
      <c r="N30" s="75">
        <f>H105</f>
        <v>9.6900000000000013</v>
      </c>
      <c r="O30" s="73">
        <f>Table5713[[#This Row],[Duration]]+Table5713[[#This Row],[Time]]+O29</f>
        <v>505.3</v>
      </c>
      <c r="P30" s="75">
        <f>Table5713[[#This Row],[Labour Task Value]]+Table5713[[#This Row],[Component Cost]]+Table5713[[#This Row],[Component Cost2]]+P29+Table5713[[#This Row],[Labour cost]]</f>
        <v>149.6350925925926</v>
      </c>
      <c r="Q30" s="76">
        <f>1-Table5713[[#This Row],[Fail Rate]]</f>
        <v>0.90500000000000003</v>
      </c>
      <c r="R30" s="76">
        <f>Table5713[[#This Row],[Reliability]]*R29</f>
        <v>0.7448978393270399</v>
      </c>
    </row>
    <row r="31" spans="1:18" x14ac:dyDescent="0.25">
      <c r="A31" s="61">
        <v>24</v>
      </c>
      <c r="B31" s="62" t="s">
        <v>213</v>
      </c>
      <c r="C31" s="62">
        <v>40</v>
      </c>
      <c r="D31" s="61">
        <f t="shared" si="2"/>
        <v>253.5</v>
      </c>
      <c r="E31" s="63">
        <f t="shared" si="0"/>
        <v>0.25925925925925924</v>
      </c>
      <c r="F31" s="63">
        <f t="shared" si="3"/>
        <v>1.6430555555555559</v>
      </c>
      <c r="G31" s="62" t="s">
        <v>13</v>
      </c>
      <c r="H31" s="63"/>
      <c r="I31" s="70">
        <f t="shared" si="1"/>
        <v>94.803055555555545</v>
      </c>
      <c r="J31" s="77">
        <v>1.7000000000000001E-2</v>
      </c>
      <c r="K31" s="41" t="s">
        <v>235</v>
      </c>
      <c r="L31" s="73">
        <f>D114</f>
        <v>10</v>
      </c>
      <c r="M31" s="74">
        <f>Table5713[[#This Row],[Time]]*$A$5</f>
        <v>6.4814814814814811E-2</v>
      </c>
      <c r="N31" s="75"/>
      <c r="O31" s="73">
        <f>Table5713[[#This Row],[Duration]]+Table5713[[#This Row],[Time]]+O30</f>
        <v>555.29999999999995</v>
      </c>
      <c r="P31" s="75">
        <f>Table5713[[#This Row],[Labour Task Value]]+Table5713[[#This Row],[Component Cost]]+Table5713[[#This Row],[Component Cost2]]+P30+Table5713[[#This Row],[Labour cost]]</f>
        <v>149.95916666666668</v>
      </c>
      <c r="Q31" s="76">
        <f>1-Table5713[[#This Row],[Fail Rate]]</f>
        <v>0.98299999999999998</v>
      </c>
      <c r="R31" s="76">
        <f>Table5713[[#This Row],[Reliability]]*R30</f>
        <v>0.73223457605848019</v>
      </c>
    </row>
    <row r="32" spans="1:18" x14ac:dyDescent="0.25">
      <c r="A32" s="65" t="s">
        <v>95</v>
      </c>
      <c r="B32" s="66"/>
      <c r="C32" s="66">
        <f>SUBTOTAL(109,Table5713[Duration])</f>
        <v>253.5</v>
      </c>
      <c r="D32" s="65"/>
      <c r="E32" s="67">
        <f>SUBTOTAL(109,Table5713[Labour Task Value])</f>
        <v>1.6430555555555559</v>
      </c>
      <c r="F32" s="67"/>
      <c r="G32" s="66"/>
      <c r="H32" s="67">
        <f>SUBTOTAL(109,Table5713[Component Cost])</f>
        <v>93.16</v>
      </c>
      <c r="I32" s="65"/>
      <c r="J32" s="65"/>
      <c r="K32" s="41"/>
      <c r="L32" s="41"/>
      <c r="M32" s="41"/>
      <c r="N32" s="41"/>
      <c r="O32" s="41">
        <f>SUBTOTAL(104,Table5713[Total Time to task with 1 fail and good repeat])</f>
        <v>555.29999999999995</v>
      </c>
      <c r="P32" s="41"/>
      <c r="Q32" s="41"/>
      <c r="R32" s="41"/>
    </row>
    <row r="34" spans="1:12" ht="17.25" x14ac:dyDescent="0.25">
      <c r="A34" s="7" t="s">
        <v>236</v>
      </c>
      <c r="B34" s="41"/>
      <c r="C34" s="41"/>
      <c r="D34" s="41"/>
      <c r="E34" s="41"/>
      <c r="F34" s="41"/>
      <c r="G34" s="41"/>
      <c r="H34" s="41"/>
      <c r="I34" s="41"/>
    </row>
    <row r="35" spans="1:12" x14ac:dyDescent="0.25">
      <c r="A35" s="46" t="s">
        <v>237</v>
      </c>
      <c r="B35" s="41" t="s">
        <v>189</v>
      </c>
      <c r="C35" s="46" t="s">
        <v>238</v>
      </c>
      <c r="D35" s="46" t="s">
        <v>239</v>
      </c>
      <c r="E35" s="46" t="s">
        <v>240</v>
      </c>
      <c r="F35" s="46" t="s">
        <v>241</v>
      </c>
      <c r="G35" s="41" t="s">
        <v>242</v>
      </c>
      <c r="H35" s="41" t="s">
        <v>243</v>
      </c>
      <c r="I35" s="46" t="s">
        <v>225</v>
      </c>
      <c r="K35" s="80" t="s">
        <v>194</v>
      </c>
      <c r="L35" s="80" t="s">
        <v>272</v>
      </c>
    </row>
    <row r="36" spans="1:12" x14ac:dyDescent="0.25">
      <c r="A36" s="41">
        <v>1</v>
      </c>
      <c r="B36" s="41" t="s">
        <v>244</v>
      </c>
      <c r="C36" s="46">
        <v>4</v>
      </c>
      <c r="D36" s="46">
        <f>C36</f>
        <v>4</v>
      </c>
      <c r="E36" s="79">
        <f t="shared" ref="E36:E42" si="4">C36*$A$5</f>
        <v>2.5925925925925925E-2</v>
      </c>
      <c r="F36" s="79">
        <f>E36</f>
        <v>2.5925925925925925E-2</v>
      </c>
      <c r="G36" s="41"/>
      <c r="H36" s="41"/>
      <c r="I36" s="79">
        <f>E36+H36</f>
        <v>2.5925925925925925E-2</v>
      </c>
      <c r="K36" s="81" t="s">
        <v>38</v>
      </c>
      <c r="L36" s="81" t="s">
        <v>44</v>
      </c>
    </row>
    <row r="37" spans="1:12" x14ac:dyDescent="0.25">
      <c r="A37" s="41">
        <v>2</v>
      </c>
      <c r="B37" s="41" t="s">
        <v>245</v>
      </c>
      <c r="C37" s="46">
        <v>2</v>
      </c>
      <c r="D37" s="46">
        <f>C37+D36</f>
        <v>6</v>
      </c>
      <c r="E37" s="79">
        <f t="shared" si="4"/>
        <v>1.2962962962962963E-2</v>
      </c>
      <c r="F37" s="79">
        <f>E37+F36</f>
        <v>3.888888888888889E-2</v>
      </c>
      <c r="G37" s="41"/>
      <c r="H37" s="41"/>
      <c r="I37" s="79">
        <f>E37+H37+I36</f>
        <v>3.888888888888889E-2</v>
      </c>
      <c r="K37" s="81" t="s">
        <v>40</v>
      </c>
      <c r="L37" s="81" t="s">
        <v>51</v>
      </c>
    </row>
    <row r="38" spans="1:12" x14ac:dyDescent="0.25">
      <c r="A38" s="41">
        <v>3</v>
      </c>
      <c r="B38" s="41" t="s">
        <v>244</v>
      </c>
      <c r="C38" s="46">
        <v>4</v>
      </c>
      <c r="D38" s="46">
        <f t="shared" ref="D38:D42" si="5">C38+D37</f>
        <v>10</v>
      </c>
      <c r="E38" s="79">
        <f t="shared" si="4"/>
        <v>2.5925925925925925E-2</v>
      </c>
      <c r="F38" s="79">
        <f t="shared" ref="F38:F42" si="6">E38+F37</f>
        <v>6.4814814814814811E-2</v>
      </c>
      <c r="G38" s="41"/>
      <c r="H38" s="41"/>
      <c r="I38" s="79">
        <f t="shared" ref="I38:I42" si="7">E38+H38+I37</f>
        <v>6.4814814814814811E-2</v>
      </c>
      <c r="K38" s="81" t="s">
        <v>43</v>
      </c>
      <c r="L38" s="81" t="s">
        <v>39</v>
      </c>
    </row>
    <row r="39" spans="1:12" x14ac:dyDescent="0.25">
      <c r="A39" s="41">
        <v>4</v>
      </c>
      <c r="B39" s="41" t="s">
        <v>246</v>
      </c>
      <c r="C39" s="46">
        <v>3</v>
      </c>
      <c r="D39" s="46">
        <f t="shared" si="5"/>
        <v>13</v>
      </c>
      <c r="E39" s="79">
        <f t="shared" si="4"/>
        <v>1.9444444444444445E-2</v>
      </c>
      <c r="F39" s="79">
        <f t="shared" si="6"/>
        <v>8.4259259259259256E-2</v>
      </c>
      <c r="G39" s="41" t="s">
        <v>44</v>
      </c>
      <c r="H39" s="79">
        <v>6.61</v>
      </c>
      <c r="I39" s="79">
        <f t="shared" si="7"/>
        <v>6.69425925925926</v>
      </c>
      <c r="K39" s="81" t="s">
        <v>46</v>
      </c>
      <c r="L39" s="81" t="s">
        <v>47</v>
      </c>
    </row>
    <row r="40" spans="1:12" x14ac:dyDescent="0.25">
      <c r="A40" s="41">
        <v>5</v>
      </c>
      <c r="B40" s="41" t="s">
        <v>244</v>
      </c>
      <c r="C40" s="46">
        <v>4</v>
      </c>
      <c r="D40" s="46">
        <f t="shared" si="5"/>
        <v>17</v>
      </c>
      <c r="E40" s="79">
        <f t="shared" si="4"/>
        <v>2.5925925925925925E-2</v>
      </c>
      <c r="F40" s="79">
        <f t="shared" si="6"/>
        <v>0.11018518518518518</v>
      </c>
      <c r="G40" s="41"/>
      <c r="H40" s="41"/>
      <c r="I40" s="79">
        <f t="shared" si="7"/>
        <v>6.7201851851851861</v>
      </c>
      <c r="K40" s="81" t="s">
        <v>49</v>
      </c>
      <c r="L40" s="81" t="s">
        <v>41</v>
      </c>
    </row>
    <row r="41" spans="1:12" x14ac:dyDescent="0.25">
      <c r="A41" s="41">
        <v>6</v>
      </c>
      <c r="B41" s="41" t="s">
        <v>196</v>
      </c>
      <c r="C41" s="46">
        <v>3</v>
      </c>
      <c r="D41" s="46">
        <f t="shared" si="5"/>
        <v>20</v>
      </c>
      <c r="E41" s="79">
        <f t="shared" si="4"/>
        <v>1.9444444444444445E-2</v>
      </c>
      <c r="F41" s="79">
        <f t="shared" si="6"/>
        <v>0.12962962962962962</v>
      </c>
      <c r="G41" s="41"/>
      <c r="H41" s="41"/>
      <c r="I41" s="79">
        <f t="shared" si="7"/>
        <v>6.739629629629631</v>
      </c>
      <c r="K41" s="81" t="s">
        <v>50</v>
      </c>
      <c r="L41" s="81" t="s">
        <v>273</v>
      </c>
    </row>
    <row r="42" spans="1:12" x14ac:dyDescent="0.25">
      <c r="A42" s="41">
        <v>7</v>
      </c>
      <c r="B42" s="41" t="s">
        <v>197</v>
      </c>
      <c r="C42" s="46">
        <v>7</v>
      </c>
      <c r="D42" s="46">
        <f t="shared" si="5"/>
        <v>27</v>
      </c>
      <c r="E42" s="79">
        <f t="shared" si="4"/>
        <v>4.5370370370370366E-2</v>
      </c>
      <c r="F42" s="79">
        <f t="shared" si="6"/>
        <v>0.17499999999999999</v>
      </c>
      <c r="G42" s="41"/>
      <c r="H42" s="41"/>
      <c r="I42" s="79">
        <f t="shared" si="7"/>
        <v>6.785000000000001</v>
      </c>
      <c r="K42" s="81" t="s">
        <v>53</v>
      </c>
      <c r="L42" s="81" t="s">
        <v>274</v>
      </c>
    </row>
    <row r="43" spans="1:12" x14ac:dyDescent="0.25">
      <c r="A43" s="41"/>
      <c r="B43" s="41"/>
      <c r="C43" s="41"/>
      <c r="D43" s="41"/>
      <c r="E43" s="41"/>
      <c r="F43" s="41"/>
      <c r="G43" s="41"/>
      <c r="H43" s="41"/>
      <c r="I43" s="41"/>
      <c r="K43" s="81" t="s">
        <v>54</v>
      </c>
      <c r="L43" s="81" t="s">
        <v>275</v>
      </c>
    </row>
    <row r="44" spans="1:12" ht="17.25" x14ac:dyDescent="0.25">
      <c r="A44" s="7" t="s">
        <v>247</v>
      </c>
      <c r="B44" s="41"/>
      <c r="C44" s="41"/>
      <c r="D44" s="41"/>
      <c r="E44" s="41"/>
      <c r="F44" s="41"/>
      <c r="G44" s="41"/>
      <c r="H44" s="41"/>
      <c r="I44" s="41"/>
      <c r="K44" s="81" t="s">
        <v>56</v>
      </c>
      <c r="L44" s="81" t="s">
        <v>276</v>
      </c>
    </row>
    <row r="45" spans="1:12" x14ac:dyDescent="0.25">
      <c r="A45" s="46" t="s">
        <v>237</v>
      </c>
      <c r="B45" s="41" t="s">
        <v>189</v>
      </c>
      <c r="C45" s="46" t="s">
        <v>238</v>
      </c>
      <c r="D45" s="46" t="s">
        <v>239</v>
      </c>
      <c r="E45" s="46" t="s">
        <v>240</v>
      </c>
      <c r="F45" s="46" t="s">
        <v>241</v>
      </c>
      <c r="G45" s="41" t="s">
        <v>248</v>
      </c>
      <c r="H45" s="41" t="s">
        <v>243</v>
      </c>
      <c r="I45" s="46" t="s">
        <v>225</v>
      </c>
      <c r="K45" s="81" t="s">
        <v>58</v>
      </c>
      <c r="L45" s="81" t="s">
        <v>277</v>
      </c>
    </row>
    <row r="46" spans="1:12" x14ac:dyDescent="0.25">
      <c r="A46" s="41">
        <v>1</v>
      </c>
      <c r="B46" s="41" t="s">
        <v>244</v>
      </c>
      <c r="C46" s="46">
        <v>4</v>
      </c>
      <c r="D46" s="46">
        <f>C46</f>
        <v>4</v>
      </c>
      <c r="E46" s="79">
        <f t="shared" ref="E46:E53" si="8">C46*$A$5</f>
        <v>2.5925925925925925E-2</v>
      </c>
      <c r="F46" s="79">
        <f>E46</f>
        <v>2.5925925925925925E-2</v>
      </c>
      <c r="G46" s="41"/>
      <c r="H46" s="41"/>
      <c r="I46" s="79">
        <f>E46+H46</f>
        <v>2.5925925925925925E-2</v>
      </c>
      <c r="K46" s="81" t="s">
        <v>60</v>
      </c>
      <c r="L46" s="81" t="s">
        <v>278</v>
      </c>
    </row>
    <row r="47" spans="1:12" x14ac:dyDescent="0.25">
      <c r="A47" s="41">
        <v>2</v>
      </c>
      <c r="B47" s="41" t="s">
        <v>245</v>
      </c>
      <c r="C47" s="46">
        <v>2</v>
      </c>
      <c r="D47" s="46">
        <f>C47+D46</f>
        <v>6</v>
      </c>
      <c r="E47" s="79">
        <f t="shared" si="8"/>
        <v>1.2962962962962963E-2</v>
      </c>
      <c r="F47" s="79">
        <f>E47+F46</f>
        <v>3.888888888888889E-2</v>
      </c>
      <c r="G47" s="41"/>
      <c r="H47" s="41"/>
      <c r="I47" s="79">
        <f>E47+H47+I46</f>
        <v>3.888888888888889E-2</v>
      </c>
      <c r="K47" s="81" t="s">
        <v>62</v>
      </c>
      <c r="L47" s="81" t="s">
        <v>279</v>
      </c>
    </row>
    <row r="48" spans="1:12" x14ac:dyDescent="0.25">
      <c r="A48" s="41">
        <v>3</v>
      </c>
      <c r="B48" s="41" t="s">
        <v>244</v>
      </c>
      <c r="C48" s="46">
        <v>4</v>
      </c>
      <c r="D48" s="46">
        <f t="shared" ref="D48:D53" si="9">C48+D47</f>
        <v>10</v>
      </c>
      <c r="E48" s="79">
        <f t="shared" si="8"/>
        <v>2.5925925925925925E-2</v>
      </c>
      <c r="F48" s="79">
        <f t="shared" ref="F48:F53" si="10">E48+F47</f>
        <v>6.4814814814814811E-2</v>
      </c>
      <c r="G48" s="41" t="s">
        <v>249</v>
      </c>
      <c r="H48" s="79">
        <v>9.6900000000000013</v>
      </c>
      <c r="I48" s="79">
        <f t="shared" ref="I48:I53" si="11">E48+H48+I47</f>
        <v>9.7548148148148162</v>
      </c>
    </row>
    <row r="49" spans="1:9" x14ac:dyDescent="0.25">
      <c r="A49" s="41">
        <v>4</v>
      </c>
      <c r="B49" s="41" t="s">
        <v>246</v>
      </c>
      <c r="C49" s="46">
        <v>3</v>
      </c>
      <c r="D49" s="46">
        <f t="shared" si="9"/>
        <v>13</v>
      </c>
      <c r="E49" s="79">
        <f t="shared" si="8"/>
        <v>1.9444444444444445E-2</v>
      </c>
      <c r="F49" s="79">
        <f t="shared" si="10"/>
        <v>8.4259259259259256E-2</v>
      </c>
      <c r="G49" s="41"/>
      <c r="H49" s="41"/>
      <c r="I49" s="79">
        <f t="shared" si="11"/>
        <v>9.7742592592592601</v>
      </c>
    </row>
    <row r="50" spans="1:9" x14ac:dyDescent="0.25">
      <c r="A50" s="41">
        <v>5</v>
      </c>
      <c r="B50" s="41" t="s">
        <v>244</v>
      </c>
      <c r="C50" s="46">
        <v>4</v>
      </c>
      <c r="D50" s="46">
        <f t="shared" si="9"/>
        <v>17</v>
      </c>
      <c r="E50" s="79">
        <f t="shared" si="8"/>
        <v>2.5925925925925925E-2</v>
      </c>
      <c r="F50" s="79">
        <f t="shared" si="10"/>
        <v>0.11018518518518518</v>
      </c>
      <c r="G50" s="41"/>
      <c r="H50" s="41"/>
      <c r="I50" s="79">
        <f t="shared" si="11"/>
        <v>9.8001851851851853</v>
      </c>
    </row>
    <row r="51" spans="1:9" x14ac:dyDescent="0.25">
      <c r="A51" s="41">
        <v>6</v>
      </c>
      <c r="B51" s="41" t="s">
        <v>196</v>
      </c>
      <c r="C51" s="46">
        <v>3</v>
      </c>
      <c r="D51" s="46">
        <f t="shared" si="9"/>
        <v>20</v>
      </c>
      <c r="E51" s="79">
        <f t="shared" si="8"/>
        <v>1.9444444444444445E-2</v>
      </c>
      <c r="F51" s="79">
        <f t="shared" si="10"/>
        <v>0.12962962962962962</v>
      </c>
      <c r="G51" s="41"/>
      <c r="H51" s="41"/>
      <c r="I51" s="79">
        <f t="shared" si="11"/>
        <v>9.8196296296296293</v>
      </c>
    </row>
    <row r="52" spans="1:9" x14ac:dyDescent="0.25">
      <c r="A52" s="41">
        <v>7</v>
      </c>
      <c r="B52" s="41" t="s">
        <v>250</v>
      </c>
      <c r="C52" s="46">
        <v>7</v>
      </c>
      <c r="D52" s="46">
        <f t="shared" si="9"/>
        <v>27</v>
      </c>
      <c r="E52" s="79">
        <f t="shared" si="8"/>
        <v>4.5370370370370366E-2</v>
      </c>
      <c r="F52" s="79">
        <f t="shared" si="10"/>
        <v>0.17499999999999999</v>
      </c>
      <c r="G52" s="41"/>
      <c r="H52" s="41"/>
      <c r="I52" s="79">
        <f t="shared" si="11"/>
        <v>9.8650000000000002</v>
      </c>
    </row>
    <row r="53" spans="1:9" x14ac:dyDescent="0.25">
      <c r="A53" s="41">
        <v>8</v>
      </c>
      <c r="B53" s="41" t="s">
        <v>200</v>
      </c>
      <c r="C53" s="46">
        <v>2</v>
      </c>
      <c r="D53" s="46">
        <f t="shared" si="9"/>
        <v>29</v>
      </c>
      <c r="E53" s="79">
        <f t="shared" si="8"/>
        <v>1.2962962962962963E-2</v>
      </c>
      <c r="F53" s="79">
        <f t="shared" si="10"/>
        <v>0.18796296296296294</v>
      </c>
      <c r="G53" s="41"/>
      <c r="H53" s="41"/>
      <c r="I53" s="79">
        <f t="shared" si="11"/>
        <v>9.8779629629629628</v>
      </c>
    </row>
    <row r="54" spans="1:9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.25" x14ac:dyDescent="0.25">
      <c r="A55" s="7" t="s">
        <v>251</v>
      </c>
      <c r="B55" s="41"/>
      <c r="C55" s="41"/>
      <c r="D55" s="41"/>
      <c r="E55" s="41"/>
      <c r="F55" s="41"/>
      <c r="G55" s="41"/>
      <c r="H55" s="41"/>
      <c r="I55" s="41"/>
    </row>
    <row r="56" spans="1:9" x14ac:dyDescent="0.25">
      <c r="A56" s="46" t="s">
        <v>237</v>
      </c>
      <c r="B56" s="41" t="s">
        <v>189</v>
      </c>
      <c r="C56" s="46" t="s">
        <v>238</v>
      </c>
      <c r="D56" s="46" t="s">
        <v>239</v>
      </c>
      <c r="E56" s="46" t="s">
        <v>240</v>
      </c>
      <c r="F56" s="46" t="s">
        <v>241</v>
      </c>
      <c r="G56" s="41" t="s">
        <v>248</v>
      </c>
      <c r="H56" s="41" t="s">
        <v>243</v>
      </c>
      <c r="I56" s="46" t="s">
        <v>225</v>
      </c>
    </row>
    <row r="57" spans="1:9" x14ac:dyDescent="0.25">
      <c r="A57" s="41">
        <v>1</v>
      </c>
      <c r="B57" s="41" t="s">
        <v>252</v>
      </c>
      <c r="C57" s="46">
        <v>11</v>
      </c>
      <c r="D57" s="46">
        <f>C57</f>
        <v>11</v>
      </c>
      <c r="E57" s="79">
        <f>C57*$A$5</f>
        <v>7.1296296296296288E-2</v>
      </c>
      <c r="F57" s="79">
        <f>E57</f>
        <v>7.1296296296296288E-2</v>
      </c>
      <c r="G57" s="41"/>
      <c r="H57" s="41"/>
      <c r="I57" s="79">
        <f>E57+H57</f>
        <v>7.1296296296296288E-2</v>
      </c>
    </row>
    <row r="58" spans="1:9" x14ac:dyDescent="0.25">
      <c r="A58" s="41">
        <v>2</v>
      </c>
      <c r="B58" s="41" t="s">
        <v>253</v>
      </c>
      <c r="C58" s="46">
        <v>20</v>
      </c>
      <c r="D58" s="46">
        <f>C58+D57</f>
        <v>31</v>
      </c>
      <c r="E58" s="79">
        <f>C58*$A$5</f>
        <v>0.12962962962962962</v>
      </c>
      <c r="F58" s="79">
        <f>E58+F57</f>
        <v>0.2009259259259259</v>
      </c>
      <c r="G58" s="41"/>
      <c r="H58" s="41"/>
      <c r="I58" s="79">
        <f>E58+H58+I57</f>
        <v>0.2009259259259259</v>
      </c>
    </row>
    <row r="59" spans="1:9" x14ac:dyDescent="0.25">
      <c r="A59" s="41">
        <v>3</v>
      </c>
      <c r="B59" s="41" t="s">
        <v>254</v>
      </c>
      <c r="C59" s="46">
        <v>30</v>
      </c>
      <c r="D59" s="46">
        <f>C59+D58</f>
        <v>61</v>
      </c>
      <c r="E59" s="79">
        <f>C59*$A$5</f>
        <v>0.19444444444444445</v>
      </c>
      <c r="F59" s="79">
        <f>E59+F58</f>
        <v>0.39537037037037037</v>
      </c>
      <c r="G59" s="41"/>
      <c r="H59" s="41"/>
      <c r="I59" s="79">
        <f>E59+H59+I58</f>
        <v>0.39537037037037037</v>
      </c>
    </row>
    <row r="60" spans="1:9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.25" x14ac:dyDescent="0.25">
      <c r="A61" s="7" t="s">
        <v>255</v>
      </c>
      <c r="B61" s="41"/>
      <c r="C61" s="41"/>
      <c r="D61" s="41"/>
      <c r="E61" s="41"/>
      <c r="F61" s="41"/>
      <c r="G61" s="41"/>
      <c r="H61" s="41"/>
      <c r="I61" s="41"/>
    </row>
    <row r="62" spans="1:9" x14ac:dyDescent="0.25">
      <c r="A62" s="46" t="s">
        <v>237</v>
      </c>
      <c r="B62" s="41" t="s">
        <v>189</v>
      </c>
      <c r="C62" s="46" t="s">
        <v>238</v>
      </c>
      <c r="D62" s="46" t="s">
        <v>239</v>
      </c>
      <c r="E62" s="46" t="s">
        <v>240</v>
      </c>
      <c r="F62" s="46" t="s">
        <v>241</v>
      </c>
      <c r="G62" s="41" t="s">
        <v>248</v>
      </c>
      <c r="H62" s="41" t="s">
        <v>243</v>
      </c>
      <c r="I62" s="46" t="s">
        <v>225</v>
      </c>
    </row>
    <row r="63" spans="1:9" x14ac:dyDescent="0.25">
      <c r="A63" s="41">
        <v>1</v>
      </c>
      <c r="B63" s="41" t="s">
        <v>256</v>
      </c>
      <c r="C63" s="46">
        <v>14</v>
      </c>
      <c r="D63" s="46">
        <f>C63</f>
        <v>14</v>
      </c>
      <c r="E63" s="79">
        <f t="shared" ref="E63:E73" si="12">C63*$A$5</f>
        <v>9.0740740740740733E-2</v>
      </c>
      <c r="F63" s="79">
        <f>E63</f>
        <v>9.0740740740740733E-2</v>
      </c>
      <c r="G63" s="41"/>
      <c r="H63" s="41"/>
      <c r="I63" s="79">
        <f>E63+H63</f>
        <v>9.0740740740740733E-2</v>
      </c>
    </row>
    <row r="64" spans="1:9" x14ac:dyDescent="0.25">
      <c r="A64" s="41">
        <v>2</v>
      </c>
      <c r="B64" s="41" t="s">
        <v>257</v>
      </c>
      <c r="C64" s="46">
        <v>8</v>
      </c>
      <c r="D64" s="46">
        <f>C64+D63</f>
        <v>22</v>
      </c>
      <c r="E64" s="79">
        <f t="shared" si="12"/>
        <v>5.185185185185185E-2</v>
      </c>
      <c r="F64" s="79">
        <f>E64+F63</f>
        <v>0.14259259259259258</v>
      </c>
      <c r="G64" s="41"/>
      <c r="H64" s="41"/>
      <c r="I64" s="79">
        <f>E64+H64+I63</f>
        <v>0.14259259259259258</v>
      </c>
    </row>
    <row r="65" spans="1:9" x14ac:dyDescent="0.25">
      <c r="A65" s="41">
        <v>3</v>
      </c>
      <c r="B65" s="41" t="s">
        <v>244</v>
      </c>
      <c r="C65" s="46">
        <v>4</v>
      </c>
      <c r="D65" s="46">
        <f t="shared" ref="D65:D73" si="13">C65+D64</f>
        <v>26</v>
      </c>
      <c r="E65" s="79">
        <f t="shared" si="12"/>
        <v>2.5925925925925925E-2</v>
      </c>
      <c r="F65" s="79">
        <f t="shared" ref="F65:F73" si="14">E65+F64</f>
        <v>0.16851851851851851</v>
      </c>
      <c r="G65" s="41"/>
      <c r="H65" s="41"/>
      <c r="I65" s="79">
        <f t="shared" ref="I65:I73" si="15">E65+H65+I64</f>
        <v>0.16851851851851851</v>
      </c>
    </row>
    <row r="66" spans="1:9" x14ac:dyDescent="0.25">
      <c r="A66" s="41">
        <v>4</v>
      </c>
      <c r="B66" s="41" t="s">
        <v>245</v>
      </c>
      <c r="C66" s="46">
        <v>2</v>
      </c>
      <c r="D66" s="46">
        <f t="shared" si="13"/>
        <v>28</v>
      </c>
      <c r="E66" s="79">
        <f t="shared" si="12"/>
        <v>1.2962962962962963E-2</v>
      </c>
      <c r="F66" s="79">
        <f t="shared" si="14"/>
        <v>0.18148148148148147</v>
      </c>
      <c r="G66" s="41"/>
      <c r="H66" s="41"/>
      <c r="I66" s="79">
        <f t="shared" si="15"/>
        <v>0.18148148148148147</v>
      </c>
    </row>
    <row r="67" spans="1:9" x14ac:dyDescent="0.25">
      <c r="A67" s="41">
        <v>5</v>
      </c>
      <c r="B67" s="41" t="s">
        <v>244</v>
      </c>
      <c r="C67" s="46">
        <v>4</v>
      </c>
      <c r="D67" s="46">
        <f t="shared" si="13"/>
        <v>32</v>
      </c>
      <c r="E67" s="79">
        <f t="shared" si="12"/>
        <v>2.5925925925925925E-2</v>
      </c>
      <c r="F67" s="79">
        <f t="shared" si="14"/>
        <v>0.2074074074074074</v>
      </c>
      <c r="G67" s="41"/>
      <c r="H67" s="41"/>
      <c r="I67" s="79">
        <f t="shared" si="15"/>
        <v>0.2074074074074074</v>
      </c>
    </row>
    <row r="68" spans="1:9" x14ac:dyDescent="0.25">
      <c r="A68" s="41">
        <v>6</v>
      </c>
      <c r="B68" s="41" t="s">
        <v>246</v>
      </c>
      <c r="C68" s="46">
        <v>3</v>
      </c>
      <c r="D68" s="46">
        <f t="shared" si="13"/>
        <v>35</v>
      </c>
      <c r="E68" s="79">
        <f t="shared" si="12"/>
        <v>1.9444444444444445E-2</v>
      </c>
      <c r="F68" s="79">
        <f t="shared" si="14"/>
        <v>0.22685185185185186</v>
      </c>
      <c r="G68" s="41" t="s">
        <v>258</v>
      </c>
      <c r="H68" s="79">
        <v>5.03</v>
      </c>
      <c r="I68" s="79">
        <f t="shared" si="15"/>
        <v>5.2568518518518523</v>
      </c>
    </row>
    <row r="69" spans="1:9" x14ac:dyDescent="0.25">
      <c r="A69" s="41">
        <v>7</v>
      </c>
      <c r="B69" s="41" t="s">
        <v>244</v>
      </c>
      <c r="C69" s="46">
        <v>4</v>
      </c>
      <c r="D69" s="46">
        <f t="shared" si="13"/>
        <v>39</v>
      </c>
      <c r="E69" s="79">
        <f t="shared" si="12"/>
        <v>2.5925925925925925E-2</v>
      </c>
      <c r="F69" s="79">
        <f t="shared" si="14"/>
        <v>0.25277777777777777</v>
      </c>
      <c r="G69" s="41"/>
      <c r="H69" s="41"/>
      <c r="I69" s="79">
        <f t="shared" si="15"/>
        <v>5.2827777777777785</v>
      </c>
    </row>
    <row r="70" spans="1:9" x14ac:dyDescent="0.25">
      <c r="A70" s="41">
        <v>8</v>
      </c>
      <c r="B70" s="41" t="s">
        <v>196</v>
      </c>
      <c r="C70" s="46">
        <v>3</v>
      </c>
      <c r="D70" s="46">
        <f t="shared" si="13"/>
        <v>42</v>
      </c>
      <c r="E70" s="79">
        <f t="shared" si="12"/>
        <v>1.9444444444444445E-2</v>
      </c>
      <c r="F70" s="79">
        <f t="shared" si="14"/>
        <v>0.2722222222222222</v>
      </c>
      <c r="G70" s="41"/>
      <c r="H70" s="41"/>
      <c r="I70" s="79">
        <f t="shared" si="15"/>
        <v>5.3022222222222233</v>
      </c>
    </row>
    <row r="71" spans="1:9" x14ac:dyDescent="0.25">
      <c r="A71" s="41">
        <v>9</v>
      </c>
      <c r="B71" s="41" t="s">
        <v>259</v>
      </c>
      <c r="C71" s="46">
        <v>12</v>
      </c>
      <c r="D71" s="46">
        <f t="shared" si="13"/>
        <v>54</v>
      </c>
      <c r="E71" s="79">
        <f t="shared" si="12"/>
        <v>7.7777777777777779E-2</v>
      </c>
      <c r="F71" s="79">
        <f t="shared" si="14"/>
        <v>0.35</v>
      </c>
      <c r="G71" s="41"/>
      <c r="H71" s="41"/>
      <c r="I71" s="79">
        <f t="shared" si="15"/>
        <v>5.3800000000000008</v>
      </c>
    </row>
    <row r="72" spans="1:9" x14ac:dyDescent="0.25">
      <c r="A72" s="41">
        <v>10</v>
      </c>
      <c r="B72" s="41" t="s">
        <v>260</v>
      </c>
      <c r="C72" s="46">
        <v>6</v>
      </c>
      <c r="D72" s="46">
        <f t="shared" si="13"/>
        <v>60</v>
      </c>
      <c r="E72" s="79">
        <f t="shared" si="12"/>
        <v>3.888888888888889E-2</v>
      </c>
      <c r="F72" s="79">
        <f t="shared" si="14"/>
        <v>0.38888888888888884</v>
      </c>
      <c r="G72" s="41"/>
      <c r="H72" s="41"/>
      <c r="I72" s="79">
        <f t="shared" si="15"/>
        <v>5.4188888888888895</v>
      </c>
    </row>
    <row r="73" spans="1:9" x14ac:dyDescent="0.25">
      <c r="A73" s="41">
        <v>11</v>
      </c>
      <c r="B73" s="41" t="s">
        <v>200</v>
      </c>
      <c r="C73" s="46">
        <v>2</v>
      </c>
      <c r="D73" s="46">
        <f t="shared" si="13"/>
        <v>62</v>
      </c>
      <c r="E73" s="79">
        <f t="shared" si="12"/>
        <v>1.2962962962962963E-2</v>
      </c>
      <c r="F73" s="79">
        <f t="shared" si="14"/>
        <v>0.40185185185185179</v>
      </c>
      <c r="G73" s="41"/>
      <c r="H73" s="41"/>
      <c r="I73" s="79">
        <f t="shared" si="15"/>
        <v>5.4318518518518522</v>
      </c>
    </row>
    <row r="74" spans="1:9" x14ac:dyDescent="0.25">
      <c r="A74" s="41"/>
      <c r="B74" s="41"/>
      <c r="C74" s="41"/>
      <c r="D74" s="41"/>
      <c r="E74" s="79"/>
      <c r="F74" s="79"/>
      <c r="G74" s="41"/>
      <c r="H74" s="41"/>
      <c r="I74" s="79"/>
    </row>
    <row r="75" spans="1:9" ht="17.25" x14ac:dyDescent="0.25">
      <c r="A75" s="7" t="s">
        <v>261</v>
      </c>
      <c r="B75" s="41"/>
      <c r="C75" s="41"/>
      <c r="D75" s="41"/>
      <c r="E75" s="41"/>
      <c r="F75" s="41"/>
      <c r="G75" s="41"/>
      <c r="H75" s="41"/>
      <c r="I75" s="41"/>
    </row>
    <row r="76" spans="1:9" x14ac:dyDescent="0.25">
      <c r="A76" s="46" t="s">
        <v>237</v>
      </c>
      <c r="B76" s="41" t="s">
        <v>189</v>
      </c>
      <c r="C76" s="46" t="s">
        <v>238</v>
      </c>
      <c r="D76" s="46" t="s">
        <v>239</v>
      </c>
      <c r="E76" s="46" t="s">
        <v>240</v>
      </c>
      <c r="F76" s="46" t="s">
        <v>241</v>
      </c>
      <c r="G76" s="41" t="s">
        <v>248</v>
      </c>
      <c r="H76" s="41" t="s">
        <v>243</v>
      </c>
      <c r="I76" s="46" t="s">
        <v>225</v>
      </c>
    </row>
    <row r="77" spans="1:9" x14ac:dyDescent="0.25">
      <c r="A77" s="41">
        <v>1</v>
      </c>
      <c r="B77" s="41" t="s">
        <v>244</v>
      </c>
      <c r="C77" s="46">
        <v>4</v>
      </c>
      <c r="D77" s="46">
        <f>C77</f>
        <v>4</v>
      </c>
      <c r="E77" s="79">
        <f t="shared" ref="E77:E85" si="16">C77*$A$5</f>
        <v>2.5925925925925925E-2</v>
      </c>
      <c r="F77" s="79">
        <f>E77</f>
        <v>2.5925925925925925E-2</v>
      </c>
      <c r="G77" s="41"/>
      <c r="H77" s="41"/>
      <c r="I77" s="79">
        <f>E77+H77</f>
        <v>2.5925925925925925E-2</v>
      </c>
    </row>
    <row r="78" spans="1:9" x14ac:dyDescent="0.25">
      <c r="A78" s="41">
        <v>2</v>
      </c>
      <c r="B78" s="41" t="s">
        <v>245</v>
      </c>
      <c r="C78" s="46">
        <v>2</v>
      </c>
      <c r="D78" s="46">
        <f>C78+D77</f>
        <v>6</v>
      </c>
      <c r="E78" s="79">
        <f t="shared" si="16"/>
        <v>1.2962962962962963E-2</v>
      </c>
      <c r="F78" s="79">
        <f>E78+F77</f>
        <v>3.888888888888889E-2</v>
      </c>
      <c r="G78" s="41"/>
      <c r="H78" s="41"/>
      <c r="I78" s="79">
        <f>E78+H78+I77</f>
        <v>3.888888888888889E-2</v>
      </c>
    </row>
    <row r="79" spans="1:9" x14ac:dyDescent="0.25">
      <c r="A79" s="41">
        <v>3</v>
      </c>
      <c r="B79" s="41" t="s">
        <v>244</v>
      </c>
      <c r="C79" s="46">
        <v>4</v>
      </c>
      <c r="D79" s="46">
        <f t="shared" ref="D79:D85" si="17">C79+D78</f>
        <v>10</v>
      </c>
      <c r="E79" s="79">
        <f t="shared" si="16"/>
        <v>2.5925925925925925E-2</v>
      </c>
      <c r="F79" s="79">
        <f t="shared" ref="F79:F85" si="18">E79+F78</f>
        <v>6.4814814814814811E-2</v>
      </c>
      <c r="G79" s="41"/>
      <c r="H79" s="41"/>
      <c r="I79" s="79">
        <f t="shared" ref="I79:I85" si="19">E79+H79+I78</f>
        <v>6.4814814814814811E-2</v>
      </c>
    </row>
    <row r="80" spans="1:9" x14ac:dyDescent="0.25">
      <c r="A80" s="41">
        <v>4</v>
      </c>
      <c r="B80" s="41" t="s">
        <v>246</v>
      </c>
      <c r="C80" s="46">
        <v>3</v>
      </c>
      <c r="D80" s="46">
        <f t="shared" si="17"/>
        <v>13</v>
      </c>
      <c r="E80" s="79">
        <f t="shared" si="16"/>
        <v>1.9444444444444445E-2</v>
      </c>
      <c r="F80" s="79">
        <f t="shared" si="18"/>
        <v>8.4259259259259256E-2</v>
      </c>
      <c r="G80" s="41" t="s">
        <v>262</v>
      </c>
      <c r="H80" s="79">
        <v>0.87999999999999989</v>
      </c>
      <c r="I80" s="79">
        <f t="shared" si="19"/>
        <v>0.96425925925925915</v>
      </c>
    </row>
    <row r="81" spans="1:9" x14ac:dyDescent="0.25">
      <c r="A81" s="41">
        <v>5</v>
      </c>
      <c r="B81" s="41" t="s">
        <v>244</v>
      </c>
      <c r="C81" s="46">
        <v>4</v>
      </c>
      <c r="D81" s="46">
        <f t="shared" si="17"/>
        <v>17</v>
      </c>
      <c r="E81" s="79">
        <f t="shared" si="16"/>
        <v>2.5925925925925925E-2</v>
      </c>
      <c r="F81" s="79">
        <f t="shared" si="18"/>
        <v>0.11018518518518518</v>
      </c>
      <c r="G81" s="41"/>
      <c r="H81" s="41"/>
      <c r="I81" s="79">
        <f t="shared" si="19"/>
        <v>0.99018518518518506</v>
      </c>
    </row>
    <row r="82" spans="1:9" x14ac:dyDescent="0.25">
      <c r="A82" s="41">
        <v>6</v>
      </c>
      <c r="B82" s="41" t="s">
        <v>196</v>
      </c>
      <c r="C82" s="46">
        <v>3</v>
      </c>
      <c r="D82" s="46">
        <f t="shared" si="17"/>
        <v>20</v>
      </c>
      <c r="E82" s="79">
        <f t="shared" si="16"/>
        <v>1.9444444444444445E-2</v>
      </c>
      <c r="F82" s="79">
        <f t="shared" si="18"/>
        <v>0.12962962962962962</v>
      </c>
      <c r="G82" s="41"/>
      <c r="H82" s="41"/>
      <c r="I82" s="79">
        <f t="shared" si="19"/>
        <v>1.0096296296296294</v>
      </c>
    </row>
    <row r="83" spans="1:9" x14ac:dyDescent="0.25">
      <c r="A83" s="41">
        <v>7</v>
      </c>
      <c r="B83" s="41" t="s">
        <v>263</v>
      </c>
      <c r="C83" s="46">
        <v>8.8000000000000007</v>
      </c>
      <c r="D83" s="46">
        <f t="shared" si="17"/>
        <v>28.8</v>
      </c>
      <c r="E83" s="79">
        <f t="shared" si="16"/>
        <v>5.7037037037037039E-2</v>
      </c>
      <c r="F83" s="79">
        <f t="shared" si="18"/>
        <v>0.18666666666666665</v>
      </c>
      <c r="G83" s="41"/>
      <c r="H83" s="41"/>
      <c r="I83" s="79">
        <f t="shared" si="19"/>
        <v>1.0666666666666664</v>
      </c>
    </row>
    <row r="84" spans="1:9" x14ac:dyDescent="0.25">
      <c r="A84" s="41">
        <v>8</v>
      </c>
      <c r="B84" s="41" t="s">
        <v>208</v>
      </c>
      <c r="C84" s="46">
        <v>6</v>
      </c>
      <c r="D84" s="46">
        <f t="shared" si="17"/>
        <v>34.799999999999997</v>
      </c>
      <c r="E84" s="79">
        <f t="shared" si="16"/>
        <v>3.888888888888889E-2</v>
      </c>
      <c r="F84" s="79">
        <f t="shared" si="18"/>
        <v>0.22555555555555554</v>
      </c>
      <c r="G84" s="41"/>
      <c r="H84" s="41"/>
      <c r="I84" s="79">
        <f t="shared" si="19"/>
        <v>1.1055555555555554</v>
      </c>
    </row>
    <row r="85" spans="1:9" x14ac:dyDescent="0.25">
      <c r="A85" s="41">
        <v>9</v>
      </c>
      <c r="B85" s="41" t="s">
        <v>200</v>
      </c>
      <c r="C85" s="46">
        <v>2</v>
      </c>
      <c r="D85" s="46">
        <f t="shared" si="17"/>
        <v>36.799999999999997</v>
      </c>
      <c r="E85" s="79">
        <f t="shared" si="16"/>
        <v>1.2962962962962963E-2</v>
      </c>
      <c r="F85" s="79">
        <f t="shared" si="18"/>
        <v>0.23851851851851849</v>
      </c>
      <c r="G85" s="41"/>
      <c r="H85" s="41"/>
      <c r="I85" s="79">
        <f t="shared" si="19"/>
        <v>1.1185185185185185</v>
      </c>
    </row>
    <row r="86" spans="1:9" x14ac:dyDescent="0.25">
      <c r="A86" s="41"/>
      <c r="B86" s="41"/>
      <c r="C86" s="41"/>
      <c r="D86" s="41"/>
      <c r="E86" s="41"/>
      <c r="F86" s="41"/>
      <c r="G86" s="41"/>
      <c r="H86" s="41"/>
      <c r="I86" s="79"/>
    </row>
    <row r="87" spans="1:9" ht="17.25" x14ac:dyDescent="0.25">
      <c r="A87" s="7" t="s">
        <v>264</v>
      </c>
      <c r="B87" s="41"/>
      <c r="C87" s="41"/>
      <c r="D87" s="41"/>
      <c r="E87" s="41"/>
      <c r="F87" s="41"/>
      <c r="G87" s="41"/>
      <c r="H87" s="41"/>
      <c r="I87" s="41"/>
    </row>
    <row r="88" spans="1:9" x14ac:dyDescent="0.25">
      <c r="A88" s="46" t="s">
        <v>237</v>
      </c>
      <c r="B88" s="41" t="s">
        <v>189</v>
      </c>
      <c r="C88" s="46" t="s">
        <v>238</v>
      </c>
      <c r="D88" s="46" t="s">
        <v>239</v>
      </c>
      <c r="E88" s="46" t="s">
        <v>240</v>
      </c>
      <c r="F88" s="46" t="s">
        <v>241</v>
      </c>
      <c r="G88" s="41" t="s">
        <v>248</v>
      </c>
      <c r="H88" s="41" t="s">
        <v>243</v>
      </c>
      <c r="I88" s="46" t="s">
        <v>225</v>
      </c>
    </row>
    <row r="89" spans="1:9" x14ac:dyDescent="0.25">
      <c r="A89" s="41">
        <v>1</v>
      </c>
      <c r="B89" s="41" t="s">
        <v>244</v>
      </c>
      <c r="C89" s="46">
        <v>4</v>
      </c>
      <c r="D89" s="46">
        <f>C89</f>
        <v>4</v>
      </c>
      <c r="E89" s="79">
        <f t="shared" ref="E89:E97" si="20">C89*$A$5</f>
        <v>2.5925925925925925E-2</v>
      </c>
      <c r="F89" s="79">
        <f>E89</f>
        <v>2.5925925925925925E-2</v>
      </c>
      <c r="G89" s="41"/>
      <c r="H89" s="41"/>
      <c r="I89" s="79">
        <f>E89+H89</f>
        <v>2.5925925925925925E-2</v>
      </c>
    </row>
    <row r="90" spans="1:9" x14ac:dyDescent="0.25">
      <c r="A90" s="41">
        <v>2</v>
      </c>
      <c r="B90" s="41" t="s">
        <v>245</v>
      </c>
      <c r="C90" s="46">
        <v>2</v>
      </c>
      <c r="D90" s="46">
        <f>C90+D89</f>
        <v>6</v>
      </c>
      <c r="E90" s="79">
        <f t="shared" si="20"/>
        <v>1.2962962962962963E-2</v>
      </c>
      <c r="F90" s="79">
        <f>E90+F89</f>
        <v>3.888888888888889E-2</v>
      </c>
      <c r="G90" s="41"/>
      <c r="H90" s="41"/>
      <c r="I90" s="79">
        <f>E90+H90+I89</f>
        <v>3.888888888888889E-2</v>
      </c>
    </row>
    <row r="91" spans="1:9" x14ac:dyDescent="0.25">
      <c r="A91" s="41">
        <v>3</v>
      </c>
      <c r="B91" s="41" t="s">
        <v>244</v>
      </c>
      <c r="C91" s="46">
        <v>4</v>
      </c>
      <c r="D91" s="46">
        <f t="shared" ref="D91:D97" si="21">C91+D90</f>
        <v>10</v>
      </c>
      <c r="E91" s="79">
        <f t="shared" si="20"/>
        <v>2.5925925925925925E-2</v>
      </c>
      <c r="F91" s="79">
        <f t="shared" ref="F91:F97" si="22">E91+F90</f>
        <v>6.4814814814814811E-2</v>
      </c>
      <c r="G91" s="41"/>
      <c r="H91" s="41"/>
      <c r="I91" s="79">
        <f t="shared" ref="I91:I97" si="23">E91+H91+I90</f>
        <v>6.4814814814814811E-2</v>
      </c>
    </row>
    <row r="92" spans="1:9" x14ac:dyDescent="0.25">
      <c r="A92" s="41">
        <v>4</v>
      </c>
      <c r="B92" s="41" t="s">
        <v>265</v>
      </c>
      <c r="C92" s="46">
        <v>3</v>
      </c>
      <c r="D92" s="46">
        <f t="shared" si="21"/>
        <v>13</v>
      </c>
      <c r="E92" s="79">
        <f t="shared" si="20"/>
        <v>1.9444444444444445E-2</v>
      </c>
      <c r="F92" s="79">
        <f t="shared" si="22"/>
        <v>8.4259259259259256E-2</v>
      </c>
      <c r="G92" s="41" t="s">
        <v>266</v>
      </c>
      <c r="H92" s="79">
        <v>21.3</v>
      </c>
      <c r="I92" s="79">
        <f t="shared" si="23"/>
        <v>21.38425925925926</v>
      </c>
    </row>
    <row r="93" spans="1:9" x14ac:dyDescent="0.25">
      <c r="A93" s="41">
        <v>5</v>
      </c>
      <c r="B93" s="41" t="s">
        <v>244</v>
      </c>
      <c r="C93" s="46">
        <v>4</v>
      </c>
      <c r="D93" s="46">
        <f t="shared" si="21"/>
        <v>17</v>
      </c>
      <c r="E93" s="79">
        <f t="shared" si="20"/>
        <v>2.5925925925925925E-2</v>
      </c>
      <c r="F93" s="79">
        <f t="shared" si="22"/>
        <v>0.11018518518518518</v>
      </c>
      <c r="G93" s="41"/>
      <c r="H93" s="41"/>
      <c r="I93" s="79">
        <f t="shared" si="23"/>
        <v>21.410185185185185</v>
      </c>
    </row>
    <row r="94" spans="1:9" x14ac:dyDescent="0.25">
      <c r="A94" s="41">
        <v>6</v>
      </c>
      <c r="B94" s="41" t="s">
        <v>196</v>
      </c>
      <c r="C94" s="46">
        <v>3</v>
      </c>
      <c r="D94" s="46">
        <f t="shared" si="21"/>
        <v>20</v>
      </c>
      <c r="E94" s="79">
        <f t="shared" si="20"/>
        <v>1.9444444444444445E-2</v>
      </c>
      <c r="F94" s="79">
        <f t="shared" si="22"/>
        <v>0.12962962962962962</v>
      </c>
      <c r="G94" s="41"/>
      <c r="H94" s="41"/>
      <c r="I94" s="79">
        <f t="shared" si="23"/>
        <v>21.42962962962963</v>
      </c>
    </row>
    <row r="95" spans="1:9" x14ac:dyDescent="0.25">
      <c r="A95" s="41">
        <v>7</v>
      </c>
      <c r="B95" s="41" t="s">
        <v>267</v>
      </c>
      <c r="C95" s="46">
        <v>1.2</v>
      </c>
      <c r="D95" s="46">
        <f t="shared" si="21"/>
        <v>21.2</v>
      </c>
      <c r="E95" s="79">
        <f t="shared" si="20"/>
        <v>7.7777777777777776E-3</v>
      </c>
      <c r="F95" s="79">
        <f t="shared" si="22"/>
        <v>0.13740740740740739</v>
      </c>
      <c r="G95" s="41"/>
      <c r="H95" s="41"/>
      <c r="I95" s="79">
        <f t="shared" si="23"/>
        <v>21.437407407407409</v>
      </c>
    </row>
    <row r="96" spans="1:9" x14ac:dyDescent="0.25">
      <c r="A96" s="41">
        <v>8</v>
      </c>
      <c r="B96" s="41" t="s">
        <v>267</v>
      </c>
      <c r="C96" s="46">
        <v>1.2</v>
      </c>
      <c r="D96" s="46">
        <f t="shared" si="21"/>
        <v>22.4</v>
      </c>
      <c r="E96" s="79">
        <f t="shared" si="20"/>
        <v>7.7777777777777776E-3</v>
      </c>
      <c r="F96" s="79">
        <f t="shared" si="22"/>
        <v>0.14518518518518517</v>
      </c>
      <c r="G96" s="41"/>
      <c r="H96" s="41"/>
      <c r="I96" s="79">
        <f t="shared" si="23"/>
        <v>21.445185185185188</v>
      </c>
    </row>
    <row r="97" spans="1:9" x14ac:dyDescent="0.25">
      <c r="A97" s="41">
        <v>9</v>
      </c>
      <c r="B97" s="41" t="s">
        <v>268</v>
      </c>
      <c r="C97" s="46">
        <v>12</v>
      </c>
      <c r="D97" s="46">
        <f t="shared" si="21"/>
        <v>34.4</v>
      </c>
      <c r="E97" s="79">
        <f t="shared" si="20"/>
        <v>7.7777777777777779E-2</v>
      </c>
      <c r="F97" s="79">
        <f t="shared" si="22"/>
        <v>0.22296296296296295</v>
      </c>
      <c r="G97" s="41"/>
      <c r="H97" s="41"/>
      <c r="I97" s="79">
        <f t="shared" si="23"/>
        <v>21.522962962962968</v>
      </c>
    </row>
    <row r="98" spans="1:9" x14ac:dyDescent="0.25">
      <c r="A98" s="41"/>
      <c r="B98" s="41"/>
      <c r="C98" s="41"/>
      <c r="D98" s="41"/>
      <c r="E98" s="41"/>
      <c r="F98" s="41"/>
      <c r="G98" s="41"/>
      <c r="H98" s="41"/>
      <c r="I98" s="41"/>
    </row>
    <row r="99" spans="1:9" ht="17.25" x14ac:dyDescent="0.25">
      <c r="A99" s="7" t="s">
        <v>269</v>
      </c>
      <c r="B99" s="41"/>
      <c r="C99" s="41"/>
      <c r="D99" s="41"/>
      <c r="E99" s="41"/>
      <c r="F99" s="41"/>
      <c r="G99" s="41"/>
      <c r="H99" s="41"/>
      <c r="I99" s="41"/>
    </row>
    <row r="100" spans="1:9" x14ac:dyDescent="0.25">
      <c r="A100" s="46" t="s">
        <v>237</v>
      </c>
      <c r="B100" s="41" t="s">
        <v>189</v>
      </c>
      <c r="C100" s="46" t="s">
        <v>238</v>
      </c>
      <c r="D100" s="46" t="s">
        <v>239</v>
      </c>
      <c r="E100" s="46" t="s">
        <v>240</v>
      </c>
      <c r="F100" s="46" t="s">
        <v>241</v>
      </c>
      <c r="G100" s="41" t="s">
        <v>248</v>
      </c>
      <c r="H100" s="41" t="s">
        <v>243</v>
      </c>
      <c r="I100" s="46" t="s">
        <v>225</v>
      </c>
    </row>
    <row r="101" spans="1:9" x14ac:dyDescent="0.25">
      <c r="A101" s="41">
        <v>1</v>
      </c>
      <c r="B101" s="41" t="s">
        <v>270</v>
      </c>
      <c r="C101" s="46">
        <v>18</v>
      </c>
      <c r="D101" s="46">
        <f>C101</f>
        <v>18</v>
      </c>
      <c r="E101" s="79">
        <f t="shared" ref="E101:E108" si="24">C101*$A$5</f>
        <v>0.11666666666666667</v>
      </c>
      <c r="F101" s="79">
        <f>E101</f>
        <v>0.11666666666666667</v>
      </c>
      <c r="G101" s="41"/>
      <c r="H101" s="41"/>
      <c r="I101" s="79">
        <f>E101+H101</f>
        <v>0.11666666666666667</v>
      </c>
    </row>
    <row r="102" spans="1:9" x14ac:dyDescent="0.25">
      <c r="A102" s="41">
        <v>2</v>
      </c>
      <c r="B102" s="41" t="s">
        <v>244</v>
      </c>
      <c r="C102" s="46">
        <v>4</v>
      </c>
      <c r="D102" s="46">
        <f>C102+D101</f>
        <v>22</v>
      </c>
      <c r="E102" s="79">
        <f t="shared" si="24"/>
        <v>2.5925925925925925E-2</v>
      </c>
      <c r="F102" s="79">
        <f>E102+F101</f>
        <v>0.1425925925925926</v>
      </c>
      <c r="G102" s="41"/>
      <c r="H102" s="41"/>
      <c r="I102" s="79">
        <f>E102+H102+I101</f>
        <v>0.1425925925925926</v>
      </c>
    </row>
    <row r="103" spans="1:9" x14ac:dyDescent="0.25">
      <c r="A103" s="41">
        <v>3</v>
      </c>
      <c r="B103" s="41" t="s">
        <v>245</v>
      </c>
      <c r="C103" s="46">
        <v>2</v>
      </c>
      <c r="D103" s="46">
        <f t="shared" ref="D103:D108" si="25">C103+D102</f>
        <v>24</v>
      </c>
      <c r="E103" s="79">
        <f t="shared" si="24"/>
        <v>1.2962962962962963E-2</v>
      </c>
      <c r="F103" s="79">
        <f t="shared" ref="F103:F108" si="26">E103+F102</f>
        <v>0.15555555555555556</v>
      </c>
      <c r="G103" s="41"/>
      <c r="H103" s="46"/>
      <c r="I103" s="79">
        <f t="shared" ref="I103:I108" si="27">E103+H103+I102</f>
        <v>0.15555555555555556</v>
      </c>
    </row>
    <row r="104" spans="1:9" x14ac:dyDescent="0.25">
      <c r="A104" s="41">
        <v>4</v>
      </c>
      <c r="B104" s="41" t="s">
        <v>244</v>
      </c>
      <c r="C104" s="46">
        <v>4</v>
      </c>
      <c r="D104" s="46">
        <f t="shared" si="25"/>
        <v>28</v>
      </c>
      <c r="E104" s="79">
        <f t="shared" si="24"/>
        <v>2.5925925925925925E-2</v>
      </c>
      <c r="F104" s="79">
        <f t="shared" si="26"/>
        <v>0.18148148148148149</v>
      </c>
      <c r="G104" s="41"/>
      <c r="H104" s="41"/>
      <c r="I104" s="79">
        <f t="shared" si="27"/>
        <v>0.18148148148148149</v>
      </c>
    </row>
    <row r="105" spans="1:9" x14ac:dyDescent="0.25">
      <c r="A105" s="41">
        <v>5</v>
      </c>
      <c r="B105" s="41" t="s">
        <v>265</v>
      </c>
      <c r="C105" s="46">
        <v>3</v>
      </c>
      <c r="D105" s="46">
        <f t="shared" si="25"/>
        <v>31</v>
      </c>
      <c r="E105" s="79">
        <f t="shared" si="24"/>
        <v>1.9444444444444445E-2</v>
      </c>
      <c r="F105" s="79">
        <f t="shared" si="26"/>
        <v>0.20092592592592595</v>
      </c>
      <c r="G105" s="41" t="s">
        <v>249</v>
      </c>
      <c r="H105" s="79">
        <v>9.6900000000000013</v>
      </c>
      <c r="I105" s="79">
        <f t="shared" si="27"/>
        <v>9.8909259259259272</v>
      </c>
    </row>
    <row r="106" spans="1:9" x14ac:dyDescent="0.25">
      <c r="A106" s="41">
        <v>6</v>
      </c>
      <c r="B106" s="41" t="s">
        <v>244</v>
      </c>
      <c r="C106" s="46">
        <v>4</v>
      </c>
      <c r="D106" s="46">
        <f t="shared" si="25"/>
        <v>35</v>
      </c>
      <c r="E106" s="79">
        <f t="shared" si="24"/>
        <v>2.5925925925925925E-2</v>
      </c>
      <c r="F106" s="79">
        <f t="shared" si="26"/>
        <v>0.22685185185185189</v>
      </c>
      <c r="G106" s="41"/>
      <c r="H106" s="41"/>
      <c r="I106" s="79">
        <f t="shared" si="27"/>
        <v>9.9168518518518525</v>
      </c>
    </row>
    <row r="107" spans="1:9" x14ac:dyDescent="0.25">
      <c r="A107" s="41">
        <v>7</v>
      </c>
      <c r="B107" s="41" t="s">
        <v>196</v>
      </c>
      <c r="C107" s="46">
        <v>3</v>
      </c>
      <c r="D107" s="46">
        <f t="shared" si="25"/>
        <v>38</v>
      </c>
      <c r="E107" s="79">
        <f t="shared" si="24"/>
        <v>1.9444444444444445E-2</v>
      </c>
      <c r="F107" s="79">
        <f t="shared" si="26"/>
        <v>0.24629629629629635</v>
      </c>
      <c r="G107" s="41"/>
      <c r="H107" s="41"/>
      <c r="I107" s="79">
        <f t="shared" si="27"/>
        <v>9.9362962962962964</v>
      </c>
    </row>
    <row r="108" spans="1:9" x14ac:dyDescent="0.25">
      <c r="A108" s="41">
        <v>8</v>
      </c>
      <c r="B108" s="41" t="s">
        <v>267</v>
      </c>
      <c r="C108" s="46">
        <v>3.6</v>
      </c>
      <c r="D108" s="46">
        <f t="shared" si="25"/>
        <v>41.6</v>
      </c>
      <c r="E108" s="79">
        <f t="shared" si="24"/>
        <v>2.3333333333333334E-2</v>
      </c>
      <c r="F108" s="79">
        <f t="shared" si="26"/>
        <v>0.26962962962962966</v>
      </c>
      <c r="G108" s="41"/>
      <c r="H108" s="41"/>
      <c r="I108" s="79">
        <f t="shared" si="27"/>
        <v>9.9596296296296298</v>
      </c>
    </row>
    <row r="109" spans="1:9" x14ac:dyDescent="0.25">
      <c r="A109" s="41"/>
      <c r="B109" s="41"/>
      <c r="C109" s="41"/>
      <c r="D109" s="41"/>
      <c r="E109" s="41"/>
      <c r="F109" s="41"/>
      <c r="G109" s="41"/>
      <c r="H109" s="41"/>
      <c r="I109" s="41"/>
    </row>
    <row r="110" spans="1:9" ht="17.25" x14ac:dyDescent="0.25">
      <c r="A110" s="7" t="s">
        <v>271</v>
      </c>
      <c r="B110" s="41"/>
      <c r="C110" s="41"/>
      <c r="D110" s="41"/>
      <c r="E110" s="41"/>
      <c r="F110" s="41"/>
      <c r="G110" s="41"/>
      <c r="H110" s="41"/>
      <c r="I110" s="41"/>
    </row>
    <row r="111" spans="1:9" x14ac:dyDescent="0.25">
      <c r="A111" s="46" t="s">
        <v>237</v>
      </c>
      <c r="B111" s="41" t="s">
        <v>189</v>
      </c>
      <c r="C111" s="46" t="s">
        <v>238</v>
      </c>
      <c r="D111" s="46" t="s">
        <v>239</v>
      </c>
      <c r="E111" s="46" t="s">
        <v>240</v>
      </c>
      <c r="F111" s="46" t="s">
        <v>241</v>
      </c>
      <c r="G111" s="41" t="s">
        <v>248</v>
      </c>
      <c r="H111" s="41" t="s">
        <v>243</v>
      </c>
      <c r="I111" s="46" t="s">
        <v>225</v>
      </c>
    </row>
    <row r="112" spans="1:9" x14ac:dyDescent="0.25">
      <c r="A112" s="41">
        <v>1</v>
      </c>
      <c r="B112" s="41" t="s">
        <v>244</v>
      </c>
      <c r="C112" s="46">
        <v>4</v>
      </c>
      <c r="D112" s="46">
        <f>C112</f>
        <v>4</v>
      </c>
      <c r="E112" s="79">
        <f>C112*$A$5</f>
        <v>2.5925925925925925E-2</v>
      </c>
      <c r="F112" s="79">
        <f>E112</f>
        <v>2.5925925925925925E-2</v>
      </c>
      <c r="G112" s="41"/>
      <c r="H112" s="41"/>
      <c r="I112" s="79">
        <f>E112+H112</f>
        <v>2.5925925925925925E-2</v>
      </c>
    </row>
    <row r="113" spans="1:9" x14ac:dyDescent="0.25">
      <c r="A113" s="41">
        <v>2</v>
      </c>
      <c r="B113" s="41" t="s">
        <v>245</v>
      </c>
      <c r="C113" s="46">
        <v>2</v>
      </c>
      <c r="D113" s="46">
        <f>C113+D112</f>
        <v>6</v>
      </c>
      <c r="E113" s="79">
        <f>C113*$A$5</f>
        <v>1.2962962962962963E-2</v>
      </c>
      <c r="F113" s="79">
        <f>E113+F112</f>
        <v>3.888888888888889E-2</v>
      </c>
      <c r="G113" s="41"/>
      <c r="H113" s="46"/>
      <c r="I113" s="79">
        <f>E113+H113+I112</f>
        <v>3.888888888888889E-2</v>
      </c>
    </row>
    <row r="114" spans="1:9" x14ac:dyDescent="0.25">
      <c r="A114" s="41">
        <v>3</v>
      </c>
      <c r="B114" s="41" t="s">
        <v>244</v>
      </c>
      <c r="C114" s="46">
        <v>4</v>
      </c>
      <c r="D114" s="46">
        <f>C114+D113</f>
        <v>10</v>
      </c>
      <c r="E114" s="79">
        <f>C114*$A$5</f>
        <v>2.5925925925925925E-2</v>
      </c>
      <c r="F114" s="79">
        <f>E114+F113</f>
        <v>6.4814814814814811E-2</v>
      </c>
      <c r="G114" s="41"/>
      <c r="H114" s="41"/>
      <c r="I114" s="79">
        <f>E114+H114+I113</f>
        <v>6.4814814814814811E-2</v>
      </c>
    </row>
  </sheetData>
  <conditionalFormatting sqref="A8:I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{353CCA18-87B8-4160-B62D-388C7DDAC476}</x14:id>
        </ext>
      </extLst>
    </cfRule>
  </conditionalFormatting>
  <conditionalFormatting sqref="J8:R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{3E271442-32C5-4818-A6CB-328DEA99CB82}</x14:id>
        </ext>
      </extLst>
    </cfRule>
  </conditionalFormatting>
  <conditionalFormatting sqref="C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{D61071CC-D89B-4AB3-8DA3-CCE29894F7E6}</x14:id>
        </ext>
      </extLst>
    </cfRule>
  </conditionalFormatting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3CCA18-87B8-4160-B62D-388C7DDAC4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A8:I31</xm:sqref>
        </x14:conditionalFormatting>
        <x14:conditionalFormatting xmlns:xm="http://schemas.microsoft.com/office/excel/2006/main">
          <x14:cfRule type="dataBar" id="{3E271442-32C5-4818-A6CB-328DEA99CB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J8:R31</xm:sqref>
        </x14:conditionalFormatting>
        <x14:conditionalFormatting xmlns:xm="http://schemas.microsoft.com/office/excel/2006/main">
          <x14:cfRule type="dataBar" id="{D61071CC-D89B-4AB3-8DA3-CCE29894F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I41"/>
  <sheetViews>
    <sheetView workbookViewId="0">
      <selection activeCell="H31" sqref="H31"/>
    </sheetView>
  </sheetViews>
  <sheetFormatPr defaultColWidth="9.140625" defaultRowHeight="15" x14ac:dyDescent="0.25"/>
  <cols>
    <col min="1" max="1" width="9" style="41" customWidth="1"/>
    <col min="2" max="2" width="19.7109375" style="41" bestFit="1" customWidth="1"/>
    <col min="3" max="3" width="11" style="41" bestFit="1" customWidth="1"/>
    <col min="4" max="4" width="17.7109375" style="41" bestFit="1" customWidth="1"/>
    <col min="5" max="5" width="19.28515625" style="41" bestFit="1" customWidth="1"/>
    <col min="6" max="6" width="15.7109375" style="41" bestFit="1" customWidth="1"/>
    <col min="7" max="7" width="14.85546875" style="41" bestFit="1" customWidth="1"/>
    <col min="8" max="8" width="18.140625" style="41" bestFit="1" customWidth="1"/>
    <col min="9" max="9" width="14.28515625" style="41" bestFit="1" customWidth="1"/>
    <col min="10" max="16384" width="9.140625" style="41"/>
  </cols>
  <sheetData>
    <row r="1" spans="1:9" ht="23.25" x14ac:dyDescent="0.35">
      <c r="A1" s="6" t="s">
        <v>298</v>
      </c>
    </row>
    <row r="2" spans="1:9" x14ac:dyDescent="0.25">
      <c r="A2" s="41" t="s">
        <v>299</v>
      </c>
    </row>
    <row r="3" spans="1:9" ht="17.25" x14ac:dyDescent="0.25">
      <c r="A3" s="7" t="s">
        <v>214</v>
      </c>
    </row>
    <row r="4" spans="1:9" x14ac:dyDescent="0.25">
      <c r="A4" s="97">
        <f>AVERAGE('Workers AS-IS'!F22:F39)</f>
        <v>23.333333333333332</v>
      </c>
      <c r="B4" s="41" t="s">
        <v>166</v>
      </c>
    </row>
    <row r="5" spans="1:9" x14ac:dyDescent="0.25">
      <c r="A5" s="98">
        <f>A4/60/60</f>
        <v>6.4814814814814813E-3</v>
      </c>
      <c r="B5" s="41" t="s">
        <v>215</v>
      </c>
    </row>
    <row r="7" spans="1:9" ht="17.25" x14ac:dyDescent="0.25">
      <c r="A7" s="7" t="s">
        <v>367</v>
      </c>
      <c r="F7" s="7" t="s">
        <v>368</v>
      </c>
    </row>
    <row r="8" spans="1:9" x14ac:dyDescent="0.25">
      <c r="A8" s="34">
        <f>Table52[[#Totals],[Duration]]</f>
        <v>253.5</v>
      </c>
      <c r="B8" s="41" t="s">
        <v>369</v>
      </c>
      <c r="F8" s="34">
        <f>Table525[[#Totals],[Duration]]</f>
        <v>221.50000000000003</v>
      </c>
      <c r="G8" s="41" t="s">
        <v>369</v>
      </c>
    </row>
    <row r="9" spans="1:9" x14ac:dyDescent="0.25">
      <c r="A9" s="112">
        <f>Table3[[#Totals],[Minutes Max]]*60</f>
        <v>138.13752550102004</v>
      </c>
      <c r="B9" s="41" t="s">
        <v>370</v>
      </c>
      <c r="F9" s="112">
        <f>Table3[[#Totals],[Minutes Max]]*60</f>
        <v>138.13752550102004</v>
      </c>
      <c r="G9" s="41" t="s">
        <v>370</v>
      </c>
    </row>
    <row r="10" spans="1:9" x14ac:dyDescent="0.25">
      <c r="A10" s="113">
        <f>A8-A9</f>
        <v>115.36247449897996</v>
      </c>
      <c r="B10" s="41" t="s">
        <v>371</v>
      </c>
      <c r="F10" s="113">
        <v>0</v>
      </c>
      <c r="G10" s="41" t="s">
        <v>371</v>
      </c>
    </row>
    <row r="11" spans="1:9" x14ac:dyDescent="0.25">
      <c r="A11" s="52">
        <f>Table52[[#Totals],[Labour Task Value]]</f>
        <v>1.6430555555555559</v>
      </c>
      <c r="B11" s="41" t="s">
        <v>216</v>
      </c>
      <c r="F11" s="52">
        <f>Table525[[#Totals],[Labour Task Value]]</f>
        <v>1.4356481481481482</v>
      </c>
      <c r="G11" s="41" t="s">
        <v>216</v>
      </c>
    </row>
    <row r="12" spans="1:9" x14ac:dyDescent="0.25">
      <c r="A12" s="52">
        <f>Table52[[#Totals],[Component Cost]]</f>
        <v>93.16</v>
      </c>
      <c r="B12" s="41" t="s">
        <v>217</v>
      </c>
      <c r="F12" s="52">
        <f>Table525[[#Totals],[Component Cost]]</f>
        <v>93.16</v>
      </c>
      <c r="G12" s="41" t="s">
        <v>217</v>
      </c>
    </row>
    <row r="13" spans="1:9" x14ac:dyDescent="0.25">
      <c r="A13" s="52">
        <f>Table52[[#Totals],[Total to Task]]</f>
        <v>94.803055555555545</v>
      </c>
      <c r="B13" s="41" t="s">
        <v>218</v>
      </c>
      <c r="F13" s="52">
        <f>I41</f>
        <v>94.595648148148115</v>
      </c>
      <c r="G13" s="41" t="s">
        <v>218</v>
      </c>
    </row>
    <row r="14" spans="1:9" x14ac:dyDescent="0.25">
      <c r="A14" s="52"/>
      <c r="F14" s="52"/>
    </row>
    <row r="15" spans="1:9" ht="17.25" x14ac:dyDescent="0.25">
      <c r="A15" s="7" t="s">
        <v>125</v>
      </c>
      <c r="C15" s="68"/>
    </row>
    <row r="16" spans="1:9" x14ac:dyDescent="0.25">
      <c r="A16" s="57" t="s">
        <v>188</v>
      </c>
      <c r="B16" s="57" t="s">
        <v>189</v>
      </c>
      <c r="C16" s="57" t="s">
        <v>190</v>
      </c>
      <c r="D16" s="57" t="s">
        <v>191</v>
      </c>
      <c r="E16" s="57" t="s">
        <v>192</v>
      </c>
      <c r="F16" s="57" t="s">
        <v>193</v>
      </c>
      <c r="G16" s="57" t="s">
        <v>194</v>
      </c>
      <c r="H16" s="57" t="s">
        <v>219</v>
      </c>
      <c r="I16" s="71" t="s">
        <v>195</v>
      </c>
    </row>
    <row r="17" spans="1:9" x14ac:dyDescent="0.25">
      <c r="A17" s="58">
        <v>1</v>
      </c>
      <c r="B17" s="59" t="s">
        <v>196</v>
      </c>
      <c r="C17" s="59">
        <v>14</v>
      </c>
      <c r="D17" s="58">
        <f>C17</f>
        <v>14</v>
      </c>
      <c r="E17" s="60">
        <f t="shared" ref="E17:E40" si="0">C17*$A$5</f>
        <v>9.0740740740740733E-2</v>
      </c>
      <c r="F17" s="60">
        <f>E17</f>
        <v>9.0740740740740733E-2</v>
      </c>
      <c r="G17" s="59" t="s">
        <v>38</v>
      </c>
      <c r="H17" s="60">
        <f>VLOOKUP($G17,Table114[[Part Number]:[Cost (CAD)]], 11,FALSE)</f>
        <v>6.61</v>
      </c>
      <c r="I17" s="60">
        <f t="shared" ref="I17:I40" si="1">$E17+$H17+IF(ISNUMBER(I16),I16,0)</f>
        <v>6.7007407407407413</v>
      </c>
    </row>
    <row r="18" spans="1:9" x14ac:dyDescent="0.25">
      <c r="A18" s="61">
        <v>2</v>
      </c>
      <c r="B18" s="62" t="s">
        <v>197</v>
      </c>
      <c r="C18" s="62">
        <v>10</v>
      </c>
      <c r="D18" s="61">
        <f>D17+C18</f>
        <v>24</v>
      </c>
      <c r="E18" s="63">
        <f t="shared" si="0"/>
        <v>6.4814814814814811E-2</v>
      </c>
      <c r="F18" s="63">
        <f>F17+E18</f>
        <v>0.15555555555555556</v>
      </c>
      <c r="G18" s="62" t="s">
        <v>38</v>
      </c>
      <c r="H18" s="63"/>
      <c r="I18" s="63">
        <f t="shared" si="1"/>
        <v>6.7655555555555562</v>
      </c>
    </row>
    <row r="19" spans="1:9" x14ac:dyDescent="0.25">
      <c r="A19" s="58">
        <v>3</v>
      </c>
      <c r="B19" s="59" t="s">
        <v>198</v>
      </c>
      <c r="C19" s="59">
        <v>3</v>
      </c>
      <c r="D19" s="58">
        <f t="shared" ref="D19:D40" si="2">D18+C19</f>
        <v>27</v>
      </c>
      <c r="E19" s="60">
        <f t="shared" si="0"/>
        <v>1.9444444444444445E-2</v>
      </c>
      <c r="F19" s="60">
        <f t="shared" ref="F19:F40" si="3">F18+E19</f>
        <v>0.17499999999999999</v>
      </c>
      <c r="G19" s="64" t="s">
        <v>40</v>
      </c>
      <c r="H19" s="60">
        <f>VLOOKUP($G19,Table114[[Part Number]:[Cost (CAD)]], 11,FALSE)</f>
        <v>0.08</v>
      </c>
      <c r="I19" s="60">
        <f t="shared" si="1"/>
        <v>6.8650000000000002</v>
      </c>
    </row>
    <row r="20" spans="1:9" x14ac:dyDescent="0.25">
      <c r="A20" s="61">
        <v>4</v>
      </c>
      <c r="B20" s="62" t="s">
        <v>199</v>
      </c>
      <c r="C20" s="62">
        <v>7</v>
      </c>
      <c r="D20" s="61">
        <f t="shared" si="2"/>
        <v>34</v>
      </c>
      <c r="E20" s="63">
        <f t="shared" si="0"/>
        <v>4.5370370370370366E-2</v>
      </c>
      <c r="F20" s="63">
        <f t="shared" si="3"/>
        <v>0.22037037037037036</v>
      </c>
      <c r="G20" s="62" t="s">
        <v>62</v>
      </c>
      <c r="H20" s="60">
        <f>VLOOKUP($G20,Table114[[Part Number]:[Cost (CAD)]], 11,FALSE)</f>
        <v>3</v>
      </c>
      <c r="I20" s="63">
        <f t="shared" si="1"/>
        <v>9.9103703703703712</v>
      </c>
    </row>
    <row r="21" spans="1:9" x14ac:dyDescent="0.25">
      <c r="A21" s="58">
        <v>5</v>
      </c>
      <c r="B21" s="59" t="s">
        <v>200</v>
      </c>
      <c r="C21" s="59">
        <v>2</v>
      </c>
      <c r="D21" s="58">
        <f t="shared" si="2"/>
        <v>36</v>
      </c>
      <c r="E21" s="60">
        <f t="shared" si="0"/>
        <v>1.2962962962962963E-2</v>
      </c>
      <c r="F21" s="60">
        <f t="shared" si="3"/>
        <v>0.23333333333333331</v>
      </c>
      <c r="G21" s="58"/>
      <c r="H21" s="60"/>
      <c r="I21" s="60">
        <f t="shared" si="1"/>
        <v>9.9233333333333338</v>
      </c>
    </row>
    <row r="22" spans="1:9" x14ac:dyDescent="0.25">
      <c r="A22" s="61">
        <v>6</v>
      </c>
      <c r="B22" s="62" t="s">
        <v>201</v>
      </c>
      <c r="C22" s="62">
        <v>6.6</v>
      </c>
      <c r="D22" s="61">
        <f t="shared" si="2"/>
        <v>42.6</v>
      </c>
      <c r="E22" s="63">
        <f t="shared" si="0"/>
        <v>4.2777777777777776E-2</v>
      </c>
      <c r="F22" s="63">
        <f t="shared" si="3"/>
        <v>0.27611111111111108</v>
      </c>
      <c r="G22" s="62" t="s">
        <v>58</v>
      </c>
      <c r="H22" s="60">
        <f>VLOOKUP($G22,Table114[[Part Number]:[Cost (CAD)]], 11,FALSE)</f>
        <v>4</v>
      </c>
      <c r="I22" s="63">
        <f t="shared" si="1"/>
        <v>13.966111111111111</v>
      </c>
    </row>
    <row r="23" spans="1:9" x14ac:dyDescent="0.25">
      <c r="A23" s="58">
        <v>7</v>
      </c>
      <c r="B23" s="59" t="s">
        <v>202</v>
      </c>
      <c r="C23" s="59">
        <v>20</v>
      </c>
      <c r="D23" s="58">
        <f t="shared" si="2"/>
        <v>62.6</v>
      </c>
      <c r="E23" s="60">
        <f t="shared" si="0"/>
        <v>0.12962962962962962</v>
      </c>
      <c r="F23" s="60">
        <f t="shared" si="3"/>
        <v>0.40574074074074074</v>
      </c>
      <c r="G23" s="59" t="s">
        <v>46</v>
      </c>
      <c r="H23" s="60">
        <f>VLOOKUP($G23,Table114[[Part Number]:[Cost (CAD)]], 11,FALSE)</f>
        <v>14.99</v>
      </c>
      <c r="I23" s="60">
        <f t="shared" si="1"/>
        <v>29.085740740740739</v>
      </c>
    </row>
    <row r="24" spans="1:9" x14ac:dyDescent="0.25">
      <c r="A24" s="61">
        <v>8</v>
      </c>
      <c r="B24" s="62" t="s">
        <v>203</v>
      </c>
      <c r="C24" s="62">
        <v>30</v>
      </c>
      <c r="D24" s="61">
        <f t="shared" si="2"/>
        <v>92.6</v>
      </c>
      <c r="E24" s="63">
        <f t="shared" si="0"/>
        <v>0.19444444444444445</v>
      </c>
      <c r="F24" s="63">
        <f t="shared" si="3"/>
        <v>0.60018518518518515</v>
      </c>
      <c r="G24" s="61"/>
      <c r="H24" s="63"/>
      <c r="I24" s="63">
        <f t="shared" si="1"/>
        <v>29.280185185185182</v>
      </c>
    </row>
    <row r="25" spans="1:9" x14ac:dyDescent="0.25">
      <c r="A25" s="58">
        <v>9</v>
      </c>
      <c r="B25" s="59" t="s">
        <v>204</v>
      </c>
      <c r="C25" s="59">
        <v>24</v>
      </c>
      <c r="D25" s="58">
        <f t="shared" si="2"/>
        <v>116.6</v>
      </c>
      <c r="E25" s="60">
        <f t="shared" si="0"/>
        <v>0.15555555555555556</v>
      </c>
      <c r="F25" s="60">
        <f t="shared" si="3"/>
        <v>0.75574074074074071</v>
      </c>
      <c r="G25" s="59" t="s">
        <v>62</v>
      </c>
      <c r="H25" s="60"/>
      <c r="I25" s="60">
        <f t="shared" si="1"/>
        <v>29.435740740740737</v>
      </c>
    </row>
    <row r="26" spans="1:9" x14ac:dyDescent="0.25">
      <c r="A26" s="110">
        <v>10</v>
      </c>
      <c r="B26" s="109" t="s">
        <v>205</v>
      </c>
      <c r="C26" s="109">
        <v>0.7</v>
      </c>
      <c r="D26" s="110">
        <f t="shared" si="2"/>
        <v>117.3</v>
      </c>
      <c r="E26" s="111">
        <f t="shared" si="0"/>
        <v>4.5370370370370365E-3</v>
      </c>
      <c r="F26" s="111">
        <f t="shared" si="3"/>
        <v>0.76027777777777772</v>
      </c>
      <c r="G26" s="109" t="s">
        <v>53</v>
      </c>
      <c r="H26" s="111">
        <f>VLOOKUP($G26,Table114[[Part Number]:[Cost (CAD)]], 11,FALSE)</f>
        <v>0.56999999999999995</v>
      </c>
      <c r="I26" s="111">
        <f t="shared" si="1"/>
        <v>30.010277777777773</v>
      </c>
    </row>
    <row r="27" spans="1:9" x14ac:dyDescent="0.25">
      <c r="A27" s="110">
        <v>11</v>
      </c>
      <c r="B27" s="109" t="s">
        <v>206</v>
      </c>
      <c r="C27" s="109">
        <v>0.7</v>
      </c>
      <c r="D27" s="110">
        <f t="shared" si="2"/>
        <v>118</v>
      </c>
      <c r="E27" s="111">
        <f t="shared" si="0"/>
        <v>4.5370370370370365E-3</v>
      </c>
      <c r="F27" s="111">
        <f t="shared" si="3"/>
        <v>0.76481481481481473</v>
      </c>
      <c r="G27" s="110"/>
      <c r="H27" s="111"/>
      <c r="I27" s="111">
        <f t="shared" si="1"/>
        <v>30.014814814814809</v>
      </c>
    </row>
    <row r="28" spans="1:9" x14ac:dyDescent="0.25">
      <c r="A28" s="61">
        <v>12</v>
      </c>
      <c r="B28" s="41" t="s">
        <v>200</v>
      </c>
      <c r="C28" s="62">
        <v>2</v>
      </c>
      <c r="D28" s="61">
        <f t="shared" si="2"/>
        <v>120</v>
      </c>
      <c r="E28" s="63">
        <f t="shared" si="0"/>
        <v>1.2962962962962963E-2</v>
      </c>
      <c r="F28" s="63">
        <f t="shared" si="3"/>
        <v>0.77777777777777768</v>
      </c>
      <c r="G28" s="61"/>
      <c r="H28" s="63"/>
      <c r="I28" s="63">
        <f t="shared" si="1"/>
        <v>30.027777777777771</v>
      </c>
    </row>
    <row r="29" spans="1:9" x14ac:dyDescent="0.25">
      <c r="A29" s="58">
        <v>13</v>
      </c>
      <c r="B29" s="59" t="s">
        <v>207</v>
      </c>
      <c r="C29" s="59">
        <v>4.4000000000000004</v>
      </c>
      <c r="D29" s="58">
        <f t="shared" si="2"/>
        <v>124.4</v>
      </c>
      <c r="E29" s="60">
        <f t="shared" si="0"/>
        <v>2.8518518518518519E-2</v>
      </c>
      <c r="F29" s="60">
        <f t="shared" si="3"/>
        <v>0.80629629629629618</v>
      </c>
      <c r="G29" s="59" t="s">
        <v>49</v>
      </c>
      <c r="H29" s="60">
        <f>VLOOKUP($G29,Table114[[Part Number]:[Cost (CAD)]], 11,FALSE)</f>
        <v>4.1500000000000004</v>
      </c>
      <c r="I29" s="60">
        <f t="shared" si="1"/>
        <v>34.206296296296287</v>
      </c>
    </row>
    <row r="30" spans="1:9" x14ac:dyDescent="0.25">
      <c r="A30" s="110">
        <v>14</v>
      </c>
      <c r="B30" s="109" t="s">
        <v>202</v>
      </c>
      <c r="C30" s="109">
        <v>0.7</v>
      </c>
      <c r="D30" s="110">
        <f t="shared" si="2"/>
        <v>125.10000000000001</v>
      </c>
      <c r="E30" s="111">
        <f t="shared" si="0"/>
        <v>4.5370370370370365E-3</v>
      </c>
      <c r="F30" s="111">
        <f t="shared" si="3"/>
        <v>0.81083333333333318</v>
      </c>
      <c r="G30" s="110" t="s">
        <v>54</v>
      </c>
      <c r="H30" s="111">
        <f>VLOOKUP($G30,Table114[[Part Number]:[Cost (CAD)]], 11,FALSE)</f>
        <v>0.31</v>
      </c>
      <c r="I30" s="111">
        <f t="shared" si="1"/>
        <v>34.520833333333321</v>
      </c>
    </row>
    <row r="31" spans="1:9" x14ac:dyDescent="0.25">
      <c r="A31" s="110">
        <v>15</v>
      </c>
      <c r="B31" s="109" t="s">
        <v>208</v>
      </c>
      <c r="C31" s="109">
        <v>0.7</v>
      </c>
      <c r="D31" s="110">
        <f t="shared" si="2"/>
        <v>125.80000000000001</v>
      </c>
      <c r="E31" s="111">
        <f t="shared" si="0"/>
        <v>4.5370370370370365E-3</v>
      </c>
      <c r="F31" s="111">
        <f t="shared" si="3"/>
        <v>0.81537037037037019</v>
      </c>
      <c r="G31" s="110"/>
      <c r="H31" s="111"/>
      <c r="I31" s="111">
        <f t="shared" si="1"/>
        <v>34.525370370370361</v>
      </c>
    </row>
    <row r="32" spans="1:9" x14ac:dyDescent="0.25">
      <c r="A32" s="110">
        <v>16</v>
      </c>
      <c r="B32" s="109" t="s">
        <v>209</v>
      </c>
      <c r="C32" s="109">
        <v>0</v>
      </c>
      <c r="D32" s="110">
        <f t="shared" si="2"/>
        <v>125.80000000000001</v>
      </c>
      <c r="E32" s="111">
        <f t="shared" si="0"/>
        <v>0</v>
      </c>
      <c r="F32" s="111">
        <f t="shared" si="3"/>
        <v>0.81537037037037019</v>
      </c>
      <c r="G32" s="110"/>
      <c r="H32" s="111"/>
      <c r="I32" s="111">
        <f t="shared" si="1"/>
        <v>34.525370370370361</v>
      </c>
    </row>
    <row r="33" spans="1:9" x14ac:dyDescent="0.25">
      <c r="A33" s="58">
        <v>17</v>
      </c>
      <c r="B33" s="59" t="s">
        <v>198</v>
      </c>
      <c r="C33" s="59">
        <v>1.2</v>
      </c>
      <c r="D33" s="58">
        <f t="shared" si="2"/>
        <v>127.00000000000001</v>
      </c>
      <c r="E33" s="60">
        <f t="shared" si="0"/>
        <v>7.7777777777777776E-3</v>
      </c>
      <c r="F33" s="60">
        <f t="shared" si="3"/>
        <v>0.82314814814814796</v>
      </c>
      <c r="G33" s="59" t="s">
        <v>60</v>
      </c>
      <c r="H33" s="60">
        <f>VLOOKUP($G33,Table114[[Part Number]:[Cost (CAD)]], 11,FALSE)</f>
        <v>2</v>
      </c>
      <c r="I33" s="60">
        <f t="shared" si="1"/>
        <v>36.533148148148136</v>
      </c>
    </row>
    <row r="34" spans="1:9" x14ac:dyDescent="0.25">
      <c r="A34" s="61">
        <v>18</v>
      </c>
      <c r="B34" s="62" t="s">
        <v>198</v>
      </c>
      <c r="C34" s="62">
        <v>1.2</v>
      </c>
      <c r="D34" s="61">
        <f t="shared" si="2"/>
        <v>128.20000000000002</v>
      </c>
      <c r="E34" s="63">
        <f t="shared" si="0"/>
        <v>7.7777777777777776E-3</v>
      </c>
      <c r="F34" s="63">
        <f t="shared" si="3"/>
        <v>0.83092592592592573</v>
      </c>
      <c r="G34" s="62" t="s">
        <v>50</v>
      </c>
      <c r="H34" s="60">
        <f>VLOOKUP($G34,Table114[[Part Number]:[Cost (CAD)]], 11,FALSE)</f>
        <v>1.88</v>
      </c>
      <c r="I34" s="63">
        <f t="shared" si="1"/>
        <v>38.420925925925914</v>
      </c>
    </row>
    <row r="35" spans="1:9" x14ac:dyDescent="0.25">
      <c r="A35" s="58">
        <v>19</v>
      </c>
      <c r="B35" s="59" t="s">
        <v>201</v>
      </c>
      <c r="C35" s="59">
        <v>12</v>
      </c>
      <c r="D35" s="58">
        <f t="shared" si="2"/>
        <v>140.20000000000002</v>
      </c>
      <c r="E35" s="60">
        <f t="shared" si="0"/>
        <v>7.7777777777777779E-2</v>
      </c>
      <c r="F35" s="60">
        <f t="shared" si="3"/>
        <v>0.90870370370370357</v>
      </c>
      <c r="G35" s="59" t="s">
        <v>43</v>
      </c>
      <c r="H35" s="60">
        <f>VLOOKUP($G35,Table114[[Part Number]:[Cost (CAD)]], 11,FALSE)</f>
        <v>17.420000000000002</v>
      </c>
      <c r="I35" s="60">
        <f t="shared" si="1"/>
        <v>55.918703703703699</v>
      </c>
    </row>
    <row r="36" spans="1:9" x14ac:dyDescent="0.25">
      <c r="A36" s="61">
        <v>20</v>
      </c>
      <c r="B36" s="62" t="s">
        <v>198</v>
      </c>
      <c r="C36" s="62">
        <v>8</v>
      </c>
      <c r="D36" s="61">
        <f t="shared" si="2"/>
        <v>148.20000000000002</v>
      </c>
      <c r="E36" s="63">
        <f t="shared" si="0"/>
        <v>5.185185185185185E-2</v>
      </c>
      <c r="F36" s="63">
        <f t="shared" si="3"/>
        <v>0.96055555555555538</v>
      </c>
      <c r="G36" s="62" t="s">
        <v>56</v>
      </c>
      <c r="H36" s="60">
        <f>VLOOKUP($G36,Table114[[Part Number]:[Cost (CAD)]], 11,FALSE)</f>
        <v>38.15</v>
      </c>
      <c r="I36" s="63">
        <f t="shared" si="1"/>
        <v>94.120555555555541</v>
      </c>
    </row>
    <row r="37" spans="1:9" x14ac:dyDescent="0.25">
      <c r="A37" s="58">
        <v>21</v>
      </c>
      <c r="B37" s="59" t="s">
        <v>210</v>
      </c>
      <c r="C37" s="59">
        <v>13.3</v>
      </c>
      <c r="D37" s="58">
        <f t="shared" si="2"/>
        <v>161.50000000000003</v>
      </c>
      <c r="E37" s="60">
        <f t="shared" si="0"/>
        <v>8.6203703703703699E-2</v>
      </c>
      <c r="F37" s="60">
        <f t="shared" si="3"/>
        <v>1.0467592592592592</v>
      </c>
      <c r="G37" s="59" t="s">
        <v>13</v>
      </c>
      <c r="H37" s="60"/>
      <c r="I37" s="60">
        <f t="shared" si="1"/>
        <v>94.206759259259243</v>
      </c>
    </row>
    <row r="38" spans="1:9" x14ac:dyDescent="0.25">
      <c r="A38" s="110">
        <v>22</v>
      </c>
      <c r="B38" s="109" t="s">
        <v>366</v>
      </c>
      <c r="C38" s="109">
        <v>10</v>
      </c>
      <c r="D38" s="110">
        <f t="shared" si="2"/>
        <v>171.50000000000003</v>
      </c>
      <c r="E38" s="111">
        <f t="shared" si="0"/>
        <v>6.4814814814814811E-2</v>
      </c>
      <c r="F38" s="111">
        <f t="shared" si="3"/>
        <v>1.111574074074074</v>
      </c>
      <c r="G38" s="109" t="s">
        <v>13</v>
      </c>
      <c r="H38" s="111"/>
      <c r="I38" s="111">
        <f t="shared" si="1"/>
        <v>94.271574074074053</v>
      </c>
    </row>
    <row r="39" spans="1:9" x14ac:dyDescent="0.25">
      <c r="A39" s="58">
        <v>23</v>
      </c>
      <c r="B39" s="59" t="s">
        <v>212</v>
      </c>
      <c r="C39" s="59">
        <v>10</v>
      </c>
      <c r="D39" s="58">
        <f t="shared" si="2"/>
        <v>181.50000000000003</v>
      </c>
      <c r="E39" s="60">
        <f t="shared" si="0"/>
        <v>6.4814814814814811E-2</v>
      </c>
      <c r="F39" s="60">
        <f t="shared" si="3"/>
        <v>1.1763888888888889</v>
      </c>
      <c r="G39" s="59" t="s">
        <v>13</v>
      </c>
      <c r="H39" s="60"/>
      <c r="I39" s="60">
        <f t="shared" si="1"/>
        <v>94.336388888888862</v>
      </c>
    </row>
    <row r="40" spans="1:9" x14ac:dyDescent="0.25">
      <c r="A40" s="61">
        <v>24</v>
      </c>
      <c r="B40" s="62" t="s">
        <v>213</v>
      </c>
      <c r="C40" s="62">
        <v>40</v>
      </c>
      <c r="D40" s="61">
        <f t="shared" si="2"/>
        <v>221.50000000000003</v>
      </c>
      <c r="E40" s="63">
        <f t="shared" si="0"/>
        <v>0.25925925925925924</v>
      </c>
      <c r="F40" s="63">
        <f t="shared" si="3"/>
        <v>1.4356481481481482</v>
      </c>
      <c r="G40" s="62" t="s">
        <v>13</v>
      </c>
      <c r="H40" s="63"/>
      <c r="I40" s="70">
        <f t="shared" si="1"/>
        <v>94.595648148148115</v>
      </c>
    </row>
    <row r="41" spans="1:9" x14ac:dyDescent="0.25">
      <c r="A41" s="65" t="s">
        <v>95</v>
      </c>
      <c r="B41" s="66"/>
      <c r="C41" s="66">
        <f>SUBTOTAL(109,Table525[Duration])</f>
        <v>221.50000000000003</v>
      </c>
      <c r="D41" s="65"/>
      <c r="E41" s="67">
        <f>SUBTOTAL(109,Table525[Labour Task Value])</f>
        <v>1.4356481481481482</v>
      </c>
      <c r="F41" s="67"/>
      <c r="G41" s="66"/>
      <c r="H41" s="67">
        <f>SUBTOTAL(109,Table525[Component Cost])</f>
        <v>93.16</v>
      </c>
      <c r="I41" s="67">
        <f>SUBTOTAL(104,Table525[Total to Task])</f>
        <v>94.595648148148115</v>
      </c>
    </row>
  </sheetData>
  <conditionalFormatting sqref="C32:I32 A32 A17:I31 A33:I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{FC48A0DD-0AF8-43C1-B2D0-AB97EDF221CC}</x14:id>
        </ext>
      </extLst>
    </cfRule>
  </conditionalFormatting>
  <conditionalFormatting sqref="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{EB59CFC0-FC71-409E-91A5-5E28A3A6E405}</x14:id>
        </ext>
      </extLst>
    </cfRule>
  </conditionalFormatting>
  <dataValidations count="3">
    <dataValidation allowBlank="1" showInputMessage="1" showErrorMessage="1" promptTitle="Siplace Automation" prompt="Reduces 1.4 seconds in total " sqref="B26:B27" xr:uid="{00000000-0002-0000-0B00-000000000000}"/>
    <dataValidation allowBlank="1" showInputMessage="1" showErrorMessage="1" promptTitle="Change in type of Sealing" prompt="From Cehmical to Adhesive Tape sealing_x000a_" sqref="B38" xr:uid="{00000000-0002-0000-0B00-000001000000}"/>
    <dataValidation allowBlank="1" showInputMessage="1" showErrorMessage="1" promptTitle="Remoce the Test" prompt="Remove this test from the process as it yeilds 0% Fail Rate." sqref="B32" xr:uid="{00000000-0002-0000-0B00-000002000000}"/>
  </dataValidation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48A0DD-0AF8-43C1-B2D0-AB97EDF221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C32:I32 A32 A17:I31 A33:I40</xm:sqref>
        </x14:conditionalFormatting>
        <x14:conditionalFormatting xmlns:xm="http://schemas.microsoft.com/office/excel/2006/main">
          <x14:cfRule type="dataBar" id="{EB59CFC0-FC71-409E-91A5-5E28A3A6E4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B32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R114"/>
  <sheetViews>
    <sheetView workbookViewId="0">
      <selection activeCell="B29" sqref="B29"/>
    </sheetView>
  </sheetViews>
  <sheetFormatPr defaultColWidth="9.140625" defaultRowHeight="15" x14ac:dyDescent="0.25"/>
  <cols>
    <col min="1" max="1" width="9" style="41" customWidth="1"/>
    <col min="2" max="2" width="19.7109375" style="41" bestFit="1" customWidth="1"/>
    <col min="3" max="3" width="11" style="41" customWidth="1"/>
    <col min="4" max="4" width="17.7109375" style="41" bestFit="1" customWidth="1"/>
    <col min="5" max="5" width="19.28515625" style="41" bestFit="1" customWidth="1"/>
    <col min="6" max="6" width="15.7109375" style="41" customWidth="1"/>
    <col min="7" max="7" width="14.85546875" style="41" customWidth="1"/>
    <col min="8" max="8" width="18.140625" style="41" customWidth="1"/>
    <col min="9" max="9" width="14.28515625" style="41" bestFit="1" customWidth="1"/>
    <col min="10" max="10" width="10.85546875" style="41" bestFit="1" customWidth="1"/>
    <col min="11" max="11" width="16.28515625" style="41" bestFit="1" customWidth="1"/>
    <col min="12" max="12" width="7.7109375" style="41" bestFit="1" customWidth="1"/>
    <col min="13" max="13" width="13.28515625" style="41" bestFit="1" customWidth="1"/>
    <col min="14" max="14" width="18.140625" style="41" bestFit="1" customWidth="1"/>
    <col min="15" max="15" width="43.85546875" style="41" bestFit="1" customWidth="1"/>
    <col min="16" max="16" width="12" style="41" bestFit="1" customWidth="1"/>
    <col min="17" max="17" width="12.28515625" style="41" bestFit="1" customWidth="1"/>
    <col min="18" max="18" width="18.140625" style="41" bestFit="1" customWidth="1"/>
    <col min="19" max="16384" width="9.140625" style="41"/>
  </cols>
  <sheetData>
    <row r="1" spans="1:18" ht="23.25" x14ac:dyDescent="0.35">
      <c r="A1" s="6" t="s">
        <v>300</v>
      </c>
    </row>
    <row r="2" spans="1:18" x14ac:dyDescent="0.25">
      <c r="A2" s="41" t="s">
        <v>301</v>
      </c>
    </row>
    <row r="3" spans="1:18" ht="17.25" x14ac:dyDescent="0.25">
      <c r="A3" s="7" t="s">
        <v>214</v>
      </c>
    </row>
    <row r="4" spans="1:18" x14ac:dyDescent="0.25">
      <c r="A4" s="97">
        <f>AVERAGE('Workers AS-IS'!F22:F39)</f>
        <v>23.333333333333332</v>
      </c>
      <c r="B4" s="41" t="s">
        <v>166</v>
      </c>
    </row>
    <row r="5" spans="1:18" x14ac:dyDescent="0.25">
      <c r="A5" s="98">
        <f>A4/60/60</f>
        <v>6.4814814814814813E-3</v>
      </c>
      <c r="B5" s="41" t="s">
        <v>215</v>
      </c>
    </row>
    <row r="7" spans="1:18" x14ac:dyDescent="0.25">
      <c r="A7" s="57" t="s">
        <v>188</v>
      </c>
      <c r="B7" s="57" t="s">
        <v>189</v>
      </c>
      <c r="C7" s="57" t="s">
        <v>190</v>
      </c>
      <c r="D7" s="57" t="s">
        <v>191</v>
      </c>
      <c r="E7" s="57" t="s">
        <v>192</v>
      </c>
      <c r="F7" s="57" t="s">
        <v>193</v>
      </c>
      <c r="G7" s="57" t="s">
        <v>194</v>
      </c>
      <c r="H7" s="57" t="s">
        <v>219</v>
      </c>
      <c r="I7" s="57" t="s">
        <v>195</v>
      </c>
      <c r="J7" s="72" t="s">
        <v>220</v>
      </c>
      <c r="K7" s="72" t="s">
        <v>221</v>
      </c>
      <c r="L7" s="72" t="s">
        <v>222</v>
      </c>
      <c r="M7" s="72" t="s">
        <v>223</v>
      </c>
      <c r="N7" s="72" t="s">
        <v>280</v>
      </c>
      <c r="O7" s="72" t="s">
        <v>224</v>
      </c>
      <c r="P7" s="72" t="s">
        <v>225</v>
      </c>
      <c r="Q7" s="72" t="s">
        <v>226</v>
      </c>
      <c r="R7" s="72" t="s">
        <v>227</v>
      </c>
    </row>
    <row r="8" spans="1:18" x14ac:dyDescent="0.25">
      <c r="A8" s="58">
        <v>1</v>
      </c>
      <c r="B8" s="59" t="s">
        <v>196</v>
      </c>
      <c r="C8" s="59">
        <v>14</v>
      </c>
      <c r="D8" s="58">
        <f>C8</f>
        <v>14</v>
      </c>
      <c r="E8" s="60">
        <f t="shared" ref="E8:E31" si="0">C8*$A$5</f>
        <v>9.0740740740740733E-2</v>
      </c>
      <c r="F8" s="60">
        <f>E8</f>
        <v>9.0740740740740733E-2</v>
      </c>
      <c r="G8" s="59" t="s">
        <v>38</v>
      </c>
      <c r="H8" s="60">
        <f>VLOOKUP($G8,Table114[[Part Number]:[Cost (CAD)]], 11,FALSE)</f>
        <v>6.61</v>
      </c>
      <c r="I8" s="60">
        <f t="shared" ref="I8:I31" si="1">$E8+$H8+IF(ISNUMBER(I7),I7,0)</f>
        <v>6.7007407407407413</v>
      </c>
      <c r="J8" s="41">
        <v>0</v>
      </c>
      <c r="L8" s="73"/>
      <c r="M8" s="74"/>
      <c r="N8" s="75"/>
      <c r="O8" s="73">
        <f>Table571324[[#This Row],[Duration]]+Table571324[[#This Row],[Time]]+IF(ISNUMBER(O7),O7,0)</f>
        <v>14</v>
      </c>
      <c r="P8" s="75">
        <f>Table571324[[#This Row],[Labour Task Value]]+Table571324[[#This Row],[Component Cost]]+Table571324[[#This Row],[Component Cost2]]+Table571324[[#This Row],[Labour cost]]+IF(ISNUMBER(P7),P7,0)</f>
        <v>6.7007407407407413</v>
      </c>
      <c r="Q8" s="76">
        <f>1-Table571324[[#This Row],[Fail Rate]]</f>
        <v>1</v>
      </c>
      <c r="R8" s="76">
        <f>IF(ISNUMBER(R7),Q8*R7, Q8)</f>
        <v>1</v>
      </c>
    </row>
    <row r="9" spans="1:18" x14ac:dyDescent="0.25">
      <c r="A9" s="110">
        <v>2</v>
      </c>
      <c r="B9" s="109" t="s">
        <v>197</v>
      </c>
      <c r="C9" s="109">
        <v>10</v>
      </c>
      <c r="D9" s="110">
        <f>D8+C9</f>
        <v>24</v>
      </c>
      <c r="E9" s="111">
        <f t="shared" si="0"/>
        <v>6.4814814814814811E-2</v>
      </c>
      <c r="F9" s="111">
        <f>F8+E9</f>
        <v>0.15555555555555556</v>
      </c>
      <c r="G9" s="109" t="s">
        <v>38</v>
      </c>
      <c r="H9" s="111"/>
      <c r="I9" s="111">
        <f t="shared" si="1"/>
        <v>6.7655555555555562</v>
      </c>
      <c r="J9" s="114">
        <v>0</v>
      </c>
      <c r="K9" s="106" t="s">
        <v>228</v>
      </c>
      <c r="L9" s="106">
        <v>0</v>
      </c>
      <c r="M9" s="117">
        <f>Table571324[[#This Row],[Time]]*$A$5</f>
        <v>0</v>
      </c>
      <c r="N9" s="118">
        <f>H39</f>
        <v>6.61</v>
      </c>
      <c r="O9" s="73">
        <f>Table571324[[#This Row],[Duration]]+Table571324[[#This Row],[Time]]+IF(ISNUMBER(O8),O8,0)</f>
        <v>24</v>
      </c>
      <c r="P9" s="118">
        <f>Table571324[[#This Row],[Labour Task Value]]+Table571324[[#This Row],[Component Cost]]+Table571324[[#This Row],[Component Cost2]]+Table571324[[#This Row],[Labour cost]]+IF(ISNUMBER(P8),P8,0)</f>
        <v>13.375555555555557</v>
      </c>
      <c r="Q9" s="115">
        <f>1-Table571324[[#This Row],[Fail Rate]]</f>
        <v>1</v>
      </c>
      <c r="R9" s="76">
        <f t="shared" ref="R9:R31" si="2">IF(ISNUMBER(R8),Q9*R8, Q9)</f>
        <v>1</v>
      </c>
    </row>
    <row r="10" spans="1:18" x14ac:dyDescent="0.25">
      <c r="A10" s="58">
        <v>3</v>
      </c>
      <c r="B10" s="59" t="s">
        <v>198</v>
      </c>
      <c r="C10" s="59">
        <v>3</v>
      </c>
      <c r="D10" s="58">
        <f t="shared" ref="D10:D31" si="3">D9+C10</f>
        <v>27</v>
      </c>
      <c r="E10" s="60">
        <f t="shared" si="0"/>
        <v>1.9444444444444445E-2</v>
      </c>
      <c r="F10" s="60">
        <f t="shared" ref="F10:F31" si="4">F9+E10</f>
        <v>0.17499999999999999</v>
      </c>
      <c r="G10" s="64" t="s">
        <v>40</v>
      </c>
      <c r="H10" s="60">
        <f>VLOOKUP($G10,Table114[[Part Number]:[Cost (CAD)]], 11,FALSE)</f>
        <v>0.08</v>
      </c>
      <c r="I10" s="60">
        <f t="shared" si="1"/>
        <v>6.8650000000000002</v>
      </c>
      <c r="J10" s="41">
        <v>0</v>
      </c>
      <c r="L10" s="73"/>
      <c r="M10" s="74"/>
      <c r="N10" s="75"/>
      <c r="O10" s="73">
        <f>Table571324[[#This Row],[Duration]]+Table571324[[#This Row],[Time]]+IF(ISNUMBER(O9),O9,0)</f>
        <v>27</v>
      </c>
      <c r="P10" s="75">
        <f>Table571324[[#This Row],[Labour Task Value]]+Table571324[[#This Row],[Component Cost]]+Table571324[[#This Row],[Component Cost2]]+Table571324[[#This Row],[Labour cost]]+IF(ISNUMBER(P9),P9,0)</f>
        <v>13.475000000000001</v>
      </c>
      <c r="Q10" s="76">
        <f>1-Table571324[[#This Row],[Fail Rate]]</f>
        <v>1</v>
      </c>
      <c r="R10" s="76">
        <f t="shared" si="2"/>
        <v>1</v>
      </c>
    </row>
    <row r="11" spans="1:18" x14ac:dyDescent="0.25">
      <c r="A11" s="61">
        <v>4</v>
      </c>
      <c r="B11" s="62" t="s">
        <v>199</v>
      </c>
      <c r="C11" s="62">
        <v>7</v>
      </c>
      <c r="D11" s="61">
        <f t="shared" si="3"/>
        <v>34</v>
      </c>
      <c r="E11" s="63">
        <f t="shared" si="0"/>
        <v>4.5370370370370366E-2</v>
      </c>
      <c r="F11" s="63">
        <f t="shared" si="4"/>
        <v>0.22037037037037036</v>
      </c>
      <c r="G11" s="62" t="s">
        <v>62</v>
      </c>
      <c r="H11" s="60">
        <f>VLOOKUP($G11,Table114[[Part Number]:[Cost (CAD)]], 11,FALSE)</f>
        <v>3</v>
      </c>
      <c r="I11" s="63">
        <f t="shared" si="1"/>
        <v>9.9103703703703712</v>
      </c>
      <c r="J11" s="41">
        <v>0</v>
      </c>
      <c r="L11" s="73"/>
      <c r="M11" s="74"/>
      <c r="N11" s="75"/>
      <c r="O11" s="73">
        <f>Table571324[[#This Row],[Duration]]+Table571324[[#This Row],[Time]]+IF(ISNUMBER(O10),O10,0)</f>
        <v>34</v>
      </c>
      <c r="P11" s="75">
        <f>Table571324[[#This Row],[Labour Task Value]]+Table571324[[#This Row],[Component Cost]]+Table571324[[#This Row],[Component Cost2]]+Table571324[[#This Row],[Labour cost]]+IF(ISNUMBER(P10),P10,0)</f>
        <v>16.520370370370372</v>
      </c>
      <c r="Q11" s="76">
        <f>1-Table571324[[#This Row],[Fail Rate]]</f>
        <v>1</v>
      </c>
      <c r="R11" s="76">
        <f t="shared" si="2"/>
        <v>1</v>
      </c>
    </row>
    <row r="12" spans="1:18" x14ac:dyDescent="0.25">
      <c r="A12" s="58">
        <v>5</v>
      </c>
      <c r="B12" s="59" t="s">
        <v>200</v>
      </c>
      <c r="C12" s="59">
        <v>2</v>
      </c>
      <c r="D12" s="58">
        <f t="shared" si="3"/>
        <v>36</v>
      </c>
      <c r="E12" s="60">
        <f t="shared" si="0"/>
        <v>1.2962962962962963E-2</v>
      </c>
      <c r="F12" s="60">
        <f t="shared" si="4"/>
        <v>0.23333333333333331</v>
      </c>
      <c r="G12" s="58"/>
      <c r="H12" s="60"/>
      <c r="I12" s="60">
        <f t="shared" si="1"/>
        <v>9.9233333333333338</v>
      </c>
      <c r="J12" s="77">
        <v>5.1999999999999998E-2</v>
      </c>
      <c r="K12" s="41" t="s">
        <v>229</v>
      </c>
      <c r="L12" s="73">
        <f>D53</f>
        <v>29</v>
      </c>
      <c r="M12" s="75">
        <f>Table571324[[#This Row],[Time]]*$A$5</f>
        <v>0.18796296296296297</v>
      </c>
      <c r="N12" s="75">
        <f>H48</f>
        <v>9.6900000000000013</v>
      </c>
      <c r="O12" s="73">
        <f>Table571324[[#This Row],[Duration]]+Table571324[[#This Row],[Time]]+IF(ISNUMBER(O11),O11,0)</f>
        <v>65</v>
      </c>
      <c r="P12" s="75">
        <f>Table571324[[#This Row],[Labour Task Value]]+Table571324[[#This Row],[Component Cost]]+Table571324[[#This Row],[Component Cost2]]+Table571324[[#This Row],[Labour cost]]+IF(ISNUMBER(P11),P11,0)</f>
        <v>26.4112962962963</v>
      </c>
      <c r="Q12" s="76">
        <f>1-Table571324[[#This Row],[Fail Rate]]</f>
        <v>0.94799999999999995</v>
      </c>
      <c r="R12" s="76">
        <f t="shared" si="2"/>
        <v>0.94799999999999995</v>
      </c>
    </row>
    <row r="13" spans="1:18" x14ac:dyDescent="0.25">
      <c r="A13" s="61">
        <v>6</v>
      </c>
      <c r="B13" s="62" t="s">
        <v>201</v>
      </c>
      <c r="C13" s="62">
        <v>6.6</v>
      </c>
      <c r="D13" s="61">
        <f t="shared" si="3"/>
        <v>42.6</v>
      </c>
      <c r="E13" s="63">
        <f t="shared" si="0"/>
        <v>4.2777777777777776E-2</v>
      </c>
      <c r="F13" s="63">
        <f t="shared" si="4"/>
        <v>0.27611111111111108</v>
      </c>
      <c r="G13" s="62" t="s">
        <v>58</v>
      </c>
      <c r="H13" s="60">
        <f>VLOOKUP($G13,Table114[[Part Number]:[Cost (CAD)]], 11,FALSE)</f>
        <v>4</v>
      </c>
      <c r="I13" s="63">
        <f t="shared" si="1"/>
        <v>13.966111111111111</v>
      </c>
      <c r="J13" s="41">
        <v>0</v>
      </c>
      <c r="L13" s="73"/>
      <c r="M13" s="74"/>
      <c r="N13" s="75"/>
      <c r="O13" s="73">
        <f>Table571324[[#This Row],[Duration]]+Table571324[[#This Row],[Time]]+IF(ISNUMBER(O12),O12,0)</f>
        <v>71.599999999999994</v>
      </c>
      <c r="P13" s="75">
        <f>Table571324[[#This Row],[Labour Task Value]]+Table571324[[#This Row],[Component Cost]]+Table571324[[#This Row],[Component Cost2]]+Table571324[[#This Row],[Labour cost]]+IF(ISNUMBER(P12),P12,0)</f>
        <v>30.454074074074079</v>
      </c>
      <c r="Q13" s="76">
        <f>1-Table571324[[#This Row],[Fail Rate]]</f>
        <v>1</v>
      </c>
      <c r="R13" s="76">
        <f t="shared" si="2"/>
        <v>0.94799999999999995</v>
      </c>
    </row>
    <row r="14" spans="1:18" x14ac:dyDescent="0.25">
      <c r="A14" s="58">
        <v>7</v>
      </c>
      <c r="B14" s="59" t="s">
        <v>202</v>
      </c>
      <c r="C14" s="59">
        <v>20</v>
      </c>
      <c r="D14" s="58">
        <f t="shared" si="3"/>
        <v>62.6</v>
      </c>
      <c r="E14" s="60">
        <f t="shared" si="0"/>
        <v>0.12962962962962962</v>
      </c>
      <c r="F14" s="60">
        <f t="shared" si="4"/>
        <v>0.40574074074074074</v>
      </c>
      <c r="G14" s="59" t="s">
        <v>46</v>
      </c>
      <c r="H14" s="60">
        <f>VLOOKUP($G14,Table114[[Part Number]:[Cost (CAD)]], 11,FALSE)</f>
        <v>14.99</v>
      </c>
      <c r="I14" s="60">
        <f t="shared" si="1"/>
        <v>29.085740740740739</v>
      </c>
      <c r="J14" s="41">
        <v>0</v>
      </c>
      <c r="L14" s="73"/>
      <c r="M14" s="74"/>
      <c r="N14" s="75"/>
      <c r="O14" s="73">
        <f>Table571324[[#This Row],[Duration]]+Table571324[[#This Row],[Time]]+IF(ISNUMBER(O13),O13,0)</f>
        <v>91.6</v>
      </c>
      <c r="P14" s="75">
        <f>Table571324[[#This Row],[Labour Task Value]]+Table571324[[#This Row],[Component Cost]]+Table571324[[#This Row],[Component Cost2]]+Table571324[[#This Row],[Labour cost]]+IF(ISNUMBER(P13),P13,0)</f>
        <v>45.573703703703707</v>
      </c>
      <c r="Q14" s="76">
        <f>1-Table571324[[#This Row],[Fail Rate]]</f>
        <v>1</v>
      </c>
      <c r="R14" s="76">
        <f t="shared" si="2"/>
        <v>0.94799999999999995</v>
      </c>
    </row>
    <row r="15" spans="1:18" x14ac:dyDescent="0.25">
      <c r="A15" s="61">
        <v>8</v>
      </c>
      <c r="B15" s="62" t="s">
        <v>203</v>
      </c>
      <c r="C15" s="62">
        <v>30</v>
      </c>
      <c r="D15" s="61">
        <f t="shared" si="3"/>
        <v>92.6</v>
      </c>
      <c r="E15" s="63">
        <f t="shared" si="0"/>
        <v>0.19444444444444445</v>
      </c>
      <c r="F15" s="63">
        <f t="shared" si="4"/>
        <v>0.60018518518518515</v>
      </c>
      <c r="G15" s="61"/>
      <c r="H15" s="63"/>
      <c r="I15" s="63">
        <f t="shared" si="1"/>
        <v>29.280185185185182</v>
      </c>
      <c r="J15" s="43">
        <v>0.02</v>
      </c>
      <c r="K15" s="41" t="s">
        <v>230</v>
      </c>
      <c r="L15" s="73">
        <f>D59</f>
        <v>61</v>
      </c>
      <c r="M15" s="75">
        <f>Table571324[[#This Row],[Time]]*$A$5</f>
        <v>0.39537037037037037</v>
      </c>
      <c r="N15" s="75"/>
      <c r="O15" s="73">
        <f>Table571324[[#This Row],[Duration]]+Table571324[[#This Row],[Time]]+IF(ISNUMBER(O14),O14,0)</f>
        <v>182.6</v>
      </c>
      <c r="P15" s="75">
        <f>Table571324[[#This Row],[Labour Task Value]]+Table571324[[#This Row],[Component Cost]]+Table571324[[#This Row],[Component Cost2]]+Table571324[[#This Row],[Labour cost]]+IF(ISNUMBER(P14),P14,0)</f>
        <v>46.163518518518522</v>
      </c>
      <c r="Q15" s="76">
        <f>1-Table571324[[#This Row],[Fail Rate]]</f>
        <v>0.98</v>
      </c>
      <c r="R15" s="76">
        <f t="shared" si="2"/>
        <v>0.92903999999999998</v>
      </c>
    </row>
    <row r="16" spans="1:18" x14ac:dyDescent="0.25">
      <c r="A16" s="58">
        <v>9</v>
      </c>
      <c r="B16" s="59" t="s">
        <v>204</v>
      </c>
      <c r="C16" s="59">
        <v>24</v>
      </c>
      <c r="D16" s="58">
        <f t="shared" si="3"/>
        <v>116.6</v>
      </c>
      <c r="E16" s="60">
        <f t="shared" si="0"/>
        <v>0.15555555555555556</v>
      </c>
      <c r="F16" s="60">
        <f t="shared" si="4"/>
        <v>0.75574074074074071</v>
      </c>
      <c r="G16" s="59" t="s">
        <v>62</v>
      </c>
      <c r="H16" s="60"/>
      <c r="I16" s="60">
        <f t="shared" si="1"/>
        <v>29.435740740740737</v>
      </c>
      <c r="J16" s="41">
        <v>0</v>
      </c>
      <c r="L16" s="73"/>
      <c r="M16" s="74"/>
      <c r="N16" s="75"/>
      <c r="O16" s="73">
        <f>Table571324[[#This Row],[Duration]]+Table571324[[#This Row],[Time]]+IF(ISNUMBER(O15),O15,0)</f>
        <v>206.6</v>
      </c>
      <c r="P16" s="75">
        <f>Table571324[[#This Row],[Labour Task Value]]+Table571324[[#This Row],[Component Cost]]+Table571324[[#This Row],[Component Cost2]]+Table571324[[#This Row],[Labour cost]]+IF(ISNUMBER(P15),P15,0)</f>
        <v>46.319074074074081</v>
      </c>
      <c r="Q16" s="76">
        <f>1-Table571324[[#This Row],[Fail Rate]]</f>
        <v>1</v>
      </c>
      <c r="R16" s="76">
        <f t="shared" si="2"/>
        <v>0.92903999999999998</v>
      </c>
    </row>
    <row r="17" spans="1:18" x14ac:dyDescent="0.25">
      <c r="A17" s="110">
        <v>10</v>
      </c>
      <c r="B17" s="109" t="s">
        <v>205</v>
      </c>
      <c r="C17" s="109">
        <v>0.7</v>
      </c>
      <c r="D17" s="110">
        <f t="shared" si="3"/>
        <v>117.3</v>
      </c>
      <c r="E17" s="111">
        <f t="shared" si="0"/>
        <v>4.5370370370370365E-3</v>
      </c>
      <c r="F17" s="111">
        <f t="shared" si="4"/>
        <v>0.76027777777777772</v>
      </c>
      <c r="G17" s="109" t="s">
        <v>53</v>
      </c>
      <c r="H17" s="111">
        <f>VLOOKUP($G17,Table114[[Part Number]:[Cost (CAD)]], 11,FALSE)</f>
        <v>0.56999999999999995</v>
      </c>
      <c r="I17" s="111">
        <f t="shared" si="1"/>
        <v>30.010277777777773</v>
      </c>
      <c r="J17" s="106">
        <v>0</v>
      </c>
      <c r="K17" s="106"/>
      <c r="L17" s="106"/>
      <c r="M17" s="117"/>
      <c r="N17" s="118"/>
      <c r="O17" s="106">
        <f>Table571324[[#This Row],[Duration]]+Table571324[[#This Row],[Time]]+IF(ISNUMBER(O16),O16,0)</f>
        <v>207.29999999999998</v>
      </c>
      <c r="P17" s="118">
        <f>Table571324[[#This Row],[Labour Task Value]]+Table571324[[#This Row],[Component Cost]]+Table571324[[#This Row],[Component Cost2]]+Table571324[[#This Row],[Labour cost]]+IF(ISNUMBER(P16),P16,0)</f>
        <v>46.89361111111112</v>
      </c>
      <c r="Q17" s="115">
        <f>1-Table571324[[#This Row],[Fail Rate]]</f>
        <v>1</v>
      </c>
      <c r="R17" s="76">
        <f t="shared" si="2"/>
        <v>0.92903999999999998</v>
      </c>
    </row>
    <row r="18" spans="1:18" x14ac:dyDescent="0.25">
      <c r="A18" s="110">
        <v>11</v>
      </c>
      <c r="B18" s="109" t="s">
        <v>206</v>
      </c>
      <c r="C18" s="109">
        <v>0.7</v>
      </c>
      <c r="D18" s="110">
        <f t="shared" si="3"/>
        <v>118</v>
      </c>
      <c r="E18" s="111">
        <f t="shared" si="0"/>
        <v>4.5370370370370365E-3</v>
      </c>
      <c r="F18" s="111">
        <f t="shared" si="4"/>
        <v>0.76481481481481473</v>
      </c>
      <c r="G18" s="110"/>
      <c r="H18" s="111"/>
      <c r="I18" s="111">
        <f t="shared" si="1"/>
        <v>30.014814814814809</v>
      </c>
      <c r="J18" s="106">
        <v>0</v>
      </c>
      <c r="K18" s="106"/>
      <c r="L18" s="106"/>
      <c r="M18" s="117"/>
      <c r="N18" s="118"/>
      <c r="O18" s="106">
        <f>Table571324[[#This Row],[Duration]]+Table571324[[#This Row],[Time]]+IF(ISNUMBER(O17),O17,0)</f>
        <v>207.99999999999997</v>
      </c>
      <c r="P18" s="118">
        <f>Table571324[[#This Row],[Labour Task Value]]+Table571324[[#This Row],[Component Cost]]+Table571324[[#This Row],[Component Cost2]]+Table571324[[#This Row],[Labour cost]]+IF(ISNUMBER(P17),P17,0)</f>
        <v>46.898148148148159</v>
      </c>
      <c r="Q18" s="115">
        <f>1-Table571324[[#This Row],[Fail Rate]]</f>
        <v>1</v>
      </c>
      <c r="R18" s="76">
        <f t="shared" si="2"/>
        <v>0.92903999999999998</v>
      </c>
    </row>
    <row r="19" spans="1:18" x14ac:dyDescent="0.25">
      <c r="A19" s="61">
        <v>12</v>
      </c>
      <c r="B19" s="41" t="s">
        <v>200</v>
      </c>
      <c r="C19" s="62">
        <v>2</v>
      </c>
      <c r="D19" s="61">
        <f t="shared" si="3"/>
        <v>120</v>
      </c>
      <c r="E19" s="63">
        <f t="shared" si="0"/>
        <v>1.2962962962962963E-2</v>
      </c>
      <c r="F19" s="63">
        <f t="shared" si="4"/>
        <v>0.77777777777777768</v>
      </c>
      <c r="G19" s="61"/>
      <c r="H19" s="63"/>
      <c r="I19" s="63">
        <f t="shared" si="1"/>
        <v>30.027777777777771</v>
      </c>
      <c r="J19" s="115">
        <v>3.0000000000000001E-3</v>
      </c>
      <c r="K19" s="106" t="s">
        <v>231</v>
      </c>
      <c r="L19" s="106">
        <f>D73</f>
        <v>62</v>
      </c>
      <c r="M19" s="117">
        <f>Table571324[[#This Row],[Time]]*$A$5</f>
        <v>0.40185185185185185</v>
      </c>
      <c r="N19" s="118">
        <f>H68</f>
        <v>5.03</v>
      </c>
      <c r="O19" s="73">
        <f>Table571324[[#This Row],[Duration]]+Table571324[[#This Row],[Time]]+IF(ISNUMBER(O18),O18,0)</f>
        <v>272</v>
      </c>
      <c r="P19" s="118">
        <f>Table571324[[#This Row],[Labour Task Value]]+Table571324[[#This Row],[Component Cost]]+Table571324[[#This Row],[Component Cost2]]+Table571324[[#This Row],[Labour cost]]+IF(ISNUMBER(P18),P18,0)</f>
        <v>52.342962962962972</v>
      </c>
      <c r="Q19" s="115">
        <f>1-Table571324[[#This Row],[Fail Rate]]</f>
        <v>0.997</v>
      </c>
      <c r="R19" s="76">
        <f t="shared" si="2"/>
        <v>0.92625287999999995</v>
      </c>
    </row>
    <row r="20" spans="1:18" x14ac:dyDescent="0.25">
      <c r="A20" s="58">
        <v>13</v>
      </c>
      <c r="B20" s="59" t="s">
        <v>207</v>
      </c>
      <c r="C20" s="59">
        <v>4.4000000000000004</v>
      </c>
      <c r="D20" s="58">
        <f t="shared" si="3"/>
        <v>124.4</v>
      </c>
      <c r="E20" s="60">
        <f t="shared" si="0"/>
        <v>2.8518518518518519E-2</v>
      </c>
      <c r="F20" s="60">
        <f t="shared" si="4"/>
        <v>0.80629629629629618</v>
      </c>
      <c r="G20" s="59" t="s">
        <v>49</v>
      </c>
      <c r="H20" s="60">
        <f>VLOOKUP($G20,Table114[[Part Number]:[Cost (CAD)]], 11,FALSE)</f>
        <v>4.1500000000000004</v>
      </c>
      <c r="I20" s="60">
        <f t="shared" si="1"/>
        <v>34.206296296296287</v>
      </c>
      <c r="J20" s="41">
        <v>0</v>
      </c>
      <c r="L20" s="73"/>
      <c r="M20" s="74"/>
      <c r="N20" s="75"/>
      <c r="O20" s="73">
        <f>Table571324[[#This Row],[Duration]]+Table571324[[#This Row],[Time]]+IF(ISNUMBER(O19),O19,0)</f>
        <v>276.39999999999998</v>
      </c>
      <c r="P20" s="75">
        <f>Table571324[[#This Row],[Labour Task Value]]+Table571324[[#This Row],[Component Cost]]+Table571324[[#This Row],[Component Cost2]]+Table571324[[#This Row],[Labour cost]]+IF(ISNUMBER(P19),P19,0)</f>
        <v>56.521481481481487</v>
      </c>
      <c r="Q20" s="76">
        <f>1-Table571324[[#This Row],[Fail Rate]]</f>
        <v>1</v>
      </c>
      <c r="R20" s="76">
        <f t="shared" si="2"/>
        <v>0.92625287999999995</v>
      </c>
    </row>
    <row r="21" spans="1:18" x14ac:dyDescent="0.25">
      <c r="A21" s="110">
        <v>14</v>
      </c>
      <c r="B21" s="109" t="s">
        <v>202</v>
      </c>
      <c r="C21" s="109">
        <v>0.7</v>
      </c>
      <c r="D21" s="110">
        <f t="shared" si="3"/>
        <v>125.10000000000001</v>
      </c>
      <c r="E21" s="111">
        <f t="shared" si="0"/>
        <v>4.5370370370370365E-3</v>
      </c>
      <c r="F21" s="111">
        <f t="shared" si="4"/>
        <v>0.81083333333333318</v>
      </c>
      <c r="G21" s="110" t="s">
        <v>54</v>
      </c>
      <c r="H21" s="111">
        <f>VLOOKUP($G21,Table114[[Part Number]:[Cost (CAD)]], 11,FALSE)</f>
        <v>0.31</v>
      </c>
      <c r="I21" s="111">
        <f t="shared" si="1"/>
        <v>34.520833333333321</v>
      </c>
      <c r="J21" s="106">
        <v>0</v>
      </c>
      <c r="K21" s="106"/>
      <c r="L21" s="106"/>
      <c r="M21" s="117"/>
      <c r="N21" s="118"/>
      <c r="O21" s="73">
        <f>Table571324[[#This Row],[Duration]]+Table571324[[#This Row],[Time]]+IF(ISNUMBER(O20),O20,0)</f>
        <v>277.09999999999997</v>
      </c>
      <c r="P21" s="75">
        <f>Table571324[[#This Row],[Labour Task Value]]+Table571324[[#This Row],[Component Cost]]+Table571324[[#This Row],[Component Cost2]]+Table571324[[#This Row],[Labour cost]]+IF(ISNUMBER(P20),P20,0)</f>
        <v>56.836018518518522</v>
      </c>
      <c r="Q21" s="76">
        <f>1-Table571324[[#This Row],[Fail Rate]]</f>
        <v>1</v>
      </c>
      <c r="R21" s="76">
        <f t="shared" si="2"/>
        <v>0.92625287999999995</v>
      </c>
    </row>
    <row r="22" spans="1:18" x14ac:dyDescent="0.25">
      <c r="A22" s="110">
        <v>15</v>
      </c>
      <c r="B22" s="109" t="s">
        <v>208</v>
      </c>
      <c r="C22" s="109">
        <v>0.7</v>
      </c>
      <c r="D22" s="110">
        <f t="shared" si="3"/>
        <v>125.80000000000001</v>
      </c>
      <c r="E22" s="111">
        <f t="shared" si="0"/>
        <v>4.5370370370370365E-3</v>
      </c>
      <c r="F22" s="111">
        <f t="shared" si="4"/>
        <v>0.81537037037037019</v>
      </c>
      <c r="G22" s="110"/>
      <c r="H22" s="111"/>
      <c r="I22" s="111">
        <f t="shared" si="1"/>
        <v>34.525370370370361</v>
      </c>
      <c r="J22" s="106">
        <v>0</v>
      </c>
      <c r="K22" s="106"/>
      <c r="L22" s="106"/>
      <c r="M22" s="117"/>
      <c r="N22" s="118"/>
      <c r="O22" s="73">
        <f>Table571324[[#This Row],[Duration]]+Table571324[[#This Row],[Time]]+IF(ISNUMBER(O21),O21,0)</f>
        <v>277.79999999999995</v>
      </c>
      <c r="P22" s="75">
        <f>Table571324[[#This Row],[Labour Task Value]]+Table571324[[#This Row],[Component Cost]]+Table571324[[#This Row],[Component Cost2]]+Table571324[[#This Row],[Labour cost]]+IF(ISNUMBER(P21),P21,0)</f>
        <v>56.840555555555561</v>
      </c>
      <c r="Q22" s="76">
        <f>1-Table571324[[#This Row],[Fail Rate]]</f>
        <v>1</v>
      </c>
      <c r="R22" s="76">
        <f t="shared" si="2"/>
        <v>0.92625287999999995</v>
      </c>
    </row>
    <row r="23" spans="1:18" x14ac:dyDescent="0.25">
      <c r="A23" s="61">
        <v>16</v>
      </c>
      <c r="B23" s="109" t="s">
        <v>209</v>
      </c>
      <c r="C23" s="62">
        <v>0</v>
      </c>
      <c r="D23" s="61">
        <f t="shared" si="3"/>
        <v>125.80000000000001</v>
      </c>
      <c r="E23" s="63">
        <f t="shared" si="0"/>
        <v>0</v>
      </c>
      <c r="F23" s="63">
        <f t="shared" si="4"/>
        <v>0.81537037037037019</v>
      </c>
      <c r="G23" s="61"/>
      <c r="H23" s="63"/>
      <c r="I23" s="63">
        <f t="shared" si="1"/>
        <v>34.525370370370361</v>
      </c>
      <c r="J23" s="116">
        <v>0</v>
      </c>
      <c r="K23" s="106" t="s">
        <v>232</v>
      </c>
      <c r="L23" s="106">
        <v>0</v>
      </c>
      <c r="M23" s="117">
        <f>Table571324[[#This Row],[Time]]*$A$5</f>
        <v>0</v>
      </c>
      <c r="N23" s="118">
        <f>H80</f>
        <v>0.87999999999999989</v>
      </c>
      <c r="O23" s="73">
        <f>Table571324[[#This Row],[Duration]]+Table571324[[#This Row],[Time]]+IF(ISNUMBER(O22),O22,0)</f>
        <v>277.79999999999995</v>
      </c>
      <c r="P23" s="118">
        <f>Table571324[[#This Row],[Labour Task Value]]+Table571324[[#This Row],[Component Cost]]+Table571324[[#This Row],[Component Cost2]]+Table571324[[#This Row],[Labour cost]]+IF(ISNUMBER(P22),P22,0)</f>
        <v>57.720555555555563</v>
      </c>
      <c r="Q23" s="115">
        <f>1-Table571324[[#This Row],[Fail Rate]]</f>
        <v>1</v>
      </c>
      <c r="R23" s="76">
        <f t="shared" si="2"/>
        <v>0.92625287999999995</v>
      </c>
    </row>
    <row r="24" spans="1:18" x14ac:dyDescent="0.25">
      <c r="A24" s="58">
        <v>17</v>
      </c>
      <c r="B24" s="59" t="s">
        <v>198</v>
      </c>
      <c r="C24" s="59">
        <v>1.2</v>
      </c>
      <c r="D24" s="58">
        <f>D23+C24</f>
        <v>127.00000000000001</v>
      </c>
      <c r="E24" s="60">
        <f t="shared" si="0"/>
        <v>7.7777777777777776E-3</v>
      </c>
      <c r="F24" s="60">
        <f>F23+E24</f>
        <v>0.82314814814814796</v>
      </c>
      <c r="G24" s="59" t="s">
        <v>60</v>
      </c>
      <c r="H24" s="60">
        <f>VLOOKUP($G24,Table114[[Part Number]:[Cost (CAD)]], 11,FALSE)</f>
        <v>2</v>
      </c>
      <c r="I24" s="60">
        <f>$E24+$H24+IF(ISNUMBER(I23),I23,0)</f>
        <v>36.533148148148136</v>
      </c>
      <c r="J24" s="41">
        <v>0</v>
      </c>
      <c r="L24" s="73"/>
      <c r="M24" s="74"/>
      <c r="N24" s="75"/>
      <c r="O24" s="73">
        <f>Table571324[[#This Row],[Duration]]+Table571324[[#This Row],[Time]]+IF(ISNUMBER(O23),O23,0)</f>
        <v>278.99999999999994</v>
      </c>
      <c r="P24" s="75">
        <f>Table571324[[#This Row],[Labour Task Value]]+Table571324[[#This Row],[Component Cost]]+Table571324[[#This Row],[Component Cost2]]+Table571324[[#This Row],[Labour cost]]+IF(ISNUMBER(P23),P23,0)</f>
        <v>59.728333333333339</v>
      </c>
      <c r="Q24" s="76">
        <f>1-Table571324[[#This Row],[Fail Rate]]</f>
        <v>1</v>
      </c>
      <c r="R24" s="76">
        <f t="shared" si="2"/>
        <v>0.92625287999999995</v>
      </c>
    </row>
    <row r="25" spans="1:18" x14ac:dyDescent="0.25">
      <c r="A25" s="61">
        <v>18</v>
      </c>
      <c r="B25" s="62" t="s">
        <v>198</v>
      </c>
      <c r="C25" s="62">
        <v>1.2</v>
      </c>
      <c r="D25" s="61">
        <f t="shared" si="3"/>
        <v>128.20000000000002</v>
      </c>
      <c r="E25" s="63">
        <f t="shared" si="0"/>
        <v>7.7777777777777776E-3</v>
      </c>
      <c r="F25" s="63">
        <f t="shared" si="4"/>
        <v>0.83092592592592573</v>
      </c>
      <c r="G25" s="62" t="s">
        <v>50</v>
      </c>
      <c r="H25" s="60">
        <f>VLOOKUP($G25,Table114[[Part Number]:[Cost (CAD)]], 11,FALSE)</f>
        <v>1.88</v>
      </c>
      <c r="I25" s="63">
        <f t="shared" si="1"/>
        <v>38.420925925925914</v>
      </c>
      <c r="J25" s="41">
        <v>0</v>
      </c>
      <c r="L25" s="73"/>
      <c r="M25" s="74"/>
      <c r="N25" s="75"/>
      <c r="O25" s="73">
        <f>Table571324[[#This Row],[Duration]]+Table571324[[#This Row],[Time]]+IF(ISNUMBER(O24),O24,0)</f>
        <v>280.19999999999993</v>
      </c>
      <c r="P25" s="75">
        <f>Table571324[[#This Row],[Labour Task Value]]+Table571324[[#This Row],[Component Cost]]+Table571324[[#This Row],[Component Cost2]]+Table571324[[#This Row],[Labour cost]]+IF(ISNUMBER(P24),P24,0)</f>
        <v>61.616111111111117</v>
      </c>
      <c r="Q25" s="76">
        <f>1-Table571324[[#This Row],[Fail Rate]]</f>
        <v>1</v>
      </c>
      <c r="R25" s="76">
        <f t="shared" si="2"/>
        <v>0.92625287999999995</v>
      </c>
    </row>
    <row r="26" spans="1:18" x14ac:dyDescent="0.25">
      <c r="A26" s="58">
        <v>19</v>
      </c>
      <c r="B26" s="59" t="s">
        <v>201</v>
      </c>
      <c r="C26" s="59">
        <v>12</v>
      </c>
      <c r="D26" s="58">
        <f t="shared" si="3"/>
        <v>140.20000000000002</v>
      </c>
      <c r="E26" s="60">
        <f t="shared" si="0"/>
        <v>7.7777777777777779E-2</v>
      </c>
      <c r="F26" s="60">
        <f t="shared" si="4"/>
        <v>0.90870370370370357</v>
      </c>
      <c r="G26" s="59" t="s">
        <v>43</v>
      </c>
      <c r="H26" s="60">
        <f>VLOOKUP($G26,Table114[[Part Number]:[Cost (CAD)]], 11,FALSE)</f>
        <v>17.420000000000002</v>
      </c>
      <c r="I26" s="60">
        <f t="shared" si="1"/>
        <v>55.918703703703699</v>
      </c>
      <c r="J26" s="43">
        <v>0.03</v>
      </c>
      <c r="K26" s="41" t="s">
        <v>233</v>
      </c>
      <c r="L26" s="73">
        <f>D97</f>
        <v>34.4</v>
      </c>
      <c r="M26" s="75">
        <f>Table571324[[#This Row],[Time]]*$A$5</f>
        <v>0.22296296296296295</v>
      </c>
      <c r="N26" s="75">
        <f>H92</f>
        <v>21.3</v>
      </c>
      <c r="O26" s="73">
        <f>Table571324[[#This Row],[Duration]]+Table571324[[#This Row],[Time]]+IF(ISNUMBER(O25),O25,0)</f>
        <v>326.59999999999991</v>
      </c>
      <c r="P26" s="75">
        <f>Table571324[[#This Row],[Labour Task Value]]+Table571324[[#This Row],[Component Cost]]+Table571324[[#This Row],[Component Cost2]]+Table571324[[#This Row],[Labour cost]]+IF(ISNUMBER(P25),P25,0)</f>
        <v>100.63685185185186</v>
      </c>
      <c r="Q26" s="76">
        <f>1-Table571324[[#This Row],[Fail Rate]]</f>
        <v>0.97</v>
      </c>
      <c r="R26" s="76">
        <f t="shared" si="2"/>
        <v>0.89846529359999994</v>
      </c>
    </row>
    <row r="27" spans="1:18" x14ac:dyDescent="0.25">
      <c r="A27" s="61">
        <v>20</v>
      </c>
      <c r="B27" s="62" t="s">
        <v>198</v>
      </c>
      <c r="C27" s="62">
        <v>8</v>
      </c>
      <c r="D27" s="61">
        <f t="shared" si="3"/>
        <v>148.20000000000002</v>
      </c>
      <c r="E27" s="63">
        <f t="shared" si="0"/>
        <v>5.185185185185185E-2</v>
      </c>
      <c r="F27" s="63">
        <f t="shared" si="4"/>
        <v>0.96055555555555538</v>
      </c>
      <c r="G27" s="62" t="s">
        <v>56</v>
      </c>
      <c r="H27" s="60">
        <f>VLOOKUP($G27,Table114[[Part Number]:[Cost (CAD)]], 11,FALSE)</f>
        <v>38.15</v>
      </c>
      <c r="I27" s="63">
        <f t="shared" si="1"/>
        <v>94.120555555555541</v>
      </c>
      <c r="J27" s="41">
        <v>0</v>
      </c>
      <c r="L27" s="73"/>
      <c r="M27" s="74"/>
      <c r="N27" s="75"/>
      <c r="O27" s="73">
        <f>Table571324[[#This Row],[Duration]]+Table571324[[#This Row],[Time]]+IF(ISNUMBER(O26),O26,0)</f>
        <v>334.59999999999991</v>
      </c>
      <c r="P27" s="75">
        <f>Table571324[[#This Row],[Labour Task Value]]+Table571324[[#This Row],[Component Cost]]+Table571324[[#This Row],[Component Cost2]]+Table571324[[#This Row],[Labour cost]]+IF(ISNUMBER(P26),P26,0)</f>
        <v>138.83870370370371</v>
      </c>
      <c r="Q27" s="76">
        <f>1-Table571324[[#This Row],[Fail Rate]]</f>
        <v>1</v>
      </c>
      <c r="R27" s="76">
        <f t="shared" si="2"/>
        <v>0.89846529359999994</v>
      </c>
    </row>
    <row r="28" spans="1:18" x14ac:dyDescent="0.25">
      <c r="A28" s="58">
        <v>21</v>
      </c>
      <c r="B28" s="59" t="s">
        <v>210</v>
      </c>
      <c r="C28" s="59">
        <v>13.3</v>
      </c>
      <c r="D28" s="58">
        <f t="shared" si="3"/>
        <v>161.50000000000003</v>
      </c>
      <c r="E28" s="60">
        <f t="shared" si="0"/>
        <v>8.6203703703703699E-2</v>
      </c>
      <c r="F28" s="60">
        <f t="shared" si="4"/>
        <v>1.0467592592592592</v>
      </c>
      <c r="G28" s="59" t="s">
        <v>13</v>
      </c>
      <c r="H28" s="60"/>
      <c r="I28" s="60">
        <f t="shared" si="1"/>
        <v>94.206759259259243</v>
      </c>
      <c r="J28" s="41">
        <v>0</v>
      </c>
      <c r="L28" s="73"/>
      <c r="M28" s="74"/>
      <c r="N28" s="75"/>
      <c r="O28" s="73">
        <f>Table571324[[#This Row],[Duration]]+Table571324[[#This Row],[Time]]+IF(ISNUMBER(O27),O27,0)</f>
        <v>347.89999999999992</v>
      </c>
      <c r="P28" s="75">
        <f>Table571324[[#This Row],[Labour Task Value]]+Table571324[[#This Row],[Component Cost]]+Table571324[[#This Row],[Component Cost2]]+Table571324[[#This Row],[Labour cost]]+IF(ISNUMBER(P27),P27,0)</f>
        <v>138.92490740740743</v>
      </c>
      <c r="Q28" s="76">
        <f>1-Table571324[[#This Row],[Fail Rate]]</f>
        <v>1</v>
      </c>
      <c r="R28" s="76">
        <f t="shared" si="2"/>
        <v>0.89846529359999994</v>
      </c>
    </row>
    <row r="29" spans="1:18" x14ac:dyDescent="0.25">
      <c r="A29" s="61">
        <v>22</v>
      </c>
      <c r="B29" s="109" t="s">
        <v>366</v>
      </c>
      <c r="C29" s="62">
        <v>10</v>
      </c>
      <c r="D29" s="61">
        <f t="shared" si="3"/>
        <v>171.50000000000003</v>
      </c>
      <c r="E29" s="63">
        <f t="shared" si="0"/>
        <v>6.4814814814814811E-2</v>
      </c>
      <c r="F29" s="63">
        <f t="shared" si="4"/>
        <v>1.111574074074074</v>
      </c>
      <c r="G29" s="62" t="s">
        <v>13</v>
      </c>
      <c r="H29" s="63"/>
      <c r="I29" s="63">
        <f t="shared" si="1"/>
        <v>94.271574074074053</v>
      </c>
      <c r="J29" s="41">
        <v>0</v>
      </c>
      <c r="L29" s="73"/>
      <c r="M29" s="74"/>
      <c r="N29" s="75"/>
      <c r="O29" s="73">
        <f>Table571324[[#This Row],[Duration]]+Table571324[[#This Row],[Time]]+IF(ISNUMBER(O28),O28,0)</f>
        <v>357.89999999999992</v>
      </c>
      <c r="P29" s="75">
        <f>Table571324[[#This Row],[Labour Task Value]]+Table571324[[#This Row],[Component Cost]]+Table571324[[#This Row],[Component Cost2]]+Table571324[[#This Row],[Labour cost]]+IF(ISNUMBER(P28),P28,0)</f>
        <v>138.98972222222224</v>
      </c>
      <c r="Q29" s="76">
        <f>1-Table571324[[#This Row],[Fail Rate]]</f>
        <v>1</v>
      </c>
      <c r="R29" s="76">
        <f t="shared" si="2"/>
        <v>0.89846529359999994</v>
      </c>
    </row>
    <row r="30" spans="1:18" x14ac:dyDescent="0.25">
      <c r="A30" s="58">
        <v>23</v>
      </c>
      <c r="B30" s="109" t="s">
        <v>212</v>
      </c>
      <c r="C30" s="59">
        <v>10</v>
      </c>
      <c r="D30" s="58">
        <f t="shared" si="3"/>
        <v>181.50000000000003</v>
      </c>
      <c r="E30" s="60">
        <f t="shared" si="0"/>
        <v>6.4814814814814811E-2</v>
      </c>
      <c r="F30" s="60">
        <f t="shared" si="4"/>
        <v>1.1763888888888889</v>
      </c>
      <c r="G30" s="59" t="s">
        <v>13</v>
      </c>
      <c r="H30" s="60"/>
      <c r="I30" s="60">
        <f t="shared" si="1"/>
        <v>94.336388888888862</v>
      </c>
      <c r="J30" s="115">
        <f>(9.5/2)%</f>
        <v>4.7500000000000001E-2</v>
      </c>
      <c r="K30" s="106" t="s">
        <v>234</v>
      </c>
      <c r="L30" s="106">
        <f>D108</f>
        <v>41.6</v>
      </c>
      <c r="M30" s="117">
        <f>Table571324[[#This Row],[Time]]*$A$5</f>
        <v>0.26962962962962961</v>
      </c>
      <c r="N30" s="118">
        <f>H105</f>
        <v>9.6900000000000013</v>
      </c>
      <c r="O30" s="73">
        <f>Table571324[[#This Row],[Duration]]+Table571324[[#This Row],[Time]]+IF(ISNUMBER(O29),O29,0)</f>
        <v>409.49999999999994</v>
      </c>
      <c r="P30" s="118">
        <f>Table571324[[#This Row],[Labour Task Value]]+Table571324[[#This Row],[Component Cost]]+Table571324[[#This Row],[Component Cost2]]+Table571324[[#This Row],[Labour cost]]+IF(ISNUMBER(P29),P29,0)</f>
        <v>149.01416666666668</v>
      </c>
      <c r="Q30" s="115">
        <f>1-Table571324[[#This Row],[Fail Rate]]</f>
        <v>0.95250000000000001</v>
      </c>
      <c r="R30" s="76">
        <f t="shared" si="2"/>
        <v>0.85578819215399993</v>
      </c>
    </row>
    <row r="31" spans="1:18" x14ac:dyDescent="0.25">
      <c r="A31" s="61">
        <v>24</v>
      </c>
      <c r="B31" s="62" t="s">
        <v>213</v>
      </c>
      <c r="C31" s="62">
        <v>40</v>
      </c>
      <c r="D31" s="61">
        <f t="shared" si="3"/>
        <v>221.50000000000003</v>
      </c>
      <c r="E31" s="63">
        <f t="shared" si="0"/>
        <v>0.25925925925925924</v>
      </c>
      <c r="F31" s="63">
        <f t="shared" si="4"/>
        <v>1.4356481481481482</v>
      </c>
      <c r="G31" s="62" t="s">
        <v>13</v>
      </c>
      <c r="H31" s="63"/>
      <c r="I31" s="70">
        <f t="shared" si="1"/>
        <v>94.595648148148115</v>
      </c>
      <c r="J31" s="77">
        <v>1.7000000000000001E-2</v>
      </c>
      <c r="K31" s="41" t="s">
        <v>235</v>
      </c>
      <c r="L31" s="73">
        <f>D114</f>
        <v>10</v>
      </c>
      <c r="M31" s="75">
        <f>Table571324[[#This Row],[Time]]*$A$5</f>
        <v>6.4814814814814811E-2</v>
      </c>
      <c r="N31" s="75"/>
      <c r="O31" s="73">
        <f>Table571324[[#This Row],[Duration]]+Table571324[[#This Row],[Time]]+IF(ISNUMBER(O30),O30,0)</f>
        <v>459.49999999999994</v>
      </c>
      <c r="P31" s="75">
        <f>Table571324[[#This Row],[Labour Task Value]]+Table571324[[#This Row],[Component Cost]]+Table571324[[#This Row],[Component Cost2]]+Table571324[[#This Row],[Labour cost]]+IF(ISNUMBER(P30),P30,0)</f>
        <v>149.33824074074076</v>
      </c>
      <c r="Q31" s="76">
        <f>1-Table571324[[#This Row],[Fail Rate]]</f>
        <v>0.98299999999999998</v>
      </c>
      <c r="R31" s="76">
        <f t="shared" si="2"/>
        <v>0.84123979288738193</v>
      </c>
    </row>
    <row r="32" spans="1:18" x14ac:dyDescent="0.25">
      <c r="A32" s="65" t="s">
        <v>95</v>
      </c>
      <c r="B32" s="66"/>
      <c r="C32" s="66">
        <f>SUBTOTAL(109,Table571324[Duration])</f>
        <v>221.50000000000003</v>
      </c>
      <c r="D32" s="65"/>
      <c r="E32" s="67">
        <f>SUBTOTAL(109,Table571324[Labour Task Value])</f>
        <v>1.4356481481481482</v>
      </c>
      <c r="F32" s="67"/>
      <c r="G32" s="66"/>
      <c r="H32" s="67">
        <f>SUBTOTAL(109,Table571324[Component Cost])</f>
        <v>93.16</v>
      </c>
      <c r="I32" s="65"/>
      <c r="J32" s="65"/>
      <c r="O32" s="41">
        <f>SUBTOTAL(104,Table571324[Total Time to task with 1 fail and good repeat])</f>
        <v>459.49999999999994</v>
      </c>
    </row>
    <row r="34" spans="1:12" ht="17.25" x14ac:dyDescent="0.25">
      <c r="A34" s="7" t="s">
        <v>236</v>
      </c>
    </row>
    <row r="35" spans="1:12" x14ac:dyDescent="0.25">
      <c r="A35" s="46" t="s">
        <v>237</v>
      </c>
      <c r="B35" s="41" t="s">
        <v>189</v>
      </c>
      <c r="C35" s="46" t="s">
        <v>238</v>
      </c>
      <c r="D35" s="46" t="s">
        <v>239</v>
      </c>
      <c r="E35" s="46" t="s">
        <v>240</v>
      </c>
      <c r="F35" s="46" t="s">
        <v>241</v>
      </c>
      <c r="G35" s="41" t="s">
        <v>242</v>
      </c>
      <c r="H35" s="41" t="s">
        <v>243</v>
      </c>
      <c r="I35" s="46" t="s">
        <v>225</v>
      </c>
      <c r="K35" s="80" t="s">
        <v>194</v>
      </c>
      <c r="L35" s="80" t="s">
        <v>272</v>
      </c>
    </row>
    <row r="36" spans="1:12" x14ac:dyDescent="0.25">
      <c r="A36" s="41">
        <v>1</v>
      </c>
      <c r="B36" s="41" t="s">
        <v>244</v>
      </c>
      <c r="C36" s="46">
        <v>4</v>
      </c>
      <c r="D36" s="46">
        <f>C36</f>
        <v>4</v>
      </c>
      <c r="E36" s="79">
        <f t="shared" ref="E36:E42" si="5">C36*$A$5</f>
        <v>2.5925925925925925E-2</v>
      </c>
      <c r="F36" s="79">
        <f>E36</f>
        <v>2.5925925925925925E-2</v>
      </c>
      <c r="I36" s="79">
        <f>E36+H36</f>
        <v>2.5925925925925925E-2</v>
      </c>
      <c r="K36" s="81" t="s">
        <v>38</v>
      </c>
      <c r="L36" s="81" t="s">
        <v>44</v>
      </c>
    </row>
    <row r="37" spans="1:12" x14ac:dyDescent="0.25">
      <c r="A37" s="41">
        <v>2</v>
      </c>
      <c r="B37" s="41" t="s">
        <v>245</v>
      </c>
      <c r="C37" s="46">
        <v>2</v>
      </c>
      <c r="D37" s="46">
        <f>C37+D36</f>
        <v>6</v>
      </c>
      <c r="E37" s="79">
        <f t="shared" si="5"/>
        <v>1.2962962962962963E-2</v>
      </c>
      <c r="F37" s="79">
        <f>E37+F36</f>
        <v>3.888888888888889E-2</v>
      </c>
      <c r="I37" s="79">
        <f>E37+H37+I36</f>
        <v>3.888888888888889E-2</v>
      </c>
      <c r="K37" s="81" t="s">
        <v>40</v>
      </c>
      <c r="L37" s="81" t="s">
        <v>51</v>
      </c>
    </row>
    <row r="38" spans="1:12" x14ac:dyDescent="0.25">
      <c r="A38" s="41">
        <v>3</v>
      </c>
      <c r="B38" s="41" t="s">
        <v>244</v>
      </c>
      <c r="C38" s="46">
        <v>4</v>
      </c>
      <c r="D38" s="46">
        <f t="shared" ref="D38:D42" si="6">C38+D37</f>
        <v>10</v>
      </c>
      <c r="E38" s="79">
        <f t="shared" si="5"/>
        <v>2.5925925925925925E-2</v>
      </c>
      <c r="F38" s="79">
        <f t="shared" ref="F38:F42" si="7">E38+F37</f>
        <v>6.4814814814814811E-2</v>
      </c>
      <c r="I38" s="79">
        <f t="shared" ref="I38:I42" si="8">E38+H38+I37</f>
        <v>6.4814814814814811E-2</v>
      </c>
      <c r="K38" s="81" t="s">
        <v>43</v>
      </c>
      <c r="L38" s="81" t="s">
        <v>39</v>
      </c>
    </row>
    <row r="39" spans="1:12" x14ac:dyDescent="0.25">
      <c r="A39" s="41">
        <v>4</v>
      </c>
      <c r="B39" s="41" t="s">
        <v>246</v>
      </c>
      <c r="C39" s="46">
        <v>3</v>
      </c>
      <c r="D39" s="46">
        <f t="shared" si="6"/>
        <v>13</v>
      </c>
      <c r="E39" s="79">
        <f t="shared" si="5"/>
        <v>1.9444444444444445E-2</v>
      </c>
      <c r="F39" s="79">
        <f t="shared" si="7"/>
        <v>8.4259259259259256E-2</v>
      </c>
      <c r="G39" s="41" t="s">
        <v>44</v>
      </c>
      <c r="H39" s="79">
        <v>6.61</v>
      </c>
      <c r="I39" s="79">
        <f t="shared" si="8"/>
        <v>6.69425925925926</v>
      </c>
      <c r="K39" s="81" t="s">
        <v>46</v>
      </c>
      <c r="L39" s="81" t="s">
        <v>47</v>
      </c>
    </row>
    <row r="40" spans="1:12" x14ac:dyDescent="0.25">
      <c r="A40" s="41">
        <v>5</v>
      </c>
      <c r="B40" s="41" t="s">
        <v>244</v>
      </c>
      <c r="C40" s="46">
        <v>4</v>
      </c>
      <c r="D40" s="46">
        <f t="shared" si="6"/>
        <v>17</v>
      </c>
      <c r="E40" s="79">
        <f t="shared" si="5"/>
        <v>2.5925925925925925E-2</v>
      </c>
      <c r="F40" s="79">
        <f t="shared" si="7"/>
        <v>0.11018518518518518</v>
      </c>
      <c r="I40" s="79">
        <f t="shared" si="8"/>
        <v>6.7201851851851861</v>
      </c>
      <c r="K40" s="81" t="s">
        <v>49</v>
      </c>
      <c r="L40" s="81" t="s">
        <v>41</v>
      </c>
    </row>
    <row r="41" spans="1:12" x14ac:dyDescent="0.25">
      <c r="A41" s="41">
        <v>6</v>
      </c>
      <c r="B41" s="41" t="s">
        <v>196</v>
      </c>
      <c r="C41" s="46">
        <v>3</v>
      </c>
      <c r="D41" s="46">
        <f t="shared" si="6"/>
        <v>20</v>
      </c>
      <c r="E41" s="79">
        <f t="shared" si="5"/>
        <v>1.9444444444444445E-2</v>
      </c>
      <c r="F41" s="79">
        <f t="shared" si="7"/>
        <v>0.12962962962962962</v>
      </c>
      <c r="I41" s="79">
        <f t="shared" si="8"/>
        <v>6.739629629629631</v>
      </c>
      <c r="K41" s="81" t="s">
        <v>50</v>
      </c>
      <c r="L41" s="81" t="s">
        <v>273</v>
      </c>
    </row>
    <row r="42" spans="1:12" x14ac:dyDescent="0.25">
      <c r="A42" s="41">
        <v>7</v>
      </c>
      <c r="B42" s="41" t="s">
        <v>197</v>
      </c>
      <c r="C42" s="46">
        <v>7</v>
      </c>
      <c r="D42" s="46">
        <f t="shared" si="6"/>
        <v>27</v>
      </c>
      <c r="E42" s="79">
        <f t="shared" si="5"/>
        <v>4.5370370370370366E-2</v>
      </c>
      <c r="F42" s="79">
        <f t="shared" si="7"/>
        <v>0.17499999999999999</v>
      </c>
      <c r="I42" s="79">
        <f t="shared" si="8"/>
        <v>6.785000000000001</v>
      </c>
      <c r="K42" s="81" t="s">
        <v>53</v>
      </c>
      <c r="L42" s="81" t="s">
        <v>274</v>
      </c>
    </row>
    <row r="43" spans="1:12" x14ac:dyDescent="0.25">
      <c r="K43" s="81" t="s">
        <v>54</v>
      </c>
      <c r="L43" s="81" t="s">
        <v>275</v>
      </c>
    </row>
    <row r="44" spans="1:12" ht="17.25" x14ac:dyDescent="0.25">
      <c r="A44" s="7" t="s">
        <v>247</v>
      </c>
      <c r="K44" s="81" t="s">
        <v>56</v>
      </c>
      <c r="L44" s="81" t="s">
        <v>276</v>
      </c>
    </row>
    <row r="45" spans="1:12" x14ac:dyDescent="0.25">
      <c r="A45" s="46" t="s">
        <v>237</v>
      </c>
      <c r="B45" s="41" t="s">
        <v>189</v>
      </c>
      <c r="C45" s="46" t="s">
        <v>238</v>
      </c>
      <c r="D45" s="46" t="s">
        <v>239</v>
      </c>
      <c r="E45" s="46" t="s">
        <v>240</v>
      </c>
      <c r="F45" s="46" t="s">
        <v>241</v>
      </c>
      <c r="G45" s="41" t="s">
        <v>248</v>
      </c>
      <c r="H45" s="41" t="s">
        <v>243</v>
      </c>
      <c r="I45" s="46" t="s">
        <v>225</v>
      </c>
      <c r="K45" s="81" t="s">
        <v>58</v>
      </c>
      <c r="L45" s="81" t="s">
        <v>277</v>
      </c>
    </row>
    <row r="46" spans="1:12" x14ac:dyDescent="0.25">
      <c r="A46" s="41">
        <v>1</v>
      </c>
      <c r="B46" s="41" t="s">
        <v>244</v>
      </c>
      <c r="C46" s="46">
        <v>4</v>
      </c>
      <c r="D46" s="46">
        <f>C46</f>
        <v>4</v>
      </c>
      <c r="E46" s="79">
        <f t="shared" ref="E46:E53" si="9">C46*$A$5</f>
        <v>2.5925925925925925E-2</v>
      </c>
      <c r="F46" s="79">
        <f>E46</f>
        <v>2.5925925925925925E-2</v>
      </c>
      <c r="I46" s="79">
        <f>E46+H46</f>
        <v>2.5925925925925925E-2</v>
      </c>
      <c r="K46" s="81" t="s">
        <v>60</v>
      </c>
      <c r="L46" s="81" t="s">
        <v>278</v>
      </c>
    </row>
    <row r="47" spans="1:12" x14ac:dyDescent="0.25">
      <c r="A47" s="41">
        <v>2</v>
      </c>
      <c r="B47" s="41" t="s">
        <v>245</v>
      </c>
      <c r="C47" s="46">
        <v>2</v>
      </c>
      <c r="D47" s="46">
        <f>C47+D46</f>
        <v>6</v>
      </c>
      <c r="E47" s="79">
        <f t="shared" si="9"/>
        <v>1.2962962962962963E-2</v>
      </c>
      <c r="F47" s="79">
        <f>E47+F46</f>
        <v>3.888888888888889E-2</v>
      </c>
      <c r="I47" s="79">
        <f>E47+H47+I46</f>
        <v>3.888888888888889E-2</v>
      </c>
      <c r="K47" s="81" t="s">
        <v>62</v>
      </c>
      <c r="L47" s="81" t="s">
        <v>279</v>
      </c>
    </row>
    <row r="48" spans="1:12" x14ac:dyDescent="0.25">
      <c r="A48" s="41">
        <v>3</v>
      </c>
      <c r="B48" s="41" t="s">
        <v>244</v>
      </c>
      <c r="C48" s="46">
        <v>4</v>
      </c>
      <c r="D48" s="46">
        <f t="shared" ref="D48:D53" si="10">C48+D47</f>
        <v>10</v>
      </c>
      <c r="E48" s="79">
        <f t="shared" si="9"/>
        <v>2.5925925925925925E-2</v>
      </c>
      <c r="F48" s="79">
        <f t="shared" ref="F48:F53" si="11">E48+F47</f>
        <v>6.4814814814814811E-2</v>
      </c>
      <c r="G48" s="41" t="s">
        <v>249</v>
      </c>
      <c r="H48" s="79">
        <v>9.6900000000000013</v>
      </c>
      <c r="I48" s="79">
        <f t="shared" ref="I48:I53" si="12">E48+H48+I47</f>
        <v>9.7548148148148162</v>
      </c>
    </row>
    <row r="49" spans="1:9" x14ac:dyDescent="0.25">
      <c r="A49" s="41">
        <v>4</v>
      </c>
      <c r="B49" s="41" t="s">
        <v>246</v>
      </c>
      <c r="C49" s="46">
        <v>3</v>
      </c>
      <c r="D49" s="46">
        <f t="shared" si="10"/>
        <v>13</v>
      </c>
      <c r="E49" s="79">
        <f t="shared" si="9"/>
        <v>1.9444444444444445E-2</v>
      </c>
      <c r="F49" s="79">
        <f t="shared" si="11"/>
        <v>8.4259259259259256E-2</v>
      </c>
      <c r="I49" s="79">
        <f t="shared" si="12"/>
        <v>9.7742592592592601</v>
      </c>
    </row>
    <row r="50" spans="1:9" x14ac:dyDescent="0.25">
      <c r="A50" s="41">
        <v>5</v>
      </c>
      <c r="B50" s="41" t="s">
        <v>244</v>
      </c>
      <c r="C50" s="46">
        <v>4</v>
      </c>
      <c r="D50" s="46">
        <f t="shared" si="10"/>
        <v>17</v>
      </c>
      <c r="E50" s="79">
        <f t="shared" si="9"/>
        <v>2.5925925925925925E-2</v>
      </c>
      <c r="F50" s="79">
        <f t="shared" si="11"/>
        <v>0.11018518518518518</v>
      </c>
      <c r="I50" s="79">
        <f t="shared" si="12"/>
        <v>9.8001851851851853</v>
      </c>
    </row>
    <row r="51" spans="1:9" x14ac:dyDescent="0.25">
      <c r="A51" s="41">
        <v>6</v>
      </c>
      <c r="B51" s="41" t="s">
        <v>196</v>
      </c>
      <c r="C51" s="46">
        <v>3</v>
      </c>
      <c r="D51" s="46">
        <f t="shared" si="10"/>
        <v>20</v>
      </c>
      <c r="E51" s="79">
        <f t="shared" si="9"/>
        <v>1.9444444444444445E-2</v>
      </c>
      <c r="F51" s="79">
        <f t="shared" si="11"/>
        <v>0.12962962962962962</v>
      </c>
      <c r="I51" s="79">
        <f t="shared" si="12"/>
        <v>9.8196296296296293</v>
      </c>
    </row>
    <row r="52" spans="1:9" x14ac:dyDescent="0.25">
      <c r="A52" s="41">
        <v>7</v>
      </c>
      <c r="B52" s="41" t="s">
        <v>250</v>
      </c>
      <c r="C52" s="46">
        <v>7</v>
      </c>
      <c r="D52" s="46">
        <f t="shared" si="10"/>
        <v>27</v>
      </c>
      <c r="E52" s="79">
        <f t="shared" si="9"/>
        <v>4.5370370370370366E-2</v>
      </c>
      <c r="F52" s="79">
        <f t="shared" si="11"/>
        <v>0.17499999999999999</v>
      </c>
      <c r="I52" s="79">
        <f t="shared" si="12"/>
        <v>9.8650000000000002</v>
      </c>
    </row>
    <row r="53" spans="1:9" x14ac:dyDescent="0.25">
      <c r="A53" s="41">
        <v>8</v>
      </c>
      <c r="B53" s="41" t="s">
        <v>200</v>
      </c>
      <c r="C53" s="46">
        <v>2</v>
      </c>
      <c r="D53" s="46">
        <f t="shared" si="10"/>
        <v>29</v>
      </c>
      <c r="E53" s="79">
        <f t="shared" si="9"/>
        <v>1.2962962962962963E-2</v>
      </c>
      <c r="F53" s="79">
        <f t="shared" si="11"/>
        <v>0.18796296296296294</v>
      </c>
      <c r="I53" s="79">
        <f t="shared" si="12"/>
        <v>9.8779629629629628</v>
      </c>
    </row>
    <row r="55" spans="1:9" ht="17.25" x14ac:dyDescent="0.25">
      <c r="A55" s="7" t="s">
        <v>251</v>
      </c>
    </row>
    <row r="56" spans="1:9" x14ac:dyDescent="0.25">
      <c r="A56" s="46" t="s">
        <v>237</v>
      </c>
      <c r="B56" s="41" t="s">
        <v>189</v>
      </c>
      <c r="C56" s="46" t="s">
        <v>238</v>
      </c>
      <c r="D56" s="46" t="s">
        <v>239</v>
      </c>
      <c r="E56" s="46" t="s">
        <v>240</v>
      </c>
      <c r="F56" s="46" t="s">
        <v>241</v>
      </c>
      <c r="G56" s="41" t="s">
        <v>248</v>
      </c>
      <c r="H56" s="41" t="s">
        <v>243</v>
      </c>
      <c r="I56" s="46" t="s">
        <v>225</v>
      </c>
    </row>
    <row r="57" spans="1:9" x14ac:dyDescent="0.25">
      <c r="A57" s="41">
        <v>1</v>
      </c>
      <c r="B57" s="41" t="s">
        <v>252</v>
      </c>
      <c r="C57" s="46">
        <v>11</v>
      </c>
      <c r="D57" s="46">
        <f>C57</f>
        <v>11</v>
      </c>
      <c r="E57" s="79">
        <f>C57*$A$5</f>
        <v>7.1296296296296288E-2</v>
      </c>
      <c r="F57" s="79">
        <f>E57</f>
        <v>7.1296296296296288E-2</v>
      </c>
      <c r="I57" s="79">
        <f>E57+H57</f>
        <v>7.1296296296296288E-2</v>
      </c>
    </row>
    <row r="58" spans="1:9" x14ac:dyDescent="0.25">
      <c r="A58" s="41">
        <v>2</v>
      </c>
      <c r="B58" s="41" t="s">
        <v>253</v>
      </c>
      <c r="C58" s="46">
        <v>20</v>
      </c>
      <c r="D58" s="46">
        <f>C58+D57</f>
        <v>31</v>
      </c>
      <c r="E58" s="79">
        <f>C58*$A$5</f>
        <v>0.12962962962962962</v>
      </c>
      <c r="F58" s="79">
        <f>E58+F57</f>
        <v>0.2009259259259259</v>
      </c>
      <c r="I58" s="79">
        <f>E58+H58+I57</f>
        <v>0.2009259259259259</v>
      </c>
    </row>
    <row r="59" spans="1:9" x14ac:dyDescent="0.25">
      <c r="A59" s="41">
        <v>3</v>
      </c>
      <c r="B59" s="41" t="s">
        <v>254</v>
      </c>
      <c r="C59" s="46">
        <v>30</v>
      </c>
      <c r="D59" s="46">
        <f>C59+D58</f>
        <v>61</v>
      </c>
      <c r="E59" s="79">
        <f>C59*$A$5</f>
        <v>0.19444444444444445</v>
      </c>
      <c r="F59" s="79">
        <f>E59+F58</f>
        <v>0.39537037037037037</v>
      </c>
      <c r="I59" s="79">
        <f>E59+H59+I58</f>
        <v>0.39537037037037037</v>
      </c>
    </row>
    <row r="61" spans="1:9" ht="17.25" x14ac:dyDescent="0.25">
      <c r="A61" s="7" t="s">
        <v>255</v>
      </c>
    </row>
    <row r="62" spans="1:9" x14ac:dyDescent="0.25">
      <c r="A62" s="46" t="s">
        <v>237</v>
      </c>
      <c r="B62" s="41" t="s">
        <v>189</v>
      </c>
      <c r="C62" s="46" t="s">
        <v>238</v>
      </c>
      <c r="D62" s="46" t="s">
        <v>239</v>
      </c>
      <c r="E62" s="46" t="s">
        <v>240</v>
      </c>
      <c r="F62" s="46" t="s">
        <v>241</v>
      </c>
      <c r="G62" s="41" t="s">
        <v>248</v>
      </c>
      <c r="H62" s="41" t="s">
        <v>243</v>
      </c>
      <c r="I62" s="46" t="s">
        <v>225</v>
      </c>
    </row>
    <row r="63" spans="1:9" x14ac:dyDescent="0.25">
      <c r="A63" s="41">
        <v>1</v>
      </c>
      <c r="B63" s="41" t="s">
        <v>256</v>
      </c>
      <c r="C63" s="46">
        <v>14</v>
      </c>
      <c r="D63" s="46">
        <f>C63</f>
        <v>14</v>
      </c>
      <c r="E63" s="79">
        <f t="shared" ref="E63:E73" si="13">C63*$A$5</f>
        <v>9.0740740740740733E-2</v>
      </c>
      <c r="F63" s="79">
        <f>E63</f>
        <v>9.0740740740740733E-2</v>
      </c>
      <c r="I63" s="79">
        <f>E63+H63</f>
        <v>9.0740740740740733E-2</v>
      </c>
    </row>
    <row r="64" spans="1:9" x14ac:dyDescent="0.25">
      <c r="A64" s="41">
        <v>2</v>
      </c>
      <c r="B64" s="41" t="s">
        <v>257</v>
      </c>
      <c r="C64" s="46">
        <v>8</v>
      </c>
      <c r="D64" s="46">
        <f>C64+D63</f>
        <v>22</v>
      </c>
      <c r="E64" s="79">
        <f t="shared" si="13"/>
        <v>5.185185185185185E-2</v>
      </c>
      <c r="F64" s="79">
        <f>E64+F63</f>
        <v>0.14259259259259258</v>
      </c>
      <c r="I64" s="79">
        <f>E64+H64+I63</f>
        <v>0.14259259259259258</v>
      </c>
    </row>
    <row r="65" spans="1:9" x14ac:dyDescent="0.25">
      <c r="A65" s="41">
        <v>3</v>
      </c>
      <c r="B65" s="41" t="s">
        <v>244</v>
      </c>
      <c r="C65" s="46">
        <v>4</v>
      </c>
      <c r="D65" s="46">
        <f t="shared" ref="D65:D73" si="14">C65+D64</f>
        <v>26</v>
      </c>
      <c r="E65" s="79">
        <f t="shared" si="13"/>
        <v>2.5925925925925925E-2</v>
      </c>
      <c r="F65" s="79">
        <f t="shared" ref="F65:F73" si="15">E65+F64</f>
        <v>0.16851851851851851</v>
      </c>
      <c r="I65" s="79">
        <f t="shared" ref="I65:I73" si="16">E65+H65+I64</f>
        <v>0.16851851851851851</v>
      </c>
    </row>
    <row r="66" spans="1:9" x14ac:dyDescent="0.25">
      <c r="A66" s="41">
        <v>4</v>
      </c>
      <c r="B66" s="41" t="s">
        <v>245</v>
      </c>
      <c r="C66" s="46">
        <v>2</v>
      </c>
      <c r="D66" s="46">
        <f t="shared" si="14"/>
        <v>28</v>
      </c>
      <c r="E66" s="79">
        <f t="shared" si="13"/>
        <v>1.2962962962962963E-2</v>
      </c>
      <c r="F66" s="79">
        <f t="shared" si="15"/>
        <v>0.18148148148148147</v>
      </c>
      <c r="I66" s="79">
        <f t="shared" si="16"/>
        <v>0.18148148148148147</v>
      </c>
    </row>
    <row r="67" spans="1:9" x14ac:dyDescent="0.25">
      <c r="A67" s="41">
        <v>5</v>
      </c>
      <c r="B67" s="41" t="s">
        <v>244</v>
      </c>
      <c r="C67" s="46">
        <v>4</v>
      </c>
      <c r="D67" s="46">
        <f t="shared" si="14"/>
        <v>32</v>
      </c>
      <c r="E67" s="79">
        <f t="shared" si="13"/>
        <v>2.5925925925925925E-2</v>
      </c>
      <c r="F67" s="79">
        <f t="shared" si="15"/>
        <v>0.2074074074074074</v>
      </c>
      <c r="I67" s="79">
        <f t="shared" si="16"/>
        <v>0.2074074074074074</v>
      </c>
    </row>
    <row r="68" spans="1:9" x14ac:dyDescent="0.25">
      <c r="A68" s="41">
        <v>6</v>
      </c>
      <c r="B68" s="41" t="s">
        <v>246</v>
      </c>
      <c r="C68" s="46">
        <v>3</v>
      </c>
      <c r="D68" s="46">
        <f t="shared" si="14"/>
        <v>35</v>
      </c>
      <c r="E68" s="79">
        <f t="shared" si="13"/>
        <v>1.9444444444444445E-2</v>
      </c>
      <c r="F68" s="79">
        <f t="shared" si="15"/>
        <v>0.22685185185185186</v>
      </c>
      <c r="G68" s="41" t="s">
        <v>258</v>
      </c>
      <c r="H68" s="79">
        <v>5.03</v>
      </c>
      <c r="I68" s="79">
        <f t="shared" si="16"/>
        <v>5.2568518518518523</v>
      </c>
    </row>
    <row r="69" spans="1:9" x14ac:dyDescent="0.25">
      <c r="A69" s="41">
        <v>7</v>
      </c>
      <c r="B69" s="41" t="s">
        <v>244</v>
      </c>
      <c r="C69" s="46">
        <v>4</v>
      </c>
      <c r="D69" s="46">
        <f t="shared" si="14"/>
        <v>39</v>
      </c>
      <c r="E69" s="79">
        <f t="shared" si="13"/>
        <v>2.5925925925925925E-2</v>
      </c>
      <c r="F69" s="79">
        <f t="shared" si="15"/>
        <v>0.25277777777777777</v>
      </c>
      <c r="I69" s="79">
        <f t="shared" si="16"/>
        <v>5.2827777777777785</v>
      </c>
    </row>
    <row r="70" spans="1:9" x14ac:dyDescent="0.25">
      <c r="A70" s="41">
        <v>8</v>
      </c>
      <c r="B70" s="41" t="s">
        <v>196</v>
      </c>
      <c r="C70" s="46">
        <v>3</v>
      </c>
      <c r="D70" s="46">
        <f t="shared" si="14"/>
        <v>42</v>
      </c>
      <c r="E70" s="79">
        <f t="shared" si="13"/>
        <v>1.9444444444444445E-2</v>
      </c>
      <c r="F70" s="79">
        <f t="shared" si="15"/>
        <v>0.2722222222222222</v>
      </c>
      <c r="I70" s="79">
        <f t="shared" si="16"/>
        <v>5.3022222222222233</v>
      </c>
    </row>
    <row r="71" spans="1:9" x14ac:dyDescent="0.25">
      <c r="A71" s="41">
        <v>9</v>
      </c>
      <c r="B71" s="41" t="s">
        <v>259</v>
      </c>
      <c r="C71" s="46">
        <v>12</v>
      </c>
      <c r="D71" s="46">
        <f t="shared" si="14"/>
        <v>54</v>
      </c>
      <c r="E71" s="79">
        <f t="shared" si="13"/>
        <v>7.7777777777777779E-2</v>
      </c>
      <c r="F71" s="79">
        <f t="shared" si="15"/>
        <v>0.35</v>
      </c>
      <c r="I71" s="79">
        <f t="shared" si="16"/>
        <v>5.3800000000000008</v>
      </c>
    </row>
    <row r="72" spans="1:9" x14ac:dyDescent="0.25">
      <c r="A72" s="41">
        <v>10</v>
      </c>
      <c r="B72" s="41" t="s">
        <v>260</v>
      </c>
      <c r="C72" s="46">
        <v>6</v>
      </c>
      <c r="D72" s="46">
        <f t="shared" si="14"/>
        <v>60</v>
      </c>
      <c r="E72" s="79">
        <f t="shared" si="13"/>
        <v>3.888888888888889E-2</v>
      </c>
      <c r="F72" s="79">
        <f t="shared" si="15"/>
        <v>0.38888888888888884</v>
      </c>
      <c r="I72" s="79">
        <f t="shared" si="16"/>
        <v>5.4188888888888895</v>
      </c>
    </row>
    <row r="73" spans="1:9" x14ac:dyDescent="0.25">
      <c r="A73" s="41">
        <v>11</v>
      </c>
      <c r="B73" s="41" t="s">
        <v>200</v>
      </c>
      <c r="C73" s="46">
        <v>2</v>
      </c>
      <c r="D73" s="46">
        <f t="shared" si="14"/>
        <v>62</v>
      </c>
      <c r="E73" s="79">
        <f t="shared" si="13"/>
        <v>1.2962962962962963E-2</v>
      </c>
      <c r="F73" s="79">
        <f t="shared" si="15"/>
        <v>0.40185185185185179</v>
      </c>
      <c r="I73" s="79">
        <f t="shared" si="16"/>
        <v>5.4318518518518522</v>
      </c>
    </row>
    <row r="74" spans="1:9" x14ac:dyDescent="0.25">
      <c r="E74" s="79"/>
      <c r="F74" s="79"/>
      <c r="I74" s="79"/>
    </row>
    <row r="75" spans="1:9" ht="17.25" x14ac:dyDescent="0.25">
      <c r="A75" s="7" t="s">
        <v>261</v>
      </c>
    </row>
    <row r="76" spans="1:9" x14ac:dyDescent="0.25">
      <c r="A76" s="46" t="s">
        <v>237</v>
      </c>
      <c r="B76" s="41" t="s">
        <v>189</v>
      </c>
      <c r="C76" s="46" t="s">
        <v>238</v>
      </c>
      <c r="D76" s="46" t="s">
        <v>239</v>
      </c>
      <c r="E76" s="46" t="s">
        <v>240</v>
      </c>
      <c r="F76" s="46" t="s">
        <v>241</v>
      </c>
      <c r="G76" s="41" t="s">
        <v>248</v>
      </c>
      <c r="H76" s="41" t="s">
        <v>243</v>
      </c>
      <c r="I76" s="46" t="s">
        <v>225</v>
      </c>
    </row>
    <row r="77" spans="1:9" x14ac:dyDescent="0.25">
      <c r="A77" s="41">
        <v>1</v>
      </c>
      <c r="B77" s="41" t="s">
        <v>244</v>
      </c>
      <c r="C77" s="46">
        <v>4</v>
      </c>
      <c r="D77" s="46">
        <f>C77</f>
        <v>4</v>
      </c>
      <c r="E77" s="79">
        <f t="shared" ref="E77:E85" si="17">C77*$A$5</f>
        <v>2.5925925925925925E-2</v>
      </c>
      <c r="F77" s="79">
        <f>E77</f>
        <v>2.5925925925925925E-2</v>
      </c>
      <c r="I77" s="79">
        <f>E77+H77</f>
        <v>2.5925925925925925E-2</v>
      </c>
    </row>
    <row r="78" spans="1:9" x14ac:dyDescent="0.25">
      <c r="A78" s="41">
        <v>2</v>
      </c>
      <c r="B78" s="41" t="s">
        <v>245</v>
      </c>
      <c r="C78" s="46">
        <v>2</v>
      </c>
      <c r="D78" s="46">
        <f>C78+D77</f>
        <v>6</v>
      </c>
      <c r="E78" s="79">
        <f t="shared" si="17"/>
        <v>1.2962962962962963E-2</v>
      </c>
      <c r="F78" s="79">
        <f>E78+F77</f>
        <v>3.888888888888889E-2</v>
      </c>
      <c r="I78" s="79">
        <f>E78+H78+I77</f>
        <v>3.888888888888889E-2</v>
      </c>
    </row>
    <row r="79" spans="1:9" x14ac:dyDescent="0.25">
      <c r="A79" s="41">
        <v>3</v>
      </c>
      <c r="B79" s="41" t="s">
        <v>244</v>
      </c>
      <c r="C79" s="46">
        <v>4</v>
      </c>
      <c r="D79" s="46">
        <f t="shared" ref="D79:D85" si="18">C79+D78</f>
        <v>10</v>
      </c>
      <c r="E79" s="79">
        <f t="shared" si="17"/>
        <v>2.5925925925925925E-2</v>
      </c>
      <c r="F79" s="79">
        <f t="shared" ref="F79:F85" si="19">E79+F78</f>
        <v>6.4814814814814811E-2</v>
      </c>
      <c r="I79" s="79">
        <f t="shared" ref="I79:I85" si="20">E79+H79+I78</f>
        <v>6.4814814814814811E-2</v>
      </c>
    </row>
    <row r="80" spans="1:9" x14ac:dyDescent="0.25">
      <c r="A80" s="41">
        <v>4</v>
      </c>
      <c r="B80" s="41" t="s">
        <v>246</v>
      </c>
      <c r="C80" s="46">
        <v>3</v>
      </c>
      <c r="D80" s="46">
        <f t="shared" si="18"/>
        <v>13</v>
      </c>
      <c r="E80" s="79">
        <f t="shared" si="17"/>
        <v>1.9444444444444445E-2</v>
      </c>
      <c r="F80" s="79">
        <f t="shared" si="19"/>
        <v>8.4259259259259256E-2</v>
      </c>
      <c r="G80" s="41" t="s">
        <v>262</v>
      </c>
      <c r="H80" s="79">
        <v>0.87999999999999989</v>
      </c>
      <c r="I80" s="79">
        <f t="shared" si="20"/>
        <v>0.96425925925925915</v>
      </c>
    </row>
    <row r="81" spans="1:9" x14ac:dyDescent="0.25">
      <c r="A81" s="41">
        <v>5</v>
      </c>
      <c r="B81" s="41" t="s">
        <v>244</v>
      </c>
      <c r="C81" s="46">
        <v>4</v>
      </c>
      <c r="D81" s="46">
        <f t="shared" si="18"/>
        <v>17</v>
      </c>
      <c r="E81" s="79">
        <f t="shared" si="17"/>
        <v>2.5925925925925925E-2</v>
      </c>
      <c r="F81" s="79">
        <f t="shared" si="19"/>
        <v>0.11018518518518518</v>
      </c>
      <c r="I81" s="79">
        <f t="shared" si="20"/>
        <v>0.99018518518518506</v>
      </c>
    </row>
    <row r="82" spans="1:9" x14ac:dyDescent="0.25">
      <c r="A82" s="41">
        <v>6</v>
      </c>
      <c r="B82" s="41" t="s">
        <v>196</v>
      </c>
      <c r="C82" s="46">
        <v>3</v>
      </c>
      <c r="D82" s="46">
        <f t="shared" si="18"/>
        <v>20</v>
      </c>
      <c r="E82" s="79">
        <f t="shared" si="17"/>
        <v>1.9444444444444445E-2</v>
      </c>
      <c r="F82" s="79">
        <f t="shared" si="19"/>
        <v>0.12962962962962962</v>
      </c>
      <c r="I82" s="79">
        <f t="shared" si="20"/>
        <v>1.0096296296296294</v>
      </c>
    </row>
    <row r="83" spans="1:9" x14ac:dyDescent="0.25">
      <c r="A83" s="41">
        <v>7</v>
      </c>
      <c r="B83" s="41" t="s">
        <v>263</v>
      </c>
      <c r="C83" s="46">
        <v>8.8000000000000007</v>
      </c>
      <c r="D83" s="46">
        <f t="shared" si="18"/>
        <v>28.8</v>
      </c>
      <c r="E83" s="79">
        <f t="shared" si="17"/>
        <v>5.7037037037037039E-2</v>
      </c>
      <c r="F83" s="79">
        <f t="shared" si="19"/>
        <v>0.18666666666666665</v>
      </c>
      <c r="I83" s="79">
        <f t="shared" si="20"/>
        <v>1.0666666666666664</v>
      </c>
    </row>
    <row r="84" spans="1:9" x14ac:dyDescent="0.25">
      <c r="A84" s="41">
        <v>8</v>
      </c>
      <c r="B84" s="41" t="s">
        <v>208</v>
      </c>
      <c r="C84" s="46">
        <v>6</v>
      </c>
      <c r="D84" s="46">
        <f t="shared" si="18"/>
        <v>34.799999999999997</v>
      </c>
      <c r="E84" s="79">
        <f t="shared" si="17"/>
        <v>3.888888888888889E-2</v>
      </c>
      <c r="F84" s="79">
        <f t="shared" si="19"/>
        <v>0.22555555555555554</v>
      </c>
      <c r="I84" s="79">
        <f t="shared" si="20"/>
        <v>1.1055555555555554</v>
      </c>
    </row>
    <row r="85" spans="1:9" x14ac:dyDescent="0.25">
      <c r="A85" s="41">
        <v>9</v>
      </c>
      <c r="B85" s="41" t="s">
        <v>200</v>
      </c>
      <c r="C85" s="46">
        <v>2</v>
      </c>
      <c r="D85" s="46">
        <f t="shared" si="18"/>
        <v>36.799999999999997</v>
      </c>
      <c r="E85" s="79">
        <f t="shared" si="17"/>
        <v>1.2962962962962963E-2</v>
      </c>
      <c r="F85" s="79">
        <f t="shared" si="19"/>
        <v>0.23851851851851849</v>
      </c>
      <c r="I85" s="79">
        <f t="shared" si="20"/>
        <v>1.1185185185185185</v>
      </c>
    </row>
    <row r="86" spans="1:9" x14ac:dyDescent="0.25">
      <c r="I86" s="79"/>
    </row>
    <row r="87" spans="1:9" ht="17.25" x14ac:dyDescent="0.25">
      <c r="A87" s="7" t="s">
        <v>264</v>
      </c>
    </row>
    <row r="88" spans="1:9" x14ac:dyDescent="0.25">
      <c r="A88" s="46" t="s">
        <v>237</v>
      </c>
      <c r="B88" s="41" t="s">
        <v>189</v>
      </c>
      <c r="C88" s="46" t="s">
        <v>238</v>
      </c>
      <c r="D88" s="46" t="s">
        <v>239</v>
      </c>
      <c r="E88" s="46" t="s">
        <v>240</v>
      </c>
      <c r="F88" s="46" t="s">
        <v>241</v>
      </c>
      <c r="G88" s="41" t="s">
        <v>248</v>
      </c>
      <c r="H88" s="41" t="s">
        <v>243</v>
      </c>
      <c r="I88" s="46" t="s">
        <v>225</v>
      </c>
    </row>
    <row r="89" spans="1:9" x14ac:dyDescent="0.25">
      <c r="A89" s="41">
        <v>1</v>
      </c>
      <c r="B89" s="41" t="s">
        <v>244</v>
      </c>
      <c r="C89" s="46">
        <v>4</v>
      </c>
      <c r="D89" s="46">
        <f>C89</f>
        <v>4</v>
      </c>
      <c r="E89" s="79">
        <f t="shared" ref="E89:E97" si="21">C89*$A$5</f>
        <v>2.5925925925925925E-2</v>
      </c>
      <c r="F89" s="79">
        <f>E89</f>
        <v>2.5925925925925925E-2</v>
      </c>
      <c r="I89" s="79">
        <f>E89+H89</f>
        <v>2.5925925925925925E-2</v>
      </c>
    </row>
    <row r="90" spans="1:9" x14ac:dyDescent="0.25">
      <c r="A90" s="41">
        <v>2</v>
      </c>
      <c r="B90" s="41" t="s">
        <v>245</v>
      </c>
      <c r="C90" s="46">
        <v>2</v>
      </c>
      <c r="D90" s="46">
        <f>C90+D89</f>
        <v>6</v>
      </c>
      <c r="E90" s="79">
        <f t="shared" si="21"/>
        <v>1.2962962962962963E-2</v>
      </c>
      <c r="F90" s="79">
        <f>E90+F89</f>
        <v>3.888888888888889E-2</v>
      </c>
      <c r="I90" s="79">
        <f>E90+H90+I89</f>
        <v>3.888888888888889E-2</v>
      </c>
    </row>
    <row r="91" spans="1:9" x14ac:dyDescent="0.25">
      <c r="A91" s="41">
        <v>3</v>
      </c>
      <c r="B91" s="41" t="s">
        <v>244</v>
      </c>
      <c r="C91" s="46">
        <v>4</v>
      </c>
      <c r="D91" s="46">
        <f t="shared" ref="D91:D97" si="22">C91+D90</f>
        <v>10</v>
      </c>
      <c r="E91" s="79">
        <f t="shared" si="21"/>
        <v>2.5925925925925925E-2</v>
      </c>
      <c r="F91" s="79">
        <f t="shared" ref="F91:F97" si="23">E91+F90</f>
        <v>6.4814814814814811E-2</v>
      </c>
      <c r="I91" s="79">
        <f t="shared" ref="I91:I97" si="24">E91+H91+I90</f>
        <v>6.4814814814814811E-2</v>
      </c>
    </row>
    <row r="92" spans="1:9" x14ac:dyDescent="0.25">
      <c r="A92" s="41">
        <v>4</v>
      </c>
      <c r="B92" s="41" t="s">
        <v>265</v>
      </c>
      <c r="C92" s="46">
        <v>3</v>
      </c>
      <c r="D92" s="46">
        <f t="shared" si="22"/>
        <v>13</v>
      </c>
      <c r="E92" s="79">
        <f t="shared" si="21"/>
        <v>1.9444444444444445E-2</v>
      </c>
      <c r="F92" s="79">
        <f t="shared" si="23"/>
        <v>8.4259259259259256E-2</v>
      </c>
      <c r="G92" s="41" t="s">
        <v>266</v>
      </c>
      <c r="H92" s="79">
        <v>21.3</v>
      </c>
      <c r="I92" s="79">
        <f t="shared" si="24"/>
        <v>21.38425925925926</v>
      </c>
    </row>
    <row r="93" spans="1:9" x14ac:dyDescent="0.25">
      <c r="A93" s="41">
        <v>5</v>
      </c>
      <c r="B93" s="41" t="s">
        <v>244</v>
      </c>
      <c r="C93" s="46">
        <v>4</v>
      </c>
      <c r="D93" s="46">
        <f t="shared" si="22"/>
        <v>17</v>
      </c>
      <c r="E93" s="79">
        <f t="shared" si="21"/>
        <v>2.5925925925925925E-2</v>
      </c>
      <c r="F93" s="79">
        <f t="shared" si="23"/>
        <v>0.11018518518518518</v>
      </c>
      <c r="I93" s="79">
        <f t="shared" si="24"/>
        <v>21.410185185185185</v>
      </c>
    </row>
    <row r="94" spans="1:9" x14ac:dyDescent="0.25">
      <c r="A94" s="41">
        <v>6</v>
      </c>
      <c r="B94" s="41" t="s">
        <v>196</v>
      </c>
      <c r="C94" s="46">
        <v>3</v>
      </c>
      <c r="D94" s="46">
        <f t="shared" si="22"/>
        <v>20</v>
      </c>
      <c r="E94" s="79">
        <f t="shared" si="21"/>
        <v>1.9444444444444445E-2</v>
      </c>
      <c r="F94" s="79">
        <f t="shared" si="23"/>
        <v>0.12962962962962962</v>
      </c>
      <c r="I94" s="79">
        <f t="shared" si="24"/>
        <v>21.42962962962963</v>
      </c>
    </row>
    <row r="95" spans="1:9" x14ac:dyDescent="0.25">
      <c r="A95" s="41">
        <v>7</v>
      </c>
      <c r="B95" s="41" t="s">
        <v>267</v>
      </c>
      <c r="C95" s="46">
        <v>1.2</v>
      </c>
      <c r="D95" s="46">
        <f t="shared" si="22"/>
        <v>21.2</v>
      </c>
      <c r="E95" s="79">
        <f t="shared" si="21"/>
        <v>7.7777777777777776E-3</v>
      </c>
      <c r="F95" s="79">
        <f t="shared" si="23"/>
        <v>0.13740740740740739</v>
      </c>
      <c r="I95" s="79">
        <f t="shared" si="24"/>
        <v>21.437407407407409</v>
      </c>
    </row>
    <row r="96" spans="1:9" x14ac:dyDescent="0.25">
      <c r="A96" s="41">
        <v>8</v>
      </c>
      <c r="B96" s="41" t="s">
        <v>267</v>
      </c>
      <c r="C96" s="46">
        <v>1.2</v>
      </c>
      <c r="D96" s="46">
        <f t="shared" si="22"/>
        <v>22.4</v>
      </c>
      <c r="E96" s="79">
        <f t="shared" si="21"/>
        <v>7.7777777777777776E-3</v>
      </c>
      <c r="F96" s="79">
        <f t="shared" si="23"/>
        <v>0.14518518518518517</v>
      </c>
      <c r="I96" s="79">
        <f t="shared" si="24"/>
        <v>21.445185185185188</v>
      </c>
    </row>
    <row r="97" spans="1:9" x14ac:dyDescent="0.25">
      <c r="A97" s="41">
        <v>9</v>
      </c>
      <c r="B97" s="41" t="s">
        <v>268</v>
      </c>
      <c r="C97" s="46">
        <v>12</v>
      </c>
      <c r="D97" s="46">
        <f t="shared" si="22"/>
        <v>34.4</v>
      </c>
      <c r="E97" s="79">
        <f t="shared" si="21"/>
        <v>7.7777777777777779E-2</v>
      </c>
      <c r="F97" s="79">
        <f t="shared" si="23"/>
        <v>0.22296296296296295</v>
      </c>
      <c r="I97" s="79">
        <f t="shared" si="24"/>
        <v>21.522962962962968</v>
      </c>
    </row>
    <row r="99" spans="1:9" ht="17.25" x14ac:dyDescent="0.25">
      <c r="A99" s="7" t="s">
        <v>269</v>
      </c>
    </row>
    <row r="100" spans="1:9" x14ac:dyDescent="0.25">
      <c r="A100" s="46" t="s">
        <v>237</v>
      </c>
      <c r="B100" s="41" t="s">
        <v>189</v>
      </c>
      <c r="C100" s="46" t="s">
        <v>238</v>
      </c>
      <c r="D100" s="46" t="s">
        <v>239</v>
      </c>
      <c r="E100" s="46" t="s">
        <v>240</v>
      </c>
      <c r="F100" s="46" t="s">
        <v>241</v>
      </c>
      <c r="G100" s="41" t="s">
        <v>248</v>
      </c>
      <c r="H100" s="41" t="s">
        <v>243</v>
      </c>
      <c r="I100" s="46" t="s">
        <v>225</v>
      </c>
    </row>
    <row r="101" spans="1:9" x14ac:dyDescent="0.25">
      <c r="A101" s="41">
        <v>1</v>
      </c>
      <c r="B101" s="41" t="s">
        <v>270</v>
      </c>
      <c r="C101" s="46">
        <v>18</v>
      </c>
      <c r="D101" s="46">
        <f>C101</f>
        <v>18</v>
      </c>
      <c r="E101" s="79">
        <f t="shared" ref="E101:E108" si="25">C101*$A$5</f>
        <v>0.11666666666666667</v>
      </c>
      <c r="F101" s="79">
        <f>E101</f>
        <v>0.11666666666666667</v>
      </c>
      <c r="I101" s="79">
        <f>E101+H101</f>
        <v>0.11666666666666667</v>
      </c>
    </row>
    <row r="102" spans="1:9" x14ac:dyDescent="0.25">
      <c r="A102" s="41">
        <v>2</v>
      </c>
      <c r="B102" s="41" t="s">
        <v>244</v>
      </c>
      <c r="C102" s="46">
        <v>4</v>
      </c>
      <c r="D102" s="46">
        <f>C102+D101</f>
        <v>22</v>
      </c>
      <c r="E102" s="79">
        <f t="shared" si="25"/>
        <v>2.5925925925925925E-2</v>
      </c>
      <c r="F102" s="79">
        <f>E102+F101</f>
        <v>0.1425925925925926</v>
      </c>
      <c r="I102" s="79">
        <f>E102+H102+I101</f>
        <v>0.1425925925925926</v>
      </c>
    </row>
    <row r="103" spans="1:9" x14ac:dyDescent="0.25">
      <c r="A103" s="41">
        <v>3</v>
      </c>
      <c r="B103" s="41" t="s">
        <v>245</v>
      </c>
      <c r="C103" s="46">
        <v>2</v>
      </c>
      <c r="D103" s="46">
        <f t="shared" ref="D103:D108" si="26">C103+D102</f>
        <v>24</v>
      </c>
      <c r="E103" s="79">
        <f t="shared" si="25"/>
        <v>1.2962962962962963E-2</v>
      </c>
      <c r="F103" s="79">
        <f t="shared" ref="F103:F108" si="27">E103+F102</f>
        <v>0.15555555555555556</v>
      </c>
      <c r="H103" s="46"/>
      <c r="I103" s="79">
        <f t="shared" ref="I103:I108" si="28">E103+H103+I102</f>
        <v>0.15555555555555556</v>
      </c>
    </row>
    <row r="104" spans="1:9" x14ac:dyDescent="0.25">
      <c r="A104" s="41">
        <v>4</v>
      </c>
      <c r="B104" s="41" t="s">
        <v>244</v>
      </c>
      <c r="C104" s="46">
        <v>4</v>
      </c>
      <c r="D104" s="46">
        <f t="shared" si="26"/>
        <v>28</v>
      </c>
      <c r="E104" s="79">
        <f t="shared" si="25"/>
        <v>2.5925925925925925E-2</v>
      </c>
      <c r="F104" s="79">
        <f t="shared" si="27"/>
        <v>0.18148148148148149</v>
      </c>
      <c r="I104" s="79">
        <f t="shared" si="28"/>
        <v>0.18148148148148149</v>
      </c>
    </row>
    <row r="105" spans="1:9" x14ac:dyDescent="0.25">
      <c r="A105" s="41">
        <v>5</v>
      </c>
      <c r="B105" s="41" t="s">
        <v>265</v>
      </c>
      <c r="C105" s="46">
        <v>3</v>
      </c>
      <c r="D105" s="46">
        <f t="shared" si="26"/>
        <v>31</v>
      </c>
      <c r="E105" s="79">
        <f t="shared" si="25"/>
        <v>1.9444444444444445E-2</v>
      </c>
      <c r="F105" s="79">
        <f t="shared" si="27"/>
        <v>0.20092592592592595</v>
      </c>
      <c r="G105" s="41" t="s">
        <v>249</v>
      </c>
      <c r="H105" s="79">
        <v>9.6900000000000013</v>
      </c>
      <c r="I105" s="79">
        <f t="shared" si="28"/>
        <v>9.8909259259259272</v>
      </c>
    </row>
    <row r="106" spans="1:9" x14ac:dyDescent="0.25">
      <c r="A106" s="41">
        <v>6</v>
      </c>
      <c r="B106" s="41" t="s">
        <v>244</v>
      </c>
      <c r="C106" s="46">
        <v>4</v>
      </c>
      <c r="D106" s="46">
        <f t="shared" si="26"/>
        <v>35</v>
      </c>
      <c r="E106" s="79">
        <f t="shared" si="25"/>
        <v>2.5925925925925925E-2</v>
      </c>
      <c r="F106" s="79">
        <f t="shared" si="27"/>
        <v>0.22685185185185189</v>
      </c>
      <c r="I106" s="79">
        <f t="shared" si="28"/>
        <v>9.9168518518518525</v>
      </c>
    </row>
    <row r="107" spans="1:9" x14ac:dyDescent="0.25">
      <c r="A107" s="41">
        <v>7</v>
      </c>
      <c r="B107" s="41" t="s">
        <v>196</v>
      </c>
      <c r="C107" s="46">
        <v>3</v>
      </c>
      <c r="D107" s="46">
        <f t="shared" si="26"/>
        <v>38</v>
      </c>
      <c r="E107" s="79">
        <f t="shared" si="25"/>
        <v>1.9444444444444445E-2</v>
      </c>
      <c r="F107" s="79">
        <f t="shared" si="27"/>
        <v>0.24629629629629635</v>
      </c>
      <c r="I107" s="79">
        <f t="shared" si="28"/>
        <v>9.9362962962962964</v>
      </c>
    </row>
    <row r="108" spans="1:9" x14ac:dyDescent="0.25">
      <c r="A108" s="41">
        <v>8</v>
      </c>
      <c r="B108" s="41" t="s">
        <v>267</v>
      </c>
      <c r="C108" s="46">
        <v>3.6</v>
      </c>
      <c r="D108" s="46">
        <f t="shared" si="26"/>
        <v>41.6</v>
      </c>
      <c r="E108" s="79">
        <f t="shared" si="25"/>
        <v>2.3333333333333334E-2</v>
      </c>
      <c r="F108" s="79">
        <f t="shared" si="27"/>
        <v>0.26962962962962966</v>
      </c>
      <c r="I108" s="79">
        <f t="shared" si="28"/>
        <v>9.9596296296296298</v>
      </c>
    </row>
    <row r="110" spans="1:9" ht="17.25" x14ac:dyDescent="0.25">
      <c r="A110" s="7" t="s">
        <v>271</v>
      </c>
    </row>
    <row r="111" spans="1:9" x14ac:dyDescent="0.25">
      <c r="A111" s="46" t="s">
        <v>237</v>
      </c>
      <c r="B111" s="41" t="s">
        <v>189</v>
      </c>
      <c r="C111" s="46" t="s">
        <v>238</v>
      </c>
      <c r="D111" s="46" t="s">
        <v>239</v>
      </c>
      <c r="E111" s="46" t="s">
        <v>240</v>
      </c>
      <c r="F111" s="46" t="s">
        <v>241</v>
      </c>
      <c r="G111" s="41" t="s">
        <v>248</v>
      </c>
      <c r="H111" s="41" t="s">
        <v>243</v>
      </c>
      <c r="I111" s="46" t="s">
        <v>225</v>
      </c>
    </row>
    <row r="112" spans="1:9" x14ac:dyDescent="0.25">
      <c r="A112" s="41">
        <v>1</v>
      </c>
      <c r="B112" s="41" t="s">
        <v>244</v>
      </c>
      <c r="C112" s="46">
        <v>4</v>
      </c>
      <c r="D112" s="46">
        <f>C112</f>
        <v>4</v>
      </c>
      <c r="E112" s="79">
        <f>C112*$A$5</f>
        <v>2.5925925925925925E-2</v>
      </c>
      <c r="F112" s="79">
        <f>E112</f>
        <v>2.5925925925925925E-2</v>
      </c>
      <c r="I112" s="79">
        <f>E112+H112</f>
        <v>2.5925925925925925E-2</v>
      </c>
    </row>
    <row r="113" spans="1:9" x14ac:dyDescent="0.25">
      <c r="A113" s="41">
        <v>2</v>
      </c>
      <c r="B113" s="41" t="s">
        <v>245</v>
      </c>
      <c r="C113" s="46">
        <v>2</v>
      </c>
      <c r="D113" s="46">
        <f>C113+D112</f>
        <v>6</v>
      </c>
      <c r="E113" s="79">
        <f>C113*$A$5</f>
        <v>1.2962962962962963E-2</v>
      </c>
      <c r="F113" s="79">
        <f>E113+F112</f>
        <v>3.888888888888889E-2</v>
      </c>
      <c r="H113" s="46"/>
      <c r="I113" s="79">
        <f>E113+H113+I112</f>
        <v>3.888888888888889E-2</v>
      </c>
    </row>
    <row r="114" spans="1:9" x14ac:dyDescent="0.25">
      <c r="A114" s="41">
        <v>3</v>
      </c>
      <c r="B114" s="41" t="s">
        <v>244</v>
      </c>
      <c r="C114" s="46">
        <v>4</v>
      </c>
      <c r="D114" s="46">
        <f>C114+D113</f>
        <v>10</v>
      </c>
      <c r="E114" s="79">
        <f>C114*$A$5</f>
        <v>2.5925925925925925E-2</v>
      </c>
      <c r="F114" s="79">
        <f>E114+F113</f>
        <v>6.4814814814814811E-2</v>
      </c>
      <c r="I114" s="79">
        <f>E114+H114+I113</f>
        <v>6.4814814814814811E-2</v>
      </c>
    </row>
  </sheetData>
  <conditionalFormatting sqref="C3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{CD68883E-51F7-45F4-9FCF-A0722F56BAFD}</x14:id>
        </ext>
      </extLst>
    </cfRule>
  </conditionalFormatting>
  <conditionalFormatting sqref="A8:I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{7747B98E-A7E5-4118-9689-41CC49EDDF23}</x14:id>
        </ext>
      </extLst>
    </cfRule>
  </conditionalFormatting>
  <conditionalFormatting sqref="J8:R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{30FA6FFD-ADF1-4745-93B2-A99683CC6162}</x14:id>
        </ext>
      </extLst>
    </cfRule>
  </conditionalFormatting>
  <dataValidations xWindow="158" yWindow="577" count="5">
    <dataValidation allowBlank="1" showInputMessage="1" showErrorMessage="1" promptTitle="Change in Sealing Process" prompt="Use Adhesive Sealing_x000a_Fail rate reduced to 50% of chemcical sealing fail rate_x000a_" sqref="B29:B30" xr:uid="{00000000-0002-0000-0C00-000000000000}"/>
    <dataValidation allowBlank="1" showInputMessage="1" showErrorMessage="1" promptTitle="Remove the Test" prompt="Remove this test from the process as it yeilds 0% Fail Rate." sqref="B23" xr:uid="{00000000-0002-0000-0C00-000001000000}"/>
    <dataValidation allowBlank="1" showInputMessage="1" showErrorMessage="1" promptTitle="Siplace Automation" prompt="Total Time Reduced = 1.4 seconds_x000a_Fail Rate = 0.3%" sqref="B18" xr:uid="{00000000-0002-0000-0C00-000002000000}"/>
    <dataValidation allowBlank="1" showInputMessage="1" showErrorMessage="1" promptTitle="Inspect on the Table" prompt="Inspect on the Table_x000a_If damaged, replace it at same time from replacement table." sqref="B9" xr:uid="{00000000-0002-0000-0C00-000003000000}"/>
    <dataValidation allowBlank="1" showInputMessage="1" showErrorMessage="1" promptTitle="Siplace Automation" prompt="Total time reduced to 1.4 seconds" sqref="B17" xr:uid="{00000000-0002-0000-0C00-000004000000}"/>
  </dataValidations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8883E-51F7-45F4-9FCF-A0722F56B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7747B98E-A7E5-4118-9689-41CC49EDDF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A8:I31</xm:sqref>
        </x14:conditionalFormatting>
        <x14:conditionalFormatting xmlns:xm="http://schemas.microsoft.com/office/excel/2006/main">
          <x14:cfRule type="dataBar" id="{30FA6FFD-ADF1-4745-93B2-A99683CC61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J8:R31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E5"/>
  <sheetViews>
    <sheetView workbookViewId="0"/>
  </sheetViews>
  <sheetFormatPr defaultRowHeight="15" x14ac:dyDescent="0.25"/>
  <cols>
    <col min="1" max="1" width="25.140625" customWidth="1"/>
    <col min="2" max="3" width="10.140625" bestFit="1" customWidth="1"/>
    <col min="4" max="5" width="9.5703125" bestFit="1" customWidth="1"/>
  </cols>
  <sheetData>
    <row r="1" spans="1:5" ht="23.25" x14ac:dyDescent="0.35">
      <c r="A1" s="6" t="s">
        <v>372</v>
      </c>
    </row>
    <row r="3" spans="1:5" ht="30" x14ac:dyDescent="0.25">
      <c r="A3" s="41" t="s">
        <v>373</v>
      </c>
      <c r="B3" s="120" t="s">
        <v>375</v>
      </c>
      <c r="C3" s="120" t="s">
        <v>376</v>
      </c>
      <c r="D3" s="120" t="s">
        <v>377</v>
      </c>
      <c r="E3" s="120" t="s">
        <v>378</v>
      </c>
    </row>
    <row r="4" spans="1:5" x14ac:dyDescent="0.25">
      <c r="A4" s="41" t="s">
        <v>374</v>
      </c>
      <c r="B4" s="41">
        <f>Table52[[#Totals],[Duration]]</f>
        <v>253.5</v>
      </c>
      <c r="C4" s="41">
        <f>Table525[[#Totals],[Duration]]</f>
        <v>221.50000000000003</v>
      </c>
      <c r="D4" s="41">
        <f>Table5713[[#Totals],[Total Time to task with 1 fail and good repeat]]</f>
        <v>555.29999999999995</v>
      </c>
      <c r="E4" s="41">
        <f>Table571324[[#Totals],[Total Time to task with 1 fail and good repeat]]</f>
        <v>459.49999999999994</v>
      </c>
    </row>
    <row r="5" spans="1:5" x14ac:dyDescent="0.25">
      <c r="A5" s="41" t="s">
        <v>226</v>
      </c>
      <c r="B5" s="119">
        <v>1</v>
      </c>
      <c r="C5" s="119">
        <v>1</v>
      </c>
      <c r="D5" s="119">
        <f>'Rainy Day AS-IS'!R31</f>
        <v>0.73223457605848019</v>
      </c>
      <c r="E5" s="119">
        <f>'Rainy Day TO-BE'!R31</f>
        <v>0.84123979288738193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0"/>
  <dimension ref="A1:I22"/>
  <sheetViews>
    <sheetView workbookViewId="0">
      <selection activeCell="N28" sqref="N28"/>
    </sheetView>
  </sheetViews>
  <sheetFormatPr defaultRowHeight="15" x14ac:dyDescent="0.25"/>
  <cols>
    <col min="1" max="2" width="15.42578125" customWidth="1"/>
    <col min="3" max="3" width="15.42578125" style="41" customWidth="1"/>
    <col min="4" max="7" width="15.42578125" customWidth="1"/>
    <col min="8" max="9" width="15.42578125" style="41" customWidth="1"/>
    <col min="10" max="10" width="1.7109375" customWidth="1"/>
  </cols>
  <sheetData>
    <row r="1" spans="1:9" s="41" customFormat="1" ht="23.25" x14ac:dyDescent="0.35">
      <c r="A1" s="6" t="s">
        <v>303</v>
      </c>
    </row>
    <row r="2" spans="1:9" x14ac:dyDescent="0.25">
      <c r="A2" t="s">
        <v>318</v>
      </c>
      <c r="B2" s="45">
        <f>Assumption_3.01</f>
        <v>100</v>
      </c>
      <c r="C2" s="41" t="s">
        <v>322</v>
      </c>
    </row>
    <row r="3" spans="1:9" s="41" customFormat="1" x14ac:dyDescent="0.25">
      <c r="A3" s="41" t="s">
        <v>319</v>
      </c>
      <c r="B3" s="45">
        <f>Assumption_3.02</f>
        <v>83.33</v>
      </c>
      <c r="C3" s="41" t="s">
        <v>322</v>
      </c>
    </row>
    <row r="4" spans="1:9" s="41" customFormat="1" x14ac:dyDescent="0.25">
      <c r="A4" s="99" t="s">
        <v>320</v>
      </c>
      <c r="B4" s="45">
        <f>Assumption_3.03</f>
        <v>5</v>
      </c>
      <c r="C4" s="41" t="s">
        <v>321</v>
      </c>
    </row>
    <row r="5" spans="1:9" s="41" customFormat="1" x14ac:dyDescent="0.25">
      <c r="A5" s="99"/>
    </row>
    <row r="6" spans="1:9" ht="17.25" x14ac:dyDescent="0.25">
      <c r="A6" s="7" t="s">
        <v>353</v>
      </c>
    </row>
    <row r="7" spans="1:9" x14ac:dyDescent="0.25">
      <c r="A7" t="s">
        <v>63</v>
      </c>
      <c r="B7" t="s">
        <v>64</v>
      </c>
      <c r="C7" s="41" t="s">
        <v>297</v>
      </c>
      <c r="D7" t="s">
        <v>65</v>
      </c>
      <c r="E7" t="s">
        <v>69</v>
      </c>
      <c r="F7" t="s">
        <v>68</v>
      </c>
      <c r="G7" t="s">
        <v>70</v>
      </c>
      <c r="H7" s="41" t="s">
        <v>320</v>
      </c>
      <c r="I7" s="41" t="s">
        <v>323</v>
      </c>
    </row>
    <row r="8" spans="1:9" x14ac:dyDescent="0.25">
      <c r="A8" t="s">
        <v>66</v>
      </c>
      <c r="B8" t="s">
        <v>67</v>
      </c>
      <c r="D8">
        <v>27.04</v>
      </c>
      <c r="E8" s="34">
        <f>Table3[[#This Row],[Distance (metres)]]/$B$2</f>
        <v>0.27039999999999997</v>
      </c>
      <c r="F8" s="34">
        <f>Table3[[#This Row],[Distance (metres)]]/$B$3</f>
        <v>0.32449297971918878</v>
      </c>
      <c r="G8" s="34">
        <f>(Table3[[#This Row],[Minutes Min]]+Table3[[#This Row],[Minutes Max]])/2</f>
        <v>0.29744648985959438</v>
      </c>
      <c r="H8" s="34">
        <f>IF(Table3[[#This Row],[Location]]="",0,$B$4/60)</f>
        <v>0</v>
      </c>
      <c r="I8" s="34">
        <f>Table3[[#This Row],[Minutes Avg]]+Table3[[#This Row],[Pick Up Action]]</f>
        <v>0.29744648985959438</v>
      </c>
    </row>
    <row r="9" spans="1:9" x14ac:dyDescent="0.25">
      <c r="A9" t="s">
        <v>67</v>
      </c>
      <c r="B9" t="s">
        <v>108</v>
      </c>
      <c r="C9" s="41" t="str">
        <f>VLOOKUP(Table3[[#This Row],[Ending point]],Table114[],8,FALSE)</f>
        <v>Shelf 1 - Bay A</v>
      </c>
      <c r="D9">
        <v>37.18</v>
      </c>
      <c r="E9" s="34">
        <f>Table3[[#This Row],[Distance (metres)]]/$B$2</f>
        <v>0.37180000000000002</v>
      </c>
      <c r="F9" s="34">
        <f>Table3[[#This Row],[Distance (metres)]]/$B$3</f>
        <v>0.44617784711388458</v>
      </c>
      <c r="G9" s="34">
        <f>(Table3[[#This Row],[Minutes Min]]+Table3[[#This Row],[Minutes Max]])/2</f>
        <v>0.40898892355694227</v>
      </c>
      <c r="H9" s="34">
        <f>IF(Table3[[#This Row],[Location]]="",0,$B$4/60)</f>
        <v>8.3333333333333329E-2</v>
      </c>
      <c r="I9" s="34">
        <f>Table3[[#This Row],[Minutes Avg]]+Table3[[#This Row],[Pick Up Action]]</f>
        <v>0.49232225689027559</v>
      </c>
    </row>
    <row r="10" spans="1:9" x14ac:dyDescent="0.25">
      <c r="A10" t="s">
        <v>108</v>
      </c>
      <c r="B10" t="s">
        <v>109</v>
      </c>
      <c r="C10" s="41" t="str">
        <f>VLOOKUP(Table3[[#This Row],[Ending point]],Table114[],8,FALSE)</f>
        <v>Shelf 2 - Bay A</v>
      </c>
      <c r="D10">
        <v>1.93</v>
      </c>
      <c r="E10" s="34">
        <f>Table3[[#This Row],[Distance (metres)]]/$B$2</f>
        <v>1.9299999999999998E-2</v>
      </c>
      <c r="F10" s="34">
        <f>Table3[[#This Row],[Distance (metres)]]/$B$3</f>
        <v>2.3160926437057482E-2</v>
      </c>
      <c r="G10" s="34">
        <f>(Table3[[#This Row],[Minutes Min]]+Table3[[#This Row],[Minutes Max]])/2</f>
        <v>2.1230463218528742E-2</v>
      </c>
      <c r="H10" s="34">
        <f>IF(Table3[[#This Row],[Location]]="",0,$B$4/60)</f>
        <v>8.3333333333333329E-2</v>
      </c>
      <c r="I10" s="34">
        <f>Table3[[#This Row],[Minutes Avg]]+Table3[[#This Row],[Pick Up Action]]</f>
        <v>0.10456379655186207</v>
      </c>
    </row>
    <row r="11" spans="1:9" x14ac:dyDescent="0.25">
      <c r="A11" t="s">
        <v>109</v>
      </c>
      <c r="B11" t="s">
        <v>110</v>
      </c>
      <c r="C11" s="41" t="str">
        <f>VLOOKUP(Table3[[#This Row],[Ending point]],Table114[],8,FALSE)</f>
        <v>Shelf 3 - Bay C</v>
      </c>
      <c r="D11">
        <v>15.23</v>
      </c>
      <c r="E11" s="34">
        <f>Table3[[#This Row],[Distance (metres)]]/$B$2</f>
        <v>0.15229999999999999</v>
      </c>
      <c r="F11" s="34">
        <f>Table3[[#This Row],[Distance (metres)]]/$B$3</f>
        <v>0.18276731069242771</v>
      </c>
      <c r="G11" s="34">
        <f>(Table3[[#This Row],[Minutes Min]]+Table3[[#This Row],[Minutes Max]])/2</f>
        <v>0.16753365534621384</v>
      </c>
      <c r="H11" s="34">
        <f>IF(Table3[[#This Row],[Location]]="",0,$B$4/60)</f>
        <v>8.3333333333333329E-2</v>
      </c>
      <c r="I11" s="34">
        <f>Table3[[#This Row],[Minutes Avg]]+Table3[[#This Row],[Pick Up Action]]</f>
        <v>0.25086698867954715</v>
      </c>
    </row>
    <row r="12" spans="1:9" x14ac:dyDescent="0.25">
      <c r="A12" t="s">
        <v>110</v>
      </c>
      <c r="B12" t="s">
        <v>111</v>
      </c>
      <c r="C12" s="41" t="str">
        <f>VLOOKUP(Table3[[#This Row],[Ending point]],Table114[],8,FALSE)</f>
        <v>Shelf 4 - Bay D</v>
      </c>
      <c r="D12">
        <v>2.85</v>
      </c>
      <c r="E12" s="34">
        <f>Table3[[#This Row],[Distance (metres)]]/$B$2</f>
        <v>2.8500000000000001E-2</v>
      </c>
      <c r="F12" s="34">
        <f>Table3[[#This Row],[Distance (metres)]]/$B$3</f>
        <v>3.4201368054722188E-2</v>
      </c>
      <c r="G12" s="34">
        <f>(Table3[[#This Row],[Minutes Min]]+Table3[[#This Row],[Minutes Max]])/2</f>
        <v>3.1350684027361096E-2</v>
      </c>
      <c r="H12" s="34">
        <f>IF(Table3[[#This Row],[Location]]="",0,$B$4/60)</f>
        <v>8.3333333333333329E-2</v>
      </c>
      <c r="I12" s="34">
        <f>Table3[[#This Row],[Minutes Avg]]+Table3[[#This Row],[Pick Up Action]]</f>
        <v>0.11468401736069442</v>
      </c>
    </row>
    <row r="13" spans="1:9" x14ac:dyDescent="0.25">
      <c r="A13" t="s">
        <v>111</v>
      </c>
      <c r="B13" t="s">
        <v>112</v>
      </c>
      <c r="C13" s="41" t="str">
        <f>VLOOKUP(Table3[[#This Row],[Ending point]],Table114[],8,FALSE)</f>
        <v>Shelf 5 - Bay E</v>
      </c>
      <c r="D13">
        <v>8.1300000000000008</v>
      </c>
      <c r="E13" s="34">
        <f>Table3[[#This Row],[Distance (metres)]]/$B$2</f>
        <v>8.1300000000000011E-2</v>
      </c>
      <c r="F13" s="34">
        <f>Table3[[#This Row],[Distance (metres)]]/$B$3</f>
        <v>9.7563902556102255E-2</v>
      </c>
      <c r="G13" s="34">
        <f>(Table3[[#This Row],[Minutes Min]]+Table3[[#This Row],[Minutes Max]])/2</f>
        <v>8.9431951278051133E-2</v>
      </c>
      <c r="H13" s="34">
        <f>IF(Table3[[#This Row],[Location]]="",0,$B$4/60)</f>
        <v>8.3333333333333329E-2</v>
      </c>
      <c r="I13" s="34">
        <f>Table3[[#This Row],[Minutes Avg]]+Table3[[#This Row],[Pick Up Action]]</f>
        <v>0.17276528461138446</v>
      </c>
    </row>
    <row r="14" spans="1:9" x14ac:dyDescent="0.25">
      <c r="A14" t="s">
        <v>112</v>
      </c>
      <c r="B14" t="s">
        <v>113</v>
      </c>
      <c r="C14" s="41" t="str">
        <f>VLOOKUP(Table3[[#This Row],[Ending point]],Table114[],8,FALSE)</f>
        <v>Shelf 6 - Bay B</v>
      </c>
      <c r="D14">
        <v>7.07</v>
      </c>
      <c r="E14" s="34">
        <f>Table3[[#This Row],[Distance (metres)]]/$B$2</f>
        <v>7.0699999999999999E-2</v>
      </c>
      <c r="F14" s="34">
        <f>Table3[[#This Row],[Distance (metres)]]/$B$3</f>
        <v>8.4843393735749437E-2</v>
      </c>
      <c r="G14" s="34">
        <f>(Table3[[#This Row],[Minutes Min]]+Table3[[#This Row],[Minutes Max]])/2</f>
        <v>7.7771696867874718E-2</v>
      </c>
      <c r="H14" s="34">
        <f>IF(Table3[[#This Row],[Location]]="",0,$B$4/60)</f>
        <v>8.3333333333333329E-2</v>
      </c>
      <c r="I14" s="34">
        <f>Table3[[#This Row],[Minutes Avg]]+Table3[[#This Row],[Pick Up Action]]</f>
        <v>0.16110503020120803</v>
      </c>
    </row>
    <row r="15" spans="1:9" x14ac:dyDescent="0.25">
      <c r="A15" t="s">
        <v>113</v>
      </c>
      <c r="B15" t="s">
        <v>114</v>
      </c>
      <c r="C15" s="41" t="str">
        <f>VLOOKUP(Table3[[#This Row],[Ending point]],Table114[],8,FALSE)</f>
        <v>Shelf 7 - Bay E</v>
      </c>
      <c r="D15">
        <v>13.1</v>
      </c>
      <c r="E15" s="34">
        <f>Table3[[#This Row],[Distance (metres)]]/$B$2</f>
        <v>0.13100000000000001</v>
      </c>
      <c r="F15" s="34">
        <f>Table3[[#This Row],[Distance (metres)]]/$B$3</f>
        <v>0.15720628825153005</v>
      </c>
      <c r="G15" s="34">
        <f>(Table3[[#This Row],[Minutes Min]]+Table3[[#This Row],[Minutes Max]])/2</f>
        <v>0.14410314412576503</v>
      </c>
      <c r="H15" s="34">
        <f>IF(Table3[[#This Row],[Location]]="",0,$B$4/60)</f>
        <v>8.3333333333333329E-2</v>
      </c>
      <c r="I15" s="34">
        <f>Table3[[#This Row],[Minutes Avg]]+Table3[[#This Row],[Pick Up Action]]</f>
        <v>0.22743647745909834</v>
      </c>
    </row>
    <row r="16" spans="1:9" x14ac:dyDescent="0.25">
      <c r="A16" t="s">
        <v>114</v>
      </c>
      <c r="B16" t="s">
        <v>115</v>
      </c>
      <c r="C16" s="41" t="str">
        <f>VLOOKUP(Table3[[#This Row],[Ending point]],Table114[],8,FALSE)</f>
        <v>Shelf 7 - Bay B</v>
      </c>
      <c r="D16">
        <v>7.54</v>
      </c>
      <c r="E16" s="34">
        <f>Table3[[#This Row],[Distance (metres)]]/$B$2</f>
        <v>7.5399999999999995E-2</v>
      </c>
      <c r="F16" s="34">
        <f>Table3[[#This Row],[Distance (metres)]]/$B$3</f>
        <v>9.0483619344773794E-2</v>
      </c>
      <c r="G16" s="34">
        <f>(Table3[[#This Row],[Minutes Min]]+Table3[[#This Row],[Minutes Max]])/2</f>
        <v>8.2941809672386901E-2</v>
      </c>
      <c r="H16" s="34">
        <f>IF(Table3[[#This Row],[Location]]="",0,$B$4/60)</f>
        <v>8.3333333333333329E-2</v>
      </c>
      <c r="I16" s="34">
        <f>Table3[[#This Row],[Minutes Avg]]+Table3[[#This Row],[Pick Up Action]]</f>
        <v>0.16627514300572022</v>
      </c>
    </row>
    <row r="17" spans="1:9" x14ac:dyDescent="0.25">
      <c r="A17" t="s">
        <v>115</v>
      </c>
      <c r="B17" t="s">
        <v>116</v>
      </c>
      <c r="C17" s="41" t="str">
        <f>VLOOKUP(Table3[[#This Row],[Ending point]],Table114[],8,FALSE)</f>
        <v>Shelf 10 - Bay E</v>
      </c>
      <c r="D17">
        <v>25.54</v>
      </c>
      <c r="E17" s="34">
        <f>Table3[[#This Row],[Distance (metres)]]/$B$2</f>
        <v>0.25540000000000002</v>
      </c>
      <c r="F17" s="34">
        <f>Table3[[#This Row],[Distance (metres)]]/$B$3</f>
        <v>0.30649225969038763</v>
      </c>
      <c r="G17" s="34">
        <f>(Table3[[#This Row],[Minutes Min]]+Table3[[#This Row],[Minutes Max]])/2</f>
        <v>0.28094612984519385</v>
      </c>
      <c r="H17" s="34">
        <f>IF(Table3[[#This Row],[Location]]="",0,$B$4/60)</f>
        <v>8.3333333333333329E-2</v>
      </c>
      <c r="I17" s="34">
        <f>Table3[[#This Row],[Minutes Avg]]+Table3[[#This Row],[Pick Up Action]]</f>
        <v>0.36427946317852716</v>
      </c>
    </row>
    <row r="18" spans="1:9" x14ac:dyDescent="0.25">
      <c r="A18" t="s">
        <v>116</v>
      </c>
      <c r="B18" t="s">
        <v>117</v>
      </c>
      <c r="C18" s="41" t="str">
        <f>VLOOKUP(Table3[[#This Row],[Ending point]],Table114[],8,FALSE)</f>
        <v>Shelf 10 - Bay C</v>
      </c>
      <c r="D18">
        <v>5.01</v>
      </c>
      <c r="E18" s="34">
        <f>Table3[[#This Row],[Distance (metres)]]/$B$2</f>
        <v>5.0099999999999999E-2</v>
      </c>
      <c r="F18" s="34">
        <f>Table3[[#This Row],[Distance (metres)]]/$B$3</f>
        <v>6.0122404896195844E-2</v>
      </c>
      <c r="G18" s="34">
        <f>(Table3[[#This Row],[Minutes Min]]+Table3[[#This Row],[Minutes Max]])/2</f>
        <v>5.5111202448097918E-2</v>
      </c>
      <c r="H18" s="34">
        <f>IF(Table3[[#This Row],[Location]]="",0,$B$4/60)</f>
        <v>8.3333333333333329E-2</v>
      </c>
      <c r="I18" s="34">
        <f>Table3[[#This Row],[Minutes Avg]]+Table3[[#This Row],[Pick Up Action]]</f>
        <v>0.13844453578143123</v>
      </c>
    </row>
    <row r="19" spans="1:9" x14ac:dyDescent="0.25">
      <c r="A19" t="s">
        <v>117</v>
      </c>
      <c r="B19" t="s">
        <v>118</v>
      </c>
      <c r="C19" s="41" t="str">
        <f>VLOOKUP(Table3[[#This Row],[Ending point]],Table114[],8,FALSE)</f>
        <v>Shelf 14 - Bay A</v>
      </c>
      <c r="D19">
        <v>18.27</v>
      </c>
      <c r="E19" s="34">
        <f>Table3[[#This Row],[Distance (metres)]]/$B$2</f>
        <v>0.1827</v>
      </c>
      <c r="F19" s="34">
        <f>Table3[[#This Row],[Distance (metres)]]/$B$3</f>
        <v>0.21924876995079803</v>
      </c>
      <c r="G19" s="34">
        <f>(Table3[[#This Row],[Minutes Min]]+Table3[[#This Row],[Minutes Max]])/2</f>
        <v>0.20097438497539902</v>
      </c>
      <c r="H19" s="34">
        <f>IF(Table3[[#This Row],[Location]]="",0,$B$4/60)</f>
        <v>8.3333333333333329E-2</v>
      </c>
      <c r="I19" s="34">
        <f>Table3[[#This Row],[Minutes Avg]]+Table3[[#This Row],[Pick Up Action]]</f>
        <v>0.28430771830873236</v>
      </c>
    </row>
    <row r="20" spans="1:9" x14ac:dyDescent="0.25">
      <c r="A20" t="s">
        <v>118</v>
      </c>
      <c r="B20" t="s">
        <v>119</v>
      </c>
      <c r="C20" s="41" t="str">
        <f>VLOOKUP(Table3[[#This Row],[Ending point]],Table114[],8,FALSE)</f>
        <v>Shelf 8 - Bay E</v>
      </c>
      <c r="D20">
        <v>6.68</v>
      </c>
      <c r="E20" s="34">
        <f>Table3[[#This Row],[Distance (metres)]]/$B$2</f>
        <v>6.6799999999999998E-2</v>
      </c>
      <c r="F20" s="34">
        <f>Table3[[#This Row],[Distance (metres)]]/$B$3</f>
        <v>8.016320652826113E-2</v>
      </c>
      <c r="G20" s="34">
        <f>(Table3[[#This Row],[Minutes Min]]+Table3[[#This Row],[Minutes Max]])/2</f>
        <v>7.3481603264130557E-2</v>
      </c>
      <c r="H20" s="34">
        <f>IF(Table3[[#This Row],[Location]]="",0,$B$4/60)</f>
        <v>8.3333333333333329E-2</v>
      </c>
      <c r="I20" s="34">
        <f>Table3[[#This Row],[Minutes Avg]]+Table3[[#This Row],[Pick Up Action]]</f>
        <v>0.15681493659746387</v>
      </c>
    </row>
    <row r="21" spans="1:9" x14ac:dyDescent="0.25">
      <c r="A21" t="s">
        <v>119</v>
      </c>
      <c r="B21" t="s">
        <v>66</v>
      </c>
      <c r="D21">
        <v>16.28</v>
      </c>
      <c r="E21" s="34">
        <f>Table3[[#This Row],[Distance (metres)]]/$B$2</f>
        <v>0.1628</v>
      </c>
      <c r="F21" s="34">
        <f>Table3[[#This Row],[Distance (metres)]]/$B$3</f>
        <v>0.19536781471258852</v>
      </c>
      <c r="G21" s="34">
        <f>(Table3[[#This Row],[Minutes Min]]+Table3[[#This Row],[Minutes Max]])/2</f>
        <v>0.17908390735629426</v>
      </c>
      <c r="H21" s="34">
        <f>IF(Table3[[#This Row],[Location]]="",0,$B$4/60)</f>
        <v>0</v>
      </c>
      <c r="I21" s="34">
        <f>Table3[[#This Row],[Minutes Avg]]+Table3[[#This Row],[Pick Up Action]]</f>
        <v>0.17908390735629426</v>
      </c>
    </row>
    <row r="22" spans="1:9" x14ac:dyDescent="0.25">
      <c r="A22" s="37" t="s">
        <v>95</v>
      </c>
      <c r="B22" s="37"/>
      <c r="D22" s="37">
        <f>SUBTOTAL(109,Table3[Distance (metres)])</f>
        <v>191.85000000000002</v>
      </c>
      <c r="E22" s="34">
        <f>SUBTOTAL(109,Table3[Minutes Min])</f>
        <v>1.9185000000000001</v>
      </c>
      <c r="F22" s="34">
        <f>SUBTOTAL(109,Table3[Minutes Max])</f>
        <v>2.3022920916836673</v>
      </c>
      <c r="G22" s="34">
        <f>SUBTOTAL(109,Table3[Minutes Avg])</f>
        <v>2.110396045841834</v>
      </c>
      <c r="H22" s="34">
        <f>SUBTOTAL(109,Table3[Pick Up Action])</f>
        <v>1</v>
      </c>
      <c r="I22" s="34">
        <f>SUBTOTAL(109,Table3[Total avg Time])</f>
        <v>3.1103960458418345</v>
      </c>
    </row>
  </sheetData>
  <pageMargins left="0.7" right="0.7" top="0.75" bottom="0.75" header="0.3" footer="0.3"/>
  <ignoredErrors>
    <ignoredError sqref="C9 C10:C20" calculatedColumn="1"/>
  </ignoredErrors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I44"/>
  <sheetViews>
    <sheetView topLeftCell="A7" zoomScaleNormal="100" workbookViewId="0">
      <selection activeCell="F27" sqref="F27"/>
    </sheetView>
  </sheetViews>
  <sheetFormatPr defaultRowHeight="15" x14ac:dyDescent="0.25"/>
  <cols>
    <col min="1" max="7" width="15.42578125" customWidth="1"/>
    <col min="8" max="9" width="15.42578125" style="41" customWidth="1"/>
    <col min="10" max="10" width="1.7109375" customWidth="1"/>
  </cols>
  <sheetData>
    <row r="1" spans="1:9" ht="23.25" x14ac:dyDescent="0.35">
      <c r="A1" s="6" t="s">
        <v>305</v>
      </c>
    </row>
    <row r="2" spans="1:9" s="41" customFormat="1" x14ac:dyDescent="0.25">
      <c r="A2" s="41" t="s">
        <v>318</v>
      </c>
      <c r="B2" s="45">
        <f>Assumption_3.01</f>
        <v>100</v>
      </c>
      <c r="C2" s="41" t="s">
        <v>322</v>
      </c>
    </row>
    <row r="3" spans="1:9" s="41" customFormat="1" x14ac:dyDescent="0.25">
      <c r="A3" s="41" t="s">
        <v>319</v>
      </c>
      <c r="B3" s="45">
        <f>Assumption_3.02</f>
        <v>83.33</v>
      </c>
      <c r="C3" s="41" t="s">
        <v>322</v>
      </c>
    </row>
    <row r="4" spans="1:9" s="41" customFormat="1" x14ac:dyDescent="0.25">
      <c r="A4" s="99" t="s">
        <v>320</v>
      </c>
      <c r="B4" s="45">
        <f>Assumption_3.03</f>
        <v>5</v>
      </c>
      <c r="C4" s="41" t="s">
        <v>321</v>
      </c>
    </row>
    <row r="5" spans="1:9" s="41" customFormat="1" x14ac:dyDescent="0.25"/>
    <row r="6" spans="1:9" s="41" customFormat="1" ht="17.25" x14ac:dyDescent="0.25">
      <c r="A6" s="7" t="s">
        <v>382</v>
      </c>
    </row>
    <row r="7" spans="1:9" x14ac:dyDescent="0.25">
      <c r="A7" s="41" t="s">
        <v>63</v>
      </c>
      <c r="B7" s="41" t="s">
        <v>64</v>
      </c>
      <c r="C7" s="41" t="s">
        <v>297</v>
      </c>
      <c r="D7" s="41" t="s">
        <v>65</v>
      </c>
      <c r="E7" s="41" t="s">
        <v>69</v>
      </c>
      <c r="F7" s="41" t="s">
        <v>68</v>
      </c>
      <c r="G7" s="41" t="s">
        <v>70</v>
      </c>
      <c r="H7" s="41" t="s">
        <v>320</v>
      </c>
      <c r="I7" s="41" t="s">
        <v>323</v>
      </c>
    </row>
    <row r="8" spans="1:9" x14ac:dyDescent="0.25">
      <c r="A8" s="121" t="s">
        <v>66</v>
      </c>
      <c r="B8" s="91" t="s">
        <v>116</v>
      </c>
      <c r="C8" s="91" t="str">
        <f>IFERROR(VLOOKUP(Table55[[#This Row],[Ending point]],Table114[],12,FALSE),"")</f>
        <v>Shelf 10 - Bay E</v>
      </c>
      <c r="D8" s="91">
        <v>6.24</v>
      </c>
      <c r="E8" s="92">
        <f t="shared" ref="E8:E20" si="0">D8/$B$2</f>
        <v>6.2400000000000004E-2</v>
      </c>
      <c r="F8" s="92">
        <f t="shared" ref="F8:F20" si="1">D8/$B$3</f>
        <v>7.4882995319812795E-2</v>
      </c>
      <c r="G8" s="93">
        <f>E8+F8/2</f>
        <v>9.9841497659906409E-2</v>
      </c>
      <c r="H8" s="34">
        <f>IF(Table55[[#This Row],[Location]]="",0,$B$4/60)</f>
        <v>8.3333333333333329E-2</v>
      </c>
      <c r="I8" s="34">
        <f>Table55[[#This Row],[Minutes Avg]]+Table55[[#This Row],[Pick Up Action]]</f>
        <v>0.18317483099323972</v>
      </c>
    </row>
    <row r="9" spans="1:9" x14ac:dyDescent="0.25">
      <c r="A9" s="94" t="s">
        <v>116</v>
      </c>
      <c r="B9" s="83" t="s">
        <v>117</v>
      </c>
      <c r="C9" s="83" t="str">
        <f>IFERROR(VLOOKUP(Table55[[#This Row],[Ending point]],Table114[],12,FALSE),"")</f>
        <v>Shelf 10 - Bay C</v>
      </c>
      <c r="D9" s="83">
        <v>4.87</v>
      </c>
      <c r="E9" s="95">
        <f t="shared" si="0"/>
        <v>4.87E-2</v>
      </c>
      <c r="F9" s="95">
        <f t="shared" si="1"/>
        <v>5.8442337693507741E-2</v>
      </c>
      <c r="G9" s="96">
        <f t="shared" ref="G9:G20" si="2">E9+F9/2</f>
        <v>7.7921168846753874E-2</v>
      </c>
      <c r="H9" s="34">
        <f>IF(Table55[[#This Row],[Location]]="",0,$B$4/60)</f>
        <v>8.3333333333333329E-2</v>
      </c>
      <c r="I9" s="34">
        <f>Table55[[#This Row],[Minutes Avg]]+Table55[[#This Row],[Pick Up Action]]</f>
        <v>0.16125450218008719</v>
      </c>
    </row>
    <row r="10" spans="1:9" x14ac:dyDescent="0.25">
      <c r="A10" s="90" t="s">
        <v>117</v>
      </c>
      <c r="B10" s="91" t="s">
        <v>111</v>
      </c>
      <c r="C10" s="91" t="str">
        <f>IFERROR(VLOOKUP(Table55[[#This Row],[Ending point]],Table114[],12,FALSE),"")</f>
        <v>Shelf 10 - Bay B</v>
      </c>
      <c r="D10" s="91">
        <v>2.87</v>
      </c>
      <c r="E10" s="92">
        <f t="shared" si="0"/>
        <v>2.87E-2</v>
      </c>
      <c r="F10" s="92">
        <f t="shared" si="1"/>
        <v>3.4441377655106208E-2</v>
      </c>
      <c r="G10" s="93">
        <f t="shared" si="2"/>
        <v>4.5920688827553104E-2</v>
      </c>
      <c r="H10" s="34">
        <f>IF(Table55[[#This Row],[Location]]="",0,$B$4/60)</f>
        <v>8.3333333333333329E-2</v>
      </c>
      <c r="I10" s="34">
        <f>Table55[[#This Row],[Minutes Avg]]+Table55[[#This Row],[Pick Up Action]]</f>
        <v>0.12925402216088644</v>
      </c>
    </row>
    <row r="11" spans="1:9" x14ac:dyDescent="0.25">
      <c r="A11" s="94" t="s">
        <v>111</v>
      </c>
      <c r="B11" s="83" t="s">
        <v>108</v>
      </c>
      <c r="C11" s="83" t="str">
        <f>IFERROR(VLOOKUP(Table55[[#This Row],[Ending point]],Table114[],12,FALSE),"")</f>
        <v>Shelf 1 - Bay A</v>
      </c>
      <c r="D11" s="83">
        <v>2.1800000000000002</v>
      </c>
      <c r="E11" s="95">
        <f t="shared" si="0"/>
        <v>2.18E-2</v>
      </c>
      <c r="F11" s="95">
        <f t="shared" si="1"/>
        <v>2.6161046441857676E-2</v>
      </c>
      <c r="G11" s="96">
        <f t="shared" si="2"/>
        <v>3.4880523220928841E-2</v>
      </c>
      <c r="H11" s="34">
        <f>IF(Table55[[#This Row],[Location]]="",0,$B$4/60)</f>
        <v>8.3333333333333329E-2</v>
      </c>
      <c r="I11" s="34">
        <f>Table55[[#This Row],[Minutes Avg]]+Table55[[#This Row],[Pick Up Action]]</f>
        <v>0.11821385655426217</v>
      </c>
    </row>
    <row r="12" spans="1:9" x14ac:dyDescent="0.25">
      <c r="A12" s="90" t="s">
        <v>108</v>
      </c>
      <c r="B12" s="91" t="s">
        <v>112</v>
      </c>
      <c r="C12" s="91" t="str">
        <f>IFERROR(VLOOKUP(Table55[[#This Row],[Ending point]],Table114[],12,FALSE),"")</f>
        <v>Shelf 10 - Bay A</v>
      </c>
      <c r="D12" s="91">
        <v>2.04</v>
      </c>
      <c r="E12" s="92">
        <f t="shared" si="0"/>
        <v>2.0400000000000001E-2</v>
      </c>
      <c r="F12" s="92">
        <f t="shared" si="1"/>
        <v>2.4480979239169566E-2</v>
      </c>
      <c r="G12" s="93">
        <f t="shared" si="2"/>
        <v>3.2640489619584781E-2</v>
      </c>
      <c r="H12" s="34">
        <f>IF(Table55[[#This Row],[Location]]="",0,$B$4/60)</f>
        <v>8.3333333333333329E-2</v>
      </c>
      <c r="I12" s="34">
        <f>Table55[[#This Row],[Minutes Avg]]+Table55[[#This Row],[Pick Up Action]]</f>
        <v>0.11597382295291811</v>
      </c>
    </row>
    <row r="13" spans="1:9" x14ac:dyDescent="0.25">
      <c r="A13" s="94" t="s">
        <v>112</v>
      </c>
      <c r="B13" s="83" t="s">
        <v>118</v>
      </c>
      <c r="C13" s="83" t="str">
        <f>IFERROR(VLOOKUP(Table55[[#This Row],[Ending point]],Table114[],12,FALSE),"")</f>
        <v>Shelf 14 - Bay A</v>
      </c>
      <c r="D13" s="83">
        <v>5.52</v>
      </c>
      <c r="E13" s="95">
        <f t="shared" si="0"/>
        <v>5.5199999999999999E-2</v>
      </c>
      <c r="F13" s="95">
        <f t="shared" si="1"/>
        <v>6.6242649705988241E-2</v>
      </c>
      <c r="G13" s="96">
        <f t="shared" si="2"/>
        <v>8.8321324852994126E-2</v>
      </c>
      <c r="H13" s="34">
        <f>IF(Table55[[#This Row],[Location]]="",0,$B$4/60)</f>
        <v>8.3333333333333329E-2</v>
      </c>
      <c r="I13" s="34">
        <f>Table55[[#This Row],[Minutes Avg]]+Table55[[#This Row],[Pick Up Action]]</f>
        <v>0.17165465818632747</v>
      </c>
    </row>
    <row r="14" spans="1:9" x14ac:dyDescent="0.25">
      <c r="A14" s="90" t="s">
        <v>118</v>
      </c>
      <c r="B14" s="91" t="s">
        <v>109</v>
      </c>
      <c r="C14" s="91" t="str">
        <f>IFERROR(VLOOKUP(Table55[[#This Row],[Ending point]],Table114[],12,FALSE),"")</f>
        <v>Shelf 2 - Bay A</v>
      </c>
      <c r="D14" s="91">
        <v>1.97</v>
      </c>
      <c r="E14" s="92">
        <f t="shared" si="0"/>
        <v>1.9699999999999999E-2</v>
      </c>
      <c r="F14" s="92">
        <f t="shared" si="1"/>
        <v>2.3640945637825515E-2</v>
      </c>
      <c r="G14" s="93">
        <f t="shared" si="2"/>
        <v>3.1520472818912758E-2</v>
      </c>
      <c r="H14" s="34">
        <f>IF(Table55[[#This Row],[Location]]="",0,$B$4/60)</f>
        <v>8.3333333333333329E-2</v>
      </c>
      <c r="I14" s="34">
        <f>Table55[[#This Row],[Minutes Avg]]+Table55[[#This Row],[Pick Up Action]]</f>
        <v>0.11485380615224608</v>
      </c>
    </row>
    <row r="15" spans="1:9" x14ac:dyDescent="0.25">
      <c r="A15" s="94" t="s">
        <v>109</v>
      </c>
      <c r="B15" s="83" t="s">
        <v>110</v>
      </c>
      <c r="C15" s="83" t="str">
        <f>IFERROR(VLOOKUP(Table55[[#This Row],[Ending point]],Table114[],12,FALSE),"")</f>
        <v>Shelf 3 - Bay C</v>
      </c>
      <c r="D15" s="83">
        <v>5.73</v>
      </c>
      <c r="E15" s="95">
        <f t="shared" si="0"/>
        <v>5.7300000000000004E-2</v>
      </c>
      <c r="F15" s="95">
        <f t="shared" si="1"/>
        <v>6.8762750510020412E-2</v>
      </c>
      <c r="G15" s="96">
        <f t="shared" si="2"/>
        <v>9.1681375255010217E-2</v>
      </c>
      <c r="H15" s="34">
        <f>IF(Table55[[#This Row],[Location]]="",0,$B$4/60)</f>
        <v>8.3333333333333329E-2</v>
      </c>
      <c r="I15" s="34">
        <f>Table55[[#This Row],[Minutes Avg]]+Table55[[#This Row],[Pick Up Action]]</f>
        <v>0.17501470858834356</v>
      </c>
    </row>
    <row r="16" spans="1:9" x14ac:dyDescent="0.25">
      <c r="A16" s="90" t="s">
        <v>110</v>
      </c>
      <c r="B16" s="91" t="s">
        <v>113</v>
      </c>
      <c r="C16" s="91" t="str">
        <f>IFERROR(VLOOKUP(Table55[[#This Row],[Ending point]],Table114[],12,FALSE),"")</f>
        <v>Shelf 6 - Bay B</v>
      </c>
      <c r="D16" s="91">
        <v>11.2</v>
      </c>
      <c r="E16" s="92">
        <f t="shared" si="0"/>
        <v>0.11199999999999999</v>
      </c>
      <c r="F16" s="92">
        <f t="shared" si="1"/>
        <v>0.13440537621504858</v>
      </c>
      <c r="G16" s="93">
        <f t="shared" si="2"/>
        <v>0.17920268810752427</v>
      </c>
      <c r="H16" s="34">
        <f>IF(Table55[[#This Row],[Location]]="",0,$B$4/60)</f>
        <v>8.3333333333333329E-2</v>
      </c>
      <c r="I16" s="34">
        <f>Table55[[#This Row],[Minutes Avg]]+Table55[[#This Row],[Pick Up Action]]</f>
        <v>0.26253602144085758</v>
      </c>
    </row>
    <row r="17" spans="1:9" x14ac:dyDescent="0.25">
      <c r="A17" s="94" t="s">
        <v>113</v>
      </c>
      <c r="B17" s="83" t="s">
        <v>115</v>
      </c>
      <c r="C17" s="83" t="str">
        <f>IFERROR(VLOOKUP(Table55[[#This Row],[Ending point]],Table114[],12,FALSE),"")</f>
        <v>Shelf 7 - Bay B</v>
      </c>
      <c r="D17" s="83">
        <v>2.62</v>
      </c>
      <c r="E17" s="95">
        <f t="shared" si="0"/>
        <v>2.6200000000000001E-2</v>
      </c>
      <c r="F17" s="95">
        <f t="shared" si="1"/>
        <v>3.1441257650306018E-2</v>
      </c>
      <c r="G17" s="96">
        <f t="shared" si="2"/>
        <v>4.192062882515301E-2</v>
      </c>
      <c r="H17" s="34">
        <f>IF(Table55[[#This Row],[Location]]="",0,$B$4/60)</f>
        <v>8.3333333333333329E-2</v>
      </c>
      <c r="I17" s="34">
        <f>Table55[[#This Row],[Minutes Avg]]+Table55[[#This Row],[Pick Up Action]]</f>
        <v>0.12525396215848633</v>
      </c>
    </row>
    <row r="18" spans="1:9" x14ac:dyDescent="0.25">
      <c r="A18" s="90" t="s">
        <v>115</v>
      </c>
      <c r="B18" s="91" t="s">
        <v>119</v>
      </c>
      <c r="C18" s="91" t="str">
        <f>IFERROR(VLOOKUP(Table55[[#This Row],[Ending point]],Table114[],12,FALSE),"")</f>
        <v>Shelf 6 - Bay C</v>
      </c>
      <c r="D18" s="91">
        <v>2.08</v>
      </c>
      <c r="E18" s="92">
        <f t="shared" si="0"/>
        <v>2.0799999999999999E-2</v>
      </c>
      <c r="F18" s="92">
        <f t="shared" si="1"/>
        <v>2.4960998439937598E-2</v>
      </c>
      <c r="G18" s="93">
        <f t="shared" si="2"/>
        <v>3.3280499219968798E-2</v>
      </c>
      <c r="H18" s="34">
        <f>IF(Table55[[#This Row],[Location]]="",0,$B$4/60)</f>
        <v>8.3333333333333329E-2</v>
      </c>
      <c r="I18" s="34">
        <f>Table55[[#This Row],[Minutes Avg]]+Table55[[#This Row],[Pick Up Action]]</f>
        <v>0.11661383255330213</v>
      </c>
    </row>
    <row r="19" spans="1:9" x14ac:dyDescent="0.25">
      <c r="A19" s="94" t="s">
        <v>119</v>
      </c>
      <c r="B19" s="83" t="s">
        <v>114</v>
      </c>
      <c r="C19" s="83" t="str">
        <f>IFERROR(VLOOKUP(Table55[[#This Row],[Ending point]],Table114[],12,FALSE),"")</f>
        <v>Shelf 7 - Bay E</v>
      </c>
      <c r="D19" s="83">
        <v>5.93</v>
      </c>
      <c r="E19" s="95">
        <f t="shared" si="0"/>
        <v>5.9299999999999999E-2</v>
      </c>
      <c r="F19" s="95">
        <f t="shared" si="1"/>
        <v>7.1162846513860553E-2</v>
      </c>
      <c r="G19" s="96">
        <f t="shared" si="2"/>
        <v>9.4881423256930275E-2</v>
      </c>
      <c r="H19" s="34">
        <f>IF(Table55[[#This Row],[Location]]="",0,$B$4/60)</f>
        <v>8.3333333333333329E-2</v>
      </c>
      <c r="I19" s="34">
        <f>Table55[[#This Row],[Minutes Avg]]+Table55[[#This Row],[Pick Up Action]]</f>
        <v>0.17821475659026359</v>
      </c>
    </row>
    <row r="20" spans="1:9" x14ac:dyDescent="0.25">
      <c r="A20" s="41" t="s">
        <v>114</v>
      </c>
      <c r="B20" s="122" t="s">
        <v>66</v>
      </c>
      <c r="C20" s="41" t="str">
        <f>IFERROR(VLOOKUP(Table55[[#This Row],[Ending point]],Table114[],12,FALSE),"")</f>
        <v/>
      </c>
      <c r="D20" s="100">
        <v>7.92</v>
      </c>
      <c r="E20" s="104">
        <f t="shared" si="0"/>
        <v>7.9199999999999993E-2</v>
      </c>
      <c r="F20" s="104">
        <f t="shared" si="1"/>
        <v>9.5043801752070084E-2</v>
      </c>
      <c r="G20" s="105">
        <f t="shared" si="2"/>
        <v>0.12672190087603502</v>
      </c>
      <c r="H20" s="34">
        <f>IF(Table55[[#This Row],[Location]]="",0,$B$4/60)</f>
        <v>0</v>
      </c>
      <c r="I20" s="34">
        <f>Table55[[#This Row],[Minutes Avg]]+Table55[[#This Row],[Pick Up Action]]</f>
        <v>0.12672190087603502</v>
      </c>
    </row>
    <row r="21" spans="1:9" x14ac:dyDescent="0.25">
      <c r="A21" s="41" t="s">
        <v>95</v>
      </c>
      <c r="B21" s="41"/>
      <c r="C21" s="41"/>
      <c r="D21" s="41">
        <f>SUBTOTAL(109,Table55[Distance (metres)])</f>
        <v>61.169999999999995</v>
      </c>
      <c r="E21" s="34">
        <f>SUBTOTAL(109,Table55[Minutes Min])</f>
        <v>0.61169999999999991</v>
      </c>
      <c r="F21" s="34">
        <f>SUBTOTAL(109,Table55[Minutes Max])</f>
        <v>0.73406936277451096</v>
      </c>
      <c r="G21" s="34">
        <f>SUBTOTAL(109,Table55[Minutes Avg])</f>
        <v>0.9787346813872555</v>
      </c>
      <c r="H21" s="34">
        <f>SUBTOTAL(109,Table55[Pick Up Action])</f>
        <v>1</v>
      </c>
      <c r="I21" s="34">
        <f>SUBTOTAL(109,Table55[Total avg Time])</f>
        <v>1.9787346813872553</v>
      </c>
    </row>
    <row r="23" spans="1:9" s="41" customFormat="1" x14ac:dyDescent="0.25"/>
    <row r="24" spans="1:9" s="41" customFormat="1" x14ac:dyDescent="0.25"/>
    <row r="25" spans="1:9" s="41" customFormat="1" x14ac:dyDescent="0.25"/>
    <row r="27" spans="1:9" ht="17.25" x14ac:dyDescent="0.25">
      <c r="A27" s="7" t="s">
        <v>383</v>
      </c>
    </row>
    <row r="28" spans="1:9" s="41" customFormat="1" x14ac:dyDescent="0.25">
      <c r="A28" s="99" t="s">
        <v>385</v>
      </c>
    </row>
    <row r="29" spans="1:9" x14ac:dyDescent="0.25">
      <c r="A29" t="s">
        <v>386</v>
      </c>
    </row>
    <row r="30" spans="1:9" x14ac:dyDescent="0.25">
      <c r="A30" s="41" t="s">
        <v>63</v>
      </c>
      <c r="B30" s="41" t="s">
        <v>64</v>
      </c>
      <c r="C30" s="41" t="s">
        <v>297</v>
      </c>
      <c r="D30" s="41" t="s">
        <v>65</v>
      </c>
      <c r="E30" s="41" t="s">
        <v>69</v>
      </c>
      <c r="F30" s="41" t="s">
        <v>68</v>
      </c>
      <c r="G30" s="41" t="s">
        <v>70</v>
      </c>
      <c r="H30" s="41" t="s">
        <v>320</v>
      </c>
      <c r="I30" s="41" t="s">
        <v>323</v>
      </c>
    </row>
    <row r="31" spans="1:9" x14ac:dyDescent="0.25">
      <c r="A31" s="121" t="s">
        <v>384</v>
      </c>
      <c r="B31" s="91" t="s">
        <v>116</v>
      </c>
      <c r="C31" s="91" t="str">
        <f>IFERROR(VLOOKUP(Table559[[#This Row],[Ending point]],Table114[],12,FALSE),"")</f>
        <v>Shelf 10 - Bay E</v>
      </c>
      <c r="D31" s="92">
        <v>7.8</v>
      </c>
      <c r="E31" s="92">
        <f t="shared" ref="E31:E43" si="3">D31/$B$2</f>
        <v>7.8E-2</v>
      </c>
      <c r="F31" s="92">
        <f t="shared" ref="F31:F43" si="4">D31/$B$3</f>
        <v>9.3603744149765994E-2</v>
      </c>
      <c r="G31" s="93">
        <f>E31+F31/2</f>
        <v>0.124801872074883</v>
      </c>
      <c r="H31" s="34">
        <f>IF(Table559[[#This Row],[Location]]="",0,$B$4/60)</f>
        <v>8.3333333333333329E-2</v>
      </c>
      <c r="I31" s="34">
        <f>Table559[[#This Row],[Minutes Avg]]+Table559[[#This Row],[Pick Up Action]]</f>
        <v>0.20813520540821634</v>
      </c>
    </row>
    <row r="32" spans="1:9" x14ac:dyDescent="0.25">
      <c r="A32" s="94" t="s">
        <v>116</v>
      </c>
      <c r="B32" s="83" t="s">
        <v>117</v>
      </c>
      <c r="C32" s="83" t="str">
        <f>IFERROR(VLOOKUP(Table559[[#This Row],[Ending point]],Table114[],12,FALSE),"")</f>
        <v>Shelf 10 - Bay C</v>
      </c>
      <c r="D32" s="95">
        <v>4.87</v>
      </c>
      <c r="E32" s="95">
        <f t="shared" si="3"/>
        <v>4.87E-2</v>
      </c>
      <c r="F32" s="95">
        <f t="shared" si="4"/>
        <v>5.8442337693507741E-2</v>
      </c>
      <c r="G32" s="96">
        <f t="shared" ref="G32:G43" si="5">E32+F32/2</f>
        <v>7.7921168846753874E-2</v>
      </c>
      <c r="H32" s="34">
        <f>IF(Table559[[#This Row],[Location]]="",0,$B$4/60)</f>
        <v>8.3333333333333329E-2</v>
      </c>
      <c r="I32" s="34">
        <f>Table559[[#This Row],[Minutes Avg]]+Table559[[#This Row],[Pick Up Action]]</f>
        <v>0.16125450218008719</v>
      </c>
    </row>
    <row r="33" spans="1:9" x14ac:dyDescent="0.25">
      <c r="A33" s="90" t="s">
        <v>117</v>
      </c>
      <c r="B33" s="91" t="s">
        <v>111</v>
      </c>
      <c r="C33" s="91" t="str">
        <f>IFERROR(VLOOKUP(Table559[[#This Row],[Ending point]],Table114[],12,FALSE),"")</f>
        <v>Shelf 10 - Bay B</v>
      </c>
      <c r="D33" s="92">
        <v>2.87</v>
      </c>
      <c r="E33" s="92">
        <f t="shared" si="3"/>
        <v>2.87E-2</v>
      </c>
      <c r="F33" s="92">
        <f t="shared" si="4"/>
        <v>3.4441377655106208E-2</v>
      </c>
      <c r="G33" s="93">
        <f t="shared" si="5"/>
        <v>4.5920688827553104E-2</v>
      </c>
      <c r="H33" s="34">
        <f>IF(Table559[[#This Row],[Location]]="",0,$B$4/60)</f>
        <v>8.3333333333333329E-2</v>
      </c>
      <c r="I33" s="34">
        <f>Table559[[#This Row],[Minutes Avg]]+Table559[[#This Row],[Pick Up Action]]</f>
        <v>0.12925402216088644</v>
      </c>
    </row>
    <row r="34" spans="1:9" x14ac:dyDescent="0.25">
      <c r="A34" s="94" t="s">
        <v>111</v>
      </c>
      <c r="B34" s="83" t="s">
        <v>108</v>
      </c>
      <c r="C34" s="83" t="str">
        <f>IFERROR(VLOOKUP(Table559[[#This Row],[Ending point]],Table114[],12,FALSE),"")</f>
        <v>Shelf 1 - Bay A</v>
      </c>
      <c r="D34" s="95">
        <v>2.1800000000000002</v>
      </c>
      <c r="E34" s="95">
        <f t="shared" si="3"/>
        <v>2.18E-2</v>
      </c>
      <c r="F34" s="95">
        <f t="shared" si="4"/>
        <v>2.6161046441857676E-2</v>
      </c>
      <c r="G34" s="96">
        <f t="shared" si="5"/>
        <v>3.4880523220928841E-2</v>
      </c>
      <c r="H34" s="34">
        <f>IF(Table559[[#This Row],[Location]]="",0,$B$4/60)</f>
        <v>8.3333333333333329E-2</v>
      </c>
      <c r="I34" s="34">
        <f>Table559[[#This Row],[Minutes Avg]]+Table559[[#This Row],[Pick Up Action]]</f>
        <v>0.11821385655426217</v>
      </c>
    </row>
    <row r="35" spans="1:9" x14ac:dyDescent="0.25">
      <c r="A35" s="90" t="s">
        <v>108</v>
      </c>
      <c r="B35" s="91" t="s">
        <v>112</v>
      </c>
      <c r="C35" s="91" t="str">
        <f>IFERROR(VLOOKUP(Table559[[#This Row],[Ending point]],Table114[],12,FALSE),"")</f>
        <v>Shelf 10 - Bay A</v>
      </c>
      <c r="D35" s="92">
        <v>2.04</v>
      </c>
      <c r="E35" s="92">
        <f t="shared" si="3"/>
        <v>2.0400000000000001E-2</v>
      </c>
      <c r="F35" s="92">
        <f t="shared" si="4"/>
        <v>2.4480979239169566E-2</v>
      </c>
      <c r="G35" s="93">
        <f t="shared" si="5"/>
        <v>3.2640489619584781E-2</v>
      </c>
      <c r="H35" s="34">
        <f>IF(Table559[[#This Row],[Location]]="",0,$B$4/60)</f>
        <v>8.3333333333333329E-2</v>
      </c>
      <c r="I35" s="34">
        <f>Table559[[#This Row],[Minutes Avg]]+Table559[[#This Row],[Pick Up Action]]</f>
        <v>0.11597382295291811</v>
      </c>
    </row>
    <row r="36" spans="1:9" x14ac:dyDescent="0.25">
      <c r="A36" s="94" t="s">
        <v>112</v>
      </c>
      <c r="B36" s="83" t="s">
        <v>118</v>
      </c>
      <c r="C36" s="83" t="str">
        <f>IFERROR(VLOOKUP(Table559[[#This Row],[Ending point]],Table114[],12,FALSE),"")</f>
        <v>Shelf 14 - Bay A</v>
      </c>
      <c r="D36" s="95">
        <v>5.52</v>
      </c>
      <c r="E36" s="95">
        <f t="shared" si="3"/>
        <v>5.5199999999999999E-2</v>
      </c>
      <c r="F36" s="95">
        <f t="shared" si="4"/>
        <v>6.6242649705988241E-2</v>
      </c>
      <c r="G36" s="96">
        <f t="shared" si="5"/>
        <v>8.8321324852994126E-2</v>
      </c>
      <c r="H36" s="34">
        <f>IF(Table559[[#This Row],[Location]]="",0,$B$4/60)</f>
        <v>8.3333333333333329E-2</v>
      </c>
      <c r="I36" s="34">
        <f>Table559[[#This Row],[Minutes Avg]]+Table559[[#This Row],[Pick Up Action]]</f>
        <v>0.17165465818632747</v>
      </c>
    </row>
    <row r="37" spans="1:9" x14ac:dyDescent="0.25">
      <c r="A37" s="90" t="s">
        <v>118</v>
      </c>
      <c r="B37" s="91" t="s">
        <v>109</v>
      </c>
      <c r="C37" s="91" t="str">
        <f>IFERROR(VLOOKUP(Table559[[#This Row],[Ending point]],Table114[],12,FALSE),"")</f>
        <v>Shelf 2 - Bay A</v>
      </c>
      <c r="D37" s="92">
        <v>1.97</v>
      </c>
      <c r="E37" s="92">
        <f t="shared" si="3"/>
        <v>1.9699999999999999E-2</v>
      </c>
      <c r="F37" s="92">
        <f t="shared" si="4"/>
        <v>2.3640945637825515E-2</v>
      </c>
      <c r="G37" s="93">
        <f t="shared" si="5"/>
        <v>3.1520472818912758E-2</v>
      </c>
      <c r="H37" s="34">
        <f>IF(Table559[[#This Row],[Location]]="",0,$B$4/60)</f>
        <v>8.3333333333333329E-2</v>
      </c>
      <c r="I37" s="34">
        <f>Table559[[#This Row],[Minutes Avg]]+Table559[[#This Row],[Pick Up Action]]</f>
        <v>0.11485380615224608</v>
      </c>
    </row>
    <row r="38" spans="1:9" x14ac:dyDescent="0.25">
      <c r="A38" s="94" t="s">
        <v>109</v>
      </c>
      <c r="B38" s="83" t="s">
        <v>110</v>
      </c>
      <c r="C38" s="83" t="str">
        <f>IFERROR(VLOOKUP(Table559[[#This Row],[Ending point]],Table114[],12,FALSE),"")</f>
        <v>Shelf 3 - Bay C</v>
      </c>
      <c r="D38" s="95">
        <v>5.73</v>
      </c>
      <c r="E38" s="95">
        <f t="shared" si="3"/>
        <v>5.7300000000000004E-2</v>
      </c>
      <c r="F38" s="95">
        <f t="shared" si="4"/>
        <v>6.8762750510020412E-2</v>
      </c>
      <c r="G38" s="96">
        <f t="shared" si="5"/>
        <v>9.1681375255010217E-2</v>
      </c>
      <c r="H38" s="34">
        <f>IF(Table559[[#This Row],[Location]]="",0,$B$4/60)</f>
        <v>8.3333333333333329E-2</v>
      </c>
      <c r="I38" s="34">
        <f>Table559[[#This Row],[Minutes Avg]]+Table559[[#This Row],[Pick Up Action]]</f>
        <v>0.17501470858834356</v>
      </c>
    </row>
    <row r="39" spans="1:9" x14ac:dyDescent="0.25">
      <c r="A39" s="90" t="s">
        <v>110</v>
      </c>
      <c r="B39" s="91" t="s">
        <v>113</v>
      </c>
      <c r="C39" s="91" t="str">
        <f>IFERROR(VLOOKUP(Table559[[#This Row],[Ending point]],Table114[],12,FALSE),"")</f>
        <v>Shelf 6 - Bay B</v>
      </c>
      <c r="D39" s="92">
        <v>11.2</v>
      </c>
      <c r="E39" s="92">
        <f t="shared" si="3"/>
        <v>0.11199999999999999</v>
      </c>
      <c r="F39" s="92">
        <f t="shared" si="4"/>
        <v>0.13440537621504858</v>
      </c>
      <c r="G39" s="93">
        <f t="shared" si="5"/>
        <v>0.17920268810752427</v>
      </c>
      <c r="H39" s="34">
        <f>IF(Table559[[#This Row],[Location]]="",0,$B$4/60)</f>
        <v>8.3333333333333329E-2</v>
      </c>
      <c r="I39" s="34">
        <f>Table559[[#This Row],[Minutes Avg]]+Table559[[#This Row],[Pick Up Action]]</f>
        <v>0.26253602144085758</v>
      </c>
    </row>
    <row r="40" spans="1:9" x14ac:dyDescent="0.25">
      <c r="A40" s="94" t="s">
        <v>113</v>
      </c>
      <c r="B40" s="83" t="s">
        <v>115</v>
      </c>
      <c r="C40" s="83" t="str">
        <f>IFERROR(VLOOKUP(Table559[[#This Row],[Ending point]],Table114[],12,FALSE),"")</f>
        <v>Shelf 7 - Bay B</v>
      </c>
      <c r="D40" s="95">
        <v>2.62</v>
      </c>
      <c r="E40" s="95">
        <f t="shared" si="3"/>
        <v>2.6200000000000001E-2</v>
      </c>
      <c r="F40" s="95">
        <f t="shared" si="4"/>
        <v>3.1441257650306018E-2</v>
      </c>
      <c r="G40" s="96">
        <f t="shared" si="5"/>
        <v>4.192062882515301E-2</v>
      </c>
      <c r="H40" s="34">
        <f>IF(Table559[[#This Row],[Location]]="",0,$B$4/60)</f>
        <v>8.3333333333333329E-2</v>
      </c>
      <c r="I40" s="34">
        <f>Table559[[#This Row],[Minutes Avg]]+Table559[[#This Row],[Pick Up Action]]</f>
        <v>0.12525396215848633</v>
      </c>
    </row>
    <row r="41" spans="1:9" x14ac:dyDescent="0.25">
      <c r="A41" s="90" t="s">
        <v>115</v>
      </c>
      <c r="B41" s="91" t="s">
        <v>119</v>
      </c>
      <c r="C41" s="91" t="str">
        <f>IFERROR(VLOOKUP(Table559[[#This Row],[Ending point]],Table114[],12,FALSE),"")</f>
        <v>Shelf 6 - Bay C</v>
      </c>
      <c r="D41" s="92">
        <v>2.08</v>
      </c>
      <c r="E41" s="92">
        <f t="shared" si="3"/>
        <v>2.0799999999999999E-2</v>
      </c>
      <c r="F41" s="92">
        <f t="shared" si="4"/>
        <v>2.4960998439937598E-2</v>
      </c>
      <c r="G41" s="93">
        <f t="shared" si="5"/>
        <v>3.3280499219968798E-2</v>
      </c>
      <c r="H41" s="34">
        <f>IF(Table559[[#This Row],[Location]]="",0,$B$4/60)</f>
        <v>8.3333333333333329E-2</v>
      </c>
      <c r="I41" s="34">
        <f>Table559[[#This Row],[Minutes Avg]]+Table559[[#This Row],[Pick Up Action]]</f>
        <v>0.11661383255330213</v>
      </c>
    </row>
    <row r="42" spans="1:9" x14ac:dyDescent="0.25">
      <c r="A42" s="94" t="s">
        <v>119</v>
      </c>
      <c r="B42" s="83" t="s">
        <v>114</v>
      </c>
      <c r="C42" s="83" t="str">
        <f>IFERROR(VLOOKUP(Table559[[#This Row],[Ending point]],Table114[],12,FALSE),"")</f>
        <v>Shelf 7 - Bay E</v>
      </c>
      <c r="D42" s="95">
        <v>5.93</v>
      </c>
      <c r="E42" s="95">
        <f t="shared" si="3"/>
        <v>5.9299999999999999E-2</v>
      </c>
      <c r="F42" s="95">
        <f t="shared" si="4"/>
        <v>7.1162846513860553E-2</v>
      </c>
      <c r="G42" s="96">
        <f t="shared" si="5"/>
        <v>9.4881423256930275E-2</v>
      </c>
      <c r="H42" s="34">
        <f>IF(Table559[[#This Row],[Location]]="",0,$B$4/60)</f>
        <v>8.3333333333333329E-2</v>
      </c>
      <c r="I42" s="34">
        <f>Table559[[#This Row],[Minutes Avg]]+Table559[[#This Row],[Pick Up Action]]</f>
        <v>0.17821475659026359</v>
      </c>
    </row>
    <row r="43" spans="1:9" x14ac:dyDescent="0.25">
      <c r="A43" s="41" t="s">
        <v>114</v>
      </c>
      <c r="B43" s="122" t="s">
        <v>384</v>
      </c>
      <c r="C43" s="41" t="str">
        <f>IFERROR(VLOOKUP(Table559[[#This Row],[Ending point]],Table114[],12,FALSE),"")</f>
        <v/>
      </c>
      <c r="D43" s="100">
        <v>9.19</v>
      </c>
      <c r="E43" s="104">
        <f t="shared" si="3"/>
        <v>9.1899999999999996E-2</v>
      </c>
      <c r="F43" s="104">
        <f t="shared" si="4"/>
        <v>0.11028441137645506</v>
      </c>
      <c r="G43" s="105">
        <f t="shared" si="5"/>
        <v>0.14704220568822751</v>
      </c>
      <c r="H43" s="34">
        <f>IF(Table559[[#This Row],[Location]]="",0,$B$4/60)</f>
        <v>0</v>
      </c>
      <c r="I43" s="34">
        <f>Table559[[#This Row],[Minutes Avg]]+Table559[[#This Row],[Pick Up Action]]</f>
        <v>0.14704220568822751</v>
      </c>
    </row>
    <row r="44" spans="1:9" x14ac:dyDescent="0.25">
      <c r="A44" s="41" t="s">
        <v>95</v>
      </c>
      <c r="B44" s="41"/>
      <c r="C44" s="41"/>
      <c r="D44" s="34">
        <f>SUBTOTAL(109,Table559[Distance (metres)])</f>
        <v>63.999999999999986</v>
      </c>
      <c r="E44" s="34">
        <f>SUBTOTAL(109,Table559[Minutes Min])</f>
        <v>0.64</v>
      </c>
      <c r="F44" s="34">
        <f>SUBTOTAL(109,Table559[Minutes Max])</f>
        <v>0.76803072122884919</v>
      </c>
      <c r="G44" s="34">
        <f>SUBTOTAL(109,Table559[Minutes Avg])</f>
        <v>1.0240153606144244</v>
      </c>
      <c r="H44" s="34">
        <f>SUBTOTAL(109,Table559[Pick Up Action])</f>
        <v>1</v>
      </c>
      <c r="I44" s="34">
        <f>SUBTOTAL(109,Table559[Total avg Time])</f>
        <v>2.0240153606144249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H35"/>
  <sheetViews>
    <sheetView workbookViewId="0">
      <selection activeCell="A26" sqref="A26:H35"/>
    </sheetView>
  </sheetViews>
  <sheetFormatPr defaultRowHeight="15" x14ac:dyDescent="0.25"/>
  <cols>
    <col min="1" max="1" width="42" customWidth="1"/>
    <col min="2" max="3" width="11.28515625" customWidth="1"/>
    <col min="4" max="4" width="11.28515625" style="41" customWidth="1"/>
    <col min="5" max="7" width="11.28515625" customWidth="1"/>
    <col min="8" max="8" width="11.28515625" bestFit="1" customWidth="1"/>
    <col min="9" max="10" width="12.7109375" customWidth="1"/>
    <col min="11" max="11" width="11.28515625" bestFit="1" customWidth="1"/>
  </cols>
  <sheetData>
    <row r="1" spans="1:8" s="41" customFormat="1" ht="23.25" x14ac:dyDescent="0.35">
      <c r="A1" s="6" t="s">
        <v>302</v>
      </c>
    </row>
    <row r="2" spans="1:8" s="41" customFormat="1" ht="17.25" x14ac:dyDescent="0.25">
      <c r="A2" s="7" t="s">
        <v>291</v>
      </c>
    </row>
    <row r="3" spans="1:8" s="41" customFormat="1" x14ac:dyDescent="0.25">
      <c r="A3" s="125" t="s">
        <v>402</v>
      </c>
      <c r="B3" s="48" t="s">
        <v>153</v>
      </c>
      <c r="C3" s="48" t="s">
        <v>172</v>
      </c>
      <c r="D3" s="48"/>
    </row>
    <row r="4" spans="1:8" s="41" customFormat="1" x14ac:dyDescent="0.25">
      <c r="A4" s="46" t="s">
        <v>403</v>
      </c>
      <c r="B4" s="46">
        <v>1</v>
      </c>
      <c r="C4" s="49">
        <v>2</v>
      </c>
    </row>
    <row r="5" spans="1:8" s="41" customFormat="1" x14ac:dyDescent="0.25">
      <c r="A5" s="46" t="s">
        <v>404</v>
      </c>
      <c r="B5" s="46">
        <v>2</v>
      </c>
      <c r="C5" s="49">
        <v>7</v>
      </c>
    </row>
    <row r="6" spans="1:8" s="41" customFormat="1" x14ac:dyDescent="0.25">
      <c r="A6" s="46" t="s">
        <v>405</v>
      </c>
      <c r="B6" s="46">
        <v>3</v>
      </c>
      <c r="C6" s="49">
        <v>9</v>
      </c>
    </row>
    <row r="7" spans="1:8" s="41" customFormat="1" x14ac:dyDescent="0.25">
      <c r="A7" s="46" t="s">
        <v>406</v>
      </c>
      <c r="B7" s="46">
        <v>4</v>
      </c>
      <c r="C7" s="49">
        <v>10</v>
      </c>
    </row>
    <row r="8" spans="1:8" s="41" customFormat="1" x14ac:dyDescent="0.25">
      <c r="A8" s="46" t="s">
        <v>407</v>
      </c>
      <c r="B8" s="46">
        <v>5</v>
      </c>
      <c r="C8" s="49">
        <v>5</v>
      </c>
    </row>
    <row r="9" spans="1:8" s="41" customFormat="1" x14ac:dyDescent="0.25">
      <c r="A9" s="46" t="s">
        <v>408</v>
      </c>
      <c r="B9" s="46">
        <v>6</v>
      </c>
      <c r="C9" s="49">
        <v>3</v>
      </c>
    </row>
    <row r="10" spans="1:8" s="41" customFormat="1" x14ac:dyDescent="0.25">
      <c r="A10" s="124"/>
      <c r="B10" s="46" t="s">
        <v>173</v>
      </c>
      <c r="C10" s="49">
        <v>36</v>
      </c>
    </row>
    <row r="11" spans="1:8" s="41" customFormat="1" x14ac:dyDescent="0.25">
      <c r="A11" s="46"/>
      <c r="B11" s="49"/>
    </row>
    <row r="12" spans="1:8" s="41" customFormat="1" x14ac:dyDescent="0.25">
      <c r="A12" s="46"/>
      <c r="B12" s="49"/>
    </row>
    <row r="13" spans="1:8" ht="17.25" x14ac:dyDescent="0.25">
      <c r="A13" s="7" t="s">
        <v>292</v>
      </c>
    </row>
    <row r="14" spans="1:8" x14ac:dyDescent="0.25">
      <c r="A14" s="48" t="s">
        <v>361</v>
      </c>
      <c r="B14" s="48" t="s">
        <v>401</v>
      </c>
      <c r="D14"/>
    </row>
    <row r="15" spans="1:8" x14ac:dyDescent="0.25">
      <c r="A15" s="48" t="s">
        <v>152</v>
      </c>
      <c r="B15" s="41">
        <v>1</v>
      </c>
      <c r="C15" s="41">
        <v>2</v>
      </c>
      <c r="D15" s="41">
        <v>3</v>
      </c>
      <c r="E15" s="41">
        <v>4</v>
      </c>
      <c r="F15" s="41">
        <v>5</v>
      </c>
      <c r="G15" s="41">
        <v>6</v>
      </c>
      <c r="H15" s="41" t="s">
        <v>173</v>
      </c>
    </row>
    <row r="16" spans="1:8" x14ac:dyDescent="0.25">
      <c r="A16" s="46">
        <v>1</v>
      </c>
      <c r="B16" s="126">
        <v>1</v>
      </c>
      <c r="C16" s="126">
        <v>3</v>
      </c>
      <c r="D16" s="126">
        <v>4</v>
      </c>
      <c r="E16" s="126">
        <v>4</v>
      </c>
      <c r="F16" s="126">
        <v>1</v>
      </c>
      <c r="G16" s="126">
        <v>1</v>
      </c>
      <c r="H16" s="49">
        <v>14</v>
      </c>
    </row>
    <row r="17" spans="1:8" x14ac:dyDescent="0.25">
      <c r="A17" s="46">
        <v>2</v>
      </c>
      <c r="B17" s="126">
        <v>1</v>
      </c>
      <c r="C17" s="126">
        <v>1</v>
      </c>
      <c r="D17" s="126">
        <v>3</v>
      </c>
      <c r="E17" s="126">
        <v>4</v>
      </c>
      <c r="F17" s="126">
        <v>3</v>
      </c>
      <c r="G17" s="126">
        <v>2</v>
      </c>
      <c r="H17" s="49">
        <v>14</v>
      </c>
    </row>
    <row r="18" spans="1:8" x14ac:dyDescent="0.25">
      <c r="A18" s="46" t="s">
        <v>159</v>
      </c>
      <c r="B18" s="126"/>
      <c r="C18" s="126">
        <v>1</v>
      </c>
      <c r="D18" s="126"/>
      <c r="E18" s="126">
        <v>1</v>
      </c>
      <c r="F18" s="126"/>
      <c r="G18" s="126"/>
      <c r="H18" s="49">
        <v>2</v>
      </c>
    </row>
    <row r="19" spans="1:8" x14ac:dyDescent="0.25">
      <c r="A19" s="46" t="s">
        <v>162</v>
      </c>
      <c r="B19" s="126"/>
      <c r="C19" s="126">
        <v>2</v>
      </c>
      <c r="D19" s="126">
        <v>2</v>
      </c>
      <c r="E19" s="126">
        <v>1</v>
      </c>
      <c r="F19" s="126">
        <v>1</v>
      </c>
      <c r="G19" s="126"/>
      <c r="H19" s="49">
        <v>6</v>
      </c>
    </row>
    <row r="20" spans="1:8" x14ac:dyDescent="0.25">
      <c r="A20" s="46" t="s">
        <v>173</v>
      </c>
      <c r="B20" s="49">
        <v>2</v>
      </c>
      <c r="C20" s="49">
        <v>7</v>
      </c>
      <c r="D20" s="49">
        <v>9</v>
      </c>
      <c r="E20" s="49">
        <v>10</v>
      </c>
      <c r="F20" s="49">
        <v>5</v>
      </c>
      <c r="G20" s="49">
        <v>3</v>
      </c>
      <c r="H20" s="49">
        <v>36</v>
      </c>
    </row>
    <row r="21" spans="1:8" x14ac:dyDescent="0.25">
      <c r="B21" s="41"/>
      <c r="C21" s="41"/>
      <c r="E21" s="41"/>
      <c r="F21" s="41"/>
      <c r="G21" s="41"/>
    </row>
    <row r="22" spans="1:8" x14ac:dyDescent="0.25">
      <c r="D22"/>
    </row>
    <row r="23" spans="1:8" x14ac:dyDescent="0.25">
      <c r="C23" s="41"/>
    </row>
    <row r="24" spans="1:8" ht="17.25" x14ac:dyDescent="0.25">
      <c r="A24" s="7" t="s">
        <v>293</v>
      </c>
    </row>
    <row r="25" spans="1:8" x14ac:dyDescent="0.25">
      <c r="A25" s="48" t="s">
        <v>361</v>
      </c>
      <c r="B25" s="48" t="s">
        <v>401</v>
      </c>
      <c r="D25"/>
    </row>
    <row r="26" spans="1:8" x14ac:dyDescent="0.25">
      <c r="A26" s="48" t="s">
        <v>149</v>
      </c>
      <c r="B26" s="41">
        <v>1</v>
      </c>
      <c r="C26" s="41">
        <v>2</v>
      </c>
      <c r="D26" s="41">
        <v>3</v>
      </c>
      <c r="E26" s="41">
        <v>4</v>
      </c>
      <c r="F26" s="41">
        <v>5</v>
      </c>
      <c r="G26" s="41">
        <v>6</v>
      </c>
      <c r="H26" s="120" t="s">
        <v>173</v>
      </c>
    </row>
    <row r="27" spans="1:8" x14ac:dyDescent="0.25">
      <c r="A27" s="46" t="s">
        <v>161</v>
      </c>
      <c r="B27" s="49"/>
      <c r="C27" s="49">
        <v>1</v>
      </c>
      <c r="D27" s="49"/>
      <c r="E27" s="49">
        <v>1</v>
      </c>
      <c r="F27" s="49"/>
      <c r="G27" s="49"/>
      <c r="H27" s="49">
        <v>2</v>
      </c>
    </row>
    <row r="28" spans="1:8" x14ac:dyDescent="0.25">
      <c r="A28" s="46" t="s">
        <v>15</v>
      </c>
      <c r="B28" s="49"/>
      <c r="C28" s="49"/>
      <c r="D28" s="49">
        <v>2</v>
      </c>
      <c r="E28" s="49"/>
      <c r="F28" s="49"/>
      <c r="G28" s="49"/>
      <c r="H28" s="49">
        <v>2</v>
      </c>
    </row>
    <row r="29" spans="1:8" x14ac:dyDescent="0.25">
      <c r="A29" s="46" t="s">
        <v>160</v>
      </c>
      <c r="B29" s="49"/>
      <c r="C29" s="49">
        <v>1</v>
      </c>
      <c r="D29" s="49">
        <v>1</v>
      </c>
      <c r="E29" s="49">
        <v>1</v>
      </c>
      <c r="F29" s="49"/>
      <c r="G29" s="49"/>
      <c r="H29" s="49">
        <v>3</v>
      </c>
    </row>
    <row r="30" spans="1:8" x14ac:dyDescent="0.25">
      <c r="A30" s="46" t="s">
        <v>158</v>
      </c>
      <c r="B30" s="49"/>
      <c r="C30" s="49">
        <v>1</v>
      </c>
      <c r="D30" s="49"/>
      <c r="E30" s="49">
        <v>1</v>
      </c>
      <c r="F30" s="49">
        <v>1</v>
      </c>
      <c r="G30" s="49"/>
      <c r="H30" s="49">
        <v>3</v>
      </c>
    </row>
    <row r="31" spans="1:8" x14ac:dyDescent="0.25">
      <c r="A31" s="46" t="s">
        <v>16</v>
      </c>
      <c r="B31" s="49"/>
      <c r="C31" s="49">
        <v>1</v>
      </c>
      <c r="D31" s="49"/>
      <c r="E31" s="49"/>
      <c r="F31" s="49">
        <v>1</v>
      </c>
      <c r="G31" s="49"/>
      <c r="H31" s="49">
        <v>2</v>
      </c>
    </row>
    <row r="32" spans="1:8" x14ac:dyDescent="0.25">
      <c r="A32" s="46" t="s">
        <v>155</v>
      </c>
      <c r="B32" s="49"/>
      <c r="C32" s="49"/>
      <c r="D32" s="49">
        <v>2</v>
      </c>
      <c r="E32" s="49">
        <v>2</v>
      </c>
      <c r="F32" s="49"/>
      <c r="G32" s="49">
        <v>2</v>
      </c>
      <c r="H32" s="49">
        <v>6</v>
      </c>
    </row>
    <row r="33" spans="1:8" x14ac:dyDescent="0.25">
      <c r="A33" s="46" t="s">
        <v>157</v>
      </c>
      <c r="B33" s="49">
        <v>2</v>
      </c>
      <c r="C33" s="49">
        <v>2</v>
      </c>
      <c r="D33" s="49"/>
      <c r="E33" s="49">
        <v>1</v>
      </c>
      <c r="F33" s="49">
        <v>1</v>
      </c>
      <c r="G33" s="49"/>
      <c r="H33" s="49">
        <v>6</v>
      </c>
    </row>
    <row r="34" spans="1:8" x14ac:dyDescent="0.25">
      <c r="A34" s="46" t="s">
        <v>156</v>
      </c>
      <c r="B34" s="49"/>
      <c r="C34" s="49">
        <v>1</v>
      </c>
      <c r="D34" s="49">
        <v>4</v>
      </c>
      <c r="E34" s="49">
        <v>4</v>
      </c>
      <c r="F34" s="49">
        <v>2</v>
      </c>
      <c r="G34" s="49">
        <v>1</v>
      </c>
      <c r="H34" s="49">
        <v>12</v>
      </c>
    </row>
    <row r="35" spans="1:8" x14ac:dyDescent="0.25">
      <c r="A35" s="46" t="s">
        <v>173</v>
      </c>
      <c r="B35" s="49">
        <v>2</v>
      </c>
      <c r="C35" s="49">
        <v>7</v>
      </c>
      <c r="D35" s="49">
        <v>9</v>
      </c>
      <c r="E35" s="49">
        <v>10</v>
      </c>
      <c r="F35" s="49">
        <v>5</v>
      </c>
      <c r="G35" s="49">
        <v>3</v>
      </c>
      <c r="H35" s="49">
        <v>36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41</vt:i4>
      </vt:variant>
    </vt:vector>
  </HeadingPairs>
  <TitlesOfParts>
    <vt:vector size="58" baseType="lpstr">
      <vt:lpstr>Introduction</vt:lpstr>
      <vt:lpstr>P&amp;L AS-IS</vt:lpstr>
      <vt:lpstr>P&amp;L TO-BE</vt:lpstr>
      <vt:lpstr>Assumption</vt:lpstr>
      <vt:lpstr>Workers AS-IS</vt:lpstr>
      <vt:lpstr>Workers TO-BE</vt:lpstr>
      <vt:lpstr>Staffing AS-IS</vt:lpstr>
      <vt:lpstr>Staffing TO-BE</vt:lpstr>
      <vt:lpstr>Component</vt:lpstr>
      <vt:lpstr>Sunny Day AS-IS</vt:lpstr>
      <vt:lpstr>Rainy Day AS-IS</vt:lpstr>
      <vt:lpstr>Sunny Day TO-BE</vt:lpstr>
      <vt:lpstr>Rainy Day TO-BE</vt:lpstr>
      <vt:lpstr>Assembly Comparison</vt:lpstr>
      <vt:lpstr>Picking AS-IS</vt:lpstr>
      <vt:lpstr>Picking TO-BE</vt:lpstr>
      <vt:lpstr>Attitude Survey</vt:lpstr>
      <vt:lpstr>Assumption_1.01</vt:lpstr>
      <vt:lpstr>Assumption_1.02</vt:lpstr>
      <vt:lpstr>Assumption_1.03</vt:lpstr>
      <vt:lpstr>Assumption_1.04</vt:lpstr>
      <vt:lpstr>Assumption_1.05</vt:lpstr>
      <vt:lpstr>Assumption_1.06</vt:lpstr>
      <vt:lpstr>Assumption_2.01</vt:lpstr>
      <vt:lpstr>Assumption_2.02</vt:lpstr>
      <vt:lpstr>Assumption_2.03</vt:lpstr>
      <vt:lpstr>Assumption_2.04</vt:lpstr>
      <vt:lpstr>Assumption_3.01</vt:lpstr>
      <vt:lpstr>Assumption_3.02</vt:lpstr>
      <vt:lpstr>Assumption_3.03</vt:lpstr>
      <vt:lpstr>BasicInformation_1</vt:lpstr>
      <vt:lpstr>BasicInformation_2</vt:lpstr>
      <vt:lpstr>BasicInformation_3</vt:lpstr>
      <vt:lpstr>BasicInformation_4</vt:lpstr>
      <vt:lpstr>BasicInformation_5</vt:lpstr>
      <vt:lpstr>BasicInformation_6</vt:lpstr>
      <vt:lpstr>'P&amp;L TO-BE'!Component_Total_Cost</vt:lpstr>
      <vt:lpstr>'Rainy Day TO-BE'!Component_Total_Cost</vt:lpstr>
      <vt:lpstr>'Staffing TO-BE'!Component_Total_Cost</vt:lpstr>
      <vt:lpstr>'Sunny Day TO-BE'!Component_Total_Cost</vt:lpstr>
      <vt:lpstr>'Workers TO-BE'!Component_Total_Cost</vt:lpstr>
      <vt:lpstr>Component_Total_Cost</vt:lpstr>
      <vt:lpstr>'P&amp;L TO-BE'!Picking_Average_Time_ASIS</vt:lpstr>
      <vt:lpstr>'Rainy Day TO-BE'!Picking_Average_Time_ASIS</vt:lpstr>
      <vt:lpstr>'Sunny Day TO-BE'!Picking_Average_Time_ASIS</vt:lpstr>
      <vt:lpstr>'Workers TO-BE'!Picking_Average_Time_ASIS</vt:lpstr>
      <vt:lpstr>Picking_Average_Time_ASIS</vt:lpstr>
      <vt:lpstr>'P&amp;L TO-BE'!ProduceMinutes</vt:lpstr>
      <vt:lpstr>ProduceMinutes</vt:lpstr>
      <vt:lpstr>'Staffing TO-BE'!Total_Pay_ASIS</vt:lpstr>
      <vt:lpstr>'P&amp;L TO-BE'!TotalCostsPerDay</vt:lpstr>
      <vt:lpstr>TotalCostsPerDay</vt:lpstr>
      <vt:lpstr>'P&amp;L TO-BE'!TotalProfitPerDay</vt:lpstr>
      <vt:lpstr>TotalProfitPerDay</vt:lpstr>
      <vt:lpstr>'P&amp;L TO-BE'!TrackRCostPerDay</vt:lpstr>
      <vt:lpstr>TrackRCostPerDay</vt:lpstr>
      <vt:lpstr>'P&amp;L TO-BE'!TrackRsPerDay</vt:lpstr>
      <vt:lpstr>TrackRsPerDay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djhyoja</dc:creator>
  <cp:lastModifiedBy>singh</cp:lastModifiedBy>
  <dcterms:created xsi:type="dcterms:W3CDTF">2015-11-12T22:55:14Z</dcterms:created>
  <dcterms:modified xsi:type="dcterms:W3CDTF">2020-05-24T20:06:42Z</dcterms:modified>
</cp:coreProperties>
</file>