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tan\Downloads\"/>
    </mc:Choice>
  </mc:AlternateContent>
  <xr:revisionPtr revIDLastSave="0" documentId="13_ncr:8001_{4D485DDC-5C1B-4773-86E0-E22E785FD42F}" xr6:coauthVersionLast="47" xr6:coauthVersionMax="47" xr10:uidLastSave="{00000000-0000-0000-0000-000000000000}"/>
  <bookViews>
    <workbookView xWindow="-108" yWindow="-108" windowWidth="23256" windowHeight="12720" xr2:uid="{116BCC20-904F-4D16-A8AF-0ED2980F8493}"/>
  </bookViews>
  <sheets>
    <sheet name="110-EL-001" sheetId="19" r:id="rId1"/>
    <sheet name="110-PN-001" sheetId="5" r:id="rId2"/>
    <sheet name="110-MO-001" sheetId="3" r:id="rId3"/>
    <sheet name="110-EL-002" sheetId="17" r:id="rId4"/>
    <sheet name="110-PN-002" sheetId="6" r:id="rId5"/>
    <sheet name="110-TP-001" sheetId="7" r:id="rId6"/>
    <sheet name="110-TP-002" sheetId="12" r:id="rId7"/>
    <sheet name="110-TP-003" sheetId="13" r:id="rId8"/>
    <sheet name="110-TP-004" sheetId="4" r:id="rId9"/>
    <sheet name="110 - EL- 003" sheetId="15" r:id="rId10"/>
    <sheet name="RESUMO" sheetId="10" r:id="rId11"/>
  </sheets>
  <definedNames>
    <definedName name="_xlnm.Print_Area" localSheetId="1">'110-PN-001'!$A$1:$F$64</definedName>
    <definedName name="_xlnm.Print_Area" localSheetId="4">'110-PN-002'!$A$1:$F$64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  <c r="B343" i="19"/>
  <c r="B329" i="17"/>
  <c r="B343" i="17" s="1"/>
  <c r="B329" i="19"/>
  <c r="B310" i="19"/>
  <c r="B440" i="7"/>
  <c r="B440" i="12"/>
  <c r="B440" i="13"/>
  <c r="AC17" i="19"/>
  <c r="AC16" i="19"/>
  <c r="AC15" i="19"/>
  <c r="AC14" i="19"/>
  <c r="AC13" i="19"/>
  <c r="AC12" i="19"/>
  <c r="AC11" i="19"/>
  <c r="M27" i="19"/>
  <c r="AC17" i="17" l="1"/>
  <c r="AC16" i="17"/>
  <c r="AC15" i="17"/>
  <c r="AC14" i="17"/>
  <c r="AC13" i="17"/>
  <c r="AC12" i="17"/>
  <c r="AC11" i="17"/>
  <c r="B434" i="19" l="1"/>
  <c r="C426" i="19"/>
  <c r="B423" i="19"/>
  <c r="B377" i="19"/>
  <c r="B367" i="19"/>
  <c r="B397" i="19" s="1"/>
  <c r="K356" i="19"/>
  <c r="B345" i="19"/>
  <c r="B289" i="19"/>
  <c r="B287" i="19"/>
  <c r="B233" i="19"/>
  <c r="B220" i="19"/>
  <c r="B232" i="19" s="1"/>
  <c r="B213" i="19"/>
  <c r="B191" i="19"/>
  <c r="B182" i="19"/>
  <c r="B91" i="19"/>
  <c r="B90" i="19"/>
  <c r="B72" i="19"/>
  <c r="B71" i="19"/>
  <c r="B138" i="19" s="1"/>
  <c r="S55" i="19"/>
  <c r="B53" i="19"/>
  <c r="E51" i="19"/>
  <c r="B51" i="19"/>
  <c r="S37" i="19"/>
  <c r="AG31" i="19"/>
  <c r="AF31" i="19" s="1"/>
  <c r="W31" i="19"/>
  <c r="T31" i="19"/>
  <c r="P31" i="19"/>
  <c r="AG30" i="19"/>
  <c r="W30" i="19"/>
  <c r="T30" i="19"/>
  <c r="P30" i="19"/>
  <c r="AF30" i="19" s="1"/>
  <c r="M30" i="19"/>
  <c r="I30" i="19"/>
  <c r="E53" i="19" s="1"/>
  <c r="AG29" i="19"/>
  <c r="W29" i="19"/>
  <c r="T29" i="19"/>
  <c r="P29" i="19"/>
  <c r="AF29" i="19" s="1"/>
  <c r="AG28" i="19"/>
  <c r="W28" i="19"/>
  <c r="T28" i="19"/>
  <c r="P28" i="19"/>
  <c r="AF28" i="19" s="1"/>
  <c r="AG27" i="19"/>
  <c r="W27" i="19"/>
  <c r="T27" i="19"/>
  <c r="P27" i="19"/>
  <c r="AF27" i="19" s="1"/>
  <c r="AG26" i="19"/>
  <c r="W26" i="19"/>
  <c r="T26" i="19"/>
  <c r="P26" i="19"/>
  <c r="AF26" i="19" s="1"/>
  <c r="M26" i="19"/>
  <c r="I26" i="19"/>
  <c r="AG25" i="19"/>
  <c r="W25" i="19"/>
  <c r="T25" i="19"/>
  <c r="P25" i="19"/>
  <c r="AF25" i="19" s="1"/>
  <c r="M25" i="19"/>
  <c r="AG24" i="19"/>
  <c r="W24" i="19"/>
  <c r="T24" i="19"/>
  <c r="P24" i="19"/>
  <c r="AF24" i="19" s="1"/>
  <c r="AG23" i="19"/>
  <c r="AF23" i="19"/>
  <c r="W23" i="19"/>
  <c r="T23" i="19"/>
  <c r="P23" i="19"/>
  <c r="AG22" i="19"/>
  <c r="W22" i="19"/>
  <c r="T22" i="19"/>
  <c r="P22" i="19"/>
  <c r="AF22" i="19" s="1"/>
  <c r="AG21" i="19"/>
  <c r="W21" i="19"/>
  <c r="T21" i="19"/>
  <c r="P21" i="19"/>
  <c r="AG20" i="19"/>
  <c r="W20" i="19"/>
  <c r="T20" i="19"/>
  <c r="P20" i="19"/>
  <c r="AG19" i="19"/>
  <c r="W19" i="19"/>
  <c r="T19" i="19"/>
  <c r="P19" i="19"/>
  <c r="AF19" i="19" s="1"/>
  <c r="AG18" i="19"/>
  <c r="AF18" i="19"/>
  <c r="W18" i="19"/>
  <c r="T18" i="19"/>
  <c r="P18" i="19"/>
  <c r="AG17" i="19"/>
  <c r="W17" i="19"/>
  <c r="T17" i="19"/>
  <c r="P17" i="19"/>
  <c r="AF17" i="19" s="1"/>
  <c r="AG16" i="19"/>
  <c r="W16" i="19"/>
  <c r="T16" i="19"/>
  <c r="P16" i="19"/>
  <c r="AF16" i="19" s="1"/>
  <c r="AG15" i="19"/>
  <c r="AF15" i="19"/>
  <c r="W15" i="19"/>
  <c r="T15" i="19"/>
  <c r="P15" i="19"/>
  <c r="AG14" i="19"/>
  <c r="W14" i="19"/>
  <c r="T14" i="19"/>
  <c r="P14" i="19"/>
  <c r="AF14" i="19" s="1"/>
  <c r="AG13" i="19"/>
  <c r="W13" i="19"/>
  <c r="T13" i="19"/>
  <c r="P13" i="19"/>
  <c r="AF13" i="19" s="1"/>
  <c r="AG12" i="19"/>
  <c r="AF12" i="19"/>
  <c r="W12" i="19"/>
  <c r="T12" i="19"/>
  <c r="P12" i="19"/>
  <c r="AG11" i="19"/>
  <c r="W11" i="19"/>
  <c r="T11" i="19"/>
  <c r="P11" i="19"/>
  <c r="AF11" i="19" s="1"/>
  <c r="B422" i="17"/>
  <c r="C425" i="17" s="1"/>
  <c r="B376" i="17"/>
  <c r="B287" i="17" s="1"/>
  <c r="B366" i="17"/>
  <c r="B396" i="17" s="1"/>
  <c r="B345" i="17"/>
  <c r="B310" i="17"/>
  <c r="B289" i="17"/>
  <c r="B220" i="17"/>
  <c r="B232" i="17" s="1"/>
  <c r="B213" i="17"/>
  <c r="B233" i="17" s="1"/>
  <c r="B182" i="17"/>
  <c r="B91" i="17"/>
  <c r="B90" i="17"/>
  <c r="B72" i="17"/>
  <c r="S41" i="17" s="1"/>
  <c r="B71" i="17"/>
  <c r="B191" i="17" s="1"/>
  <c r="S55" i="17"/>
  <c r="B53" i="17"/>
  <c r="E51" i="17"/>
  <c r="B51" i="17"/>
  <c r="AG31" i="17"/>
  <c r="W31" i="17"/>
  <c r="T31" i="17"/>
  <c r="P31" i="17"/>
  <c r="AG30" i="17"/>
  <c r="W30" i="17"/>
  <c r="T30" i="17"/>
  <c r="P30" i="17"/>
  <c r="M30" i="17"/>
  <c r="I30" i="17"/>
  <c r="E53" i="17" s="1"/>
  <c r="AG29" i="17"/>
  <c r="W29" i="17"/>
  <c r="T29" i="17"/>
  <c r="P29" i="17"/>
  <c r="AF29" i="17" s="1"/>
  <c r="AG28" i="17"/>
  <c r="W28" i="17"/>
  <c r="T28" i="17"/>
  <c r="P28" i="17"/>
  <c r="AG27" i="17"/>
  <c r="AF27" i="17"/>
  <c r="W27" i="17"/>
  <c r="T27" i="17"/>
  <c r="P27" i="17"/>
  <c r="AG26" i="17"/>
  <c r="W26" i="17"/>
  <c r="T26" i="17"/>
  <c r="P26" i="17"/>
  <c r="M26" i="17"/>
  <c r="I26" i="17"/>
  <c r="AG25" i="17"/>
  <c r="AF25" i="17"/>
  <c r="W25" i="17"/>
  <c r="T25" i="17"/>
  <c r="P25" i="17"/>
  <c r="M25" i="17"/>
  <c r="AG24" i="17"/>
  <c r="AF24" i="17"/>
  <c r="W24" i="17"/>
  <c r="T24" i="17"/>
  <c r="P24" i="17"/>
  <c r="AG23" i="17"/>
  <c r="AF23" i="17"/>
  <c r="W23" i="17"/>
  <c r="T23" i="17"/>
  <c r="P23" i="17"/>
  <c r="AG22" i="17"/>
  <c r="W22" i="17"/>
  <c r="T22" i="17"/>
  <c r="P22" i="17"/>
  <c r="AG21" i="17"/>
  <c r="W21" i="17"/>
  <c r="T21" i="17"/>
  <c r="P21" i="17"/>
  <c r="AG20" i="17"/>
  <c r="W20" i="17"/>
  <c r="T20" i="17"/>
  <c r="P20" i="17"/>
  <c r="AG19" i="17"/>
  <c r="W19" i="17"/>
  <c r="T19" i="17"/>
  <c r="P19" i="17"/>
  <c r="AG18" i="17"/>
  <c r="W18" i="17"/>
  <c r="T18" i="17"/>
  <c r="P18" i="17"/>
  <c r="AF18" i="17" s="1"/>
  <c r="AG17" i="17"/>
  <c r="W17" i="17"/>
  <c r="T17" i="17"/>
  <c r="P17" i="17"/>
  <c r="AG16" i="17"/>
  <c r="W16" i="17"/>
  <c r="T16" i="17"/>
  <c r="P16" i="17"/>
  <c r="AG15" i="17"/>
  <c r="W15" i="17"/>
  <c r="T15" i="17"/>
  <c r="P15" i="17"/>
  <c r="AG14" i="17"/>
  <c r="W14" i="17"/>
  <c r="T14" i="17"/>
  <c r="P14" i="17"/>
  <c r="AG13" i="17"/>
  <c r="W13" i="17"/>
  <c r="T13" i="17"/>
  <c r="P13" i="17"/>
  <c r="AG12" i="17"/>
  <c r="AF12" i="17" s="1"/>
  <c r="W12" i="17"/>
  <c r="T12" i="17"/>
  <c r="P12" i="17"/>
  <c r="AG11" i="17"/>
  <c r="AF11" i="17" s="1"/>
  <c r="W11" i="17"/>
  <c r="T11" i="17"/>
  <c r="P11" i="17"/>
  <c r="D26" i="17" l="1"/>
  <c r="AD21" i="17"/>
  <c r="AE21" i="17" s="1"/>
  <c r="AE33" i="17" s="1"/>
  <c r="D26" i="19"/>
  <c r="AF20" i="17"/>
  <c r="AF21" i="19"/>
  <c r="AF20" i="19"/>
  <c r="B399" i="19"/>
  <c r="B369" i="19"/>
  <c r="B370" i="19"/>
  <c r="B396" i="19" s="1"/>
  <c r="K358" i="19" s="1"/>
  <c r="S41" i="19"/>
  <c r="B288" i="19"/>
  <c r="R33" i="19"/>
  <c r="S45" i="19"/>
  <c r="W33" i="19"/>
  <c r="B210" i="19" s="1"/>
  <c r="B75" i="19"/>
  <c r="AF16" i="17"/>
  <c r="AF26" i="17"/>
  <c r="AF14" i="17"/>
  <c r="AF22" i="17"/>
  <c r="B369" i="17"/>
  <c r="B395" i="17" s="1"/>
  <c r="K358" i="17" s="1"/>
  <c r="AF15" i="17"/>
  <c r="AF31" i="17"/>
  <c r="AF13" i="17"/>
  <c r="B75" i="17"/>
  <c r="B89" i="17" s="1"/>
  <c r="B94" i="17" s="1"/>
  <c r="B142" i="17" s="1"/>
  <c r="AF17" i="17"/>
  <c r="S37" i="17"/>
  <c r="B288" i="17"/>
  <c r="K340" i="17" s="1"/>
  <c r="B433" i="17"/>
  <c r="AF28" i="17"/>
  <c r="AF19" i="17"/>
  <c r="AF30" i="17"/>
  <c r="B285" i="17"/>
  <c r="W33" i="17"/>
  <c r="B210" i="17" s="1"/>
  <c r="X33" i="17"/>
  <c r="S33" i="17"/>
  <c r="R33" i="17"/>
  <c r="D30" i="17"/>
  <c r="Q33" i="17"/>
  <c r="B24" i="17"/>
  <c r="B368" i="17"/>
  <c r="S45" i="17"/>
  <c r="AF21" i="17"/>
  <c r="B138" i="17"/>
  <c r="AD18" i="17" l="1"/>
  <c r="AE18" i="17" s="1"/>
  <c r="AD16" i="17"/>
  <c r="AE16" i="17" s="1"/>
  <c r="AD12" i="17"/>
  <c r="AE12" i="17" s="1"/>
  <c r="AD31" i="17"/>
  <c r="AE31" i="17" s="1"/>
  <c r="AD27" i="17"/>
  <c r="AE27" i="17" s="1"/>
  <c r="AD23" i="17"/>
  <c r="AE23" i="17" s="1"/>
  <c r="AD17" i="17"/>
  <c r="AE17" i="17" s="1"/>
  <c r="AD14" i="17"/>
  <c r="AE14" i="17" s="1"/>
  <c r="AD29" i="17"/>
  <c r="AE29" i="17" s="1"/>
  <c r="AD24" i="17"/>
  <c r="AE24" i="17" s="1"/>
  <c r="AD20" i="17"/>
  <c r="AE20" i="17" s="1"/>
  <c r="AD15" i="17"/>
  <c r="AE15" i="17" s="1"/>
  <c r="AD11" i="17"/>
  <c r="AE11" i="17" s="1"/>
  <c r="AD28" i="17"/>
  <c r="AE28" i="17" s="1"/>
  <c r="AD22" i="17"/>
  <c r="AE22" i="17" s="1"/>
  <c r="AD19" i="17"/>
  <c r="AE19" i="17" s="1"/>
  <c r="AD13" i="17"/>
  <c r="AE13" i="17" s="1"/>
  <c r="AD30" i="17"/>
  <c r="AE30" i="17" s="1"/>
  <c r="AD26" i="17"/>
  <c r="AE26" i="17" s="1"/>
  <c r="AD25" i="17"/>
  <c r="AE25" i="17" s="1"/>
  <c r="D30" i="19"/>
  <c r="S33" i="19"/>
  <c r="X33" i="19"/>
  <c r="S51" i="19" s="1"/>
  <c r="X51" i="19" s="1"/>
  <c r="AD21" i="19"/>
  <c r="Q33" i="19"/>
  <c r="B24" i="19"/>
  <c r="B285" i="19"/>
  <c r="B303" i="19" s="1"/>
  <c r="AD30" i="19"/>
  <c r="AE30" i="19" s="1"/>
  <c r="AD13" i="19"/>
  <c r="AE13" i="19" s="1"/>
  <c r="AD17" i="19"/>
  <c r="AE17" i="19" s="1"/>
  <c r="AD24" i="19"/>
  <c r="AE24" i="19" s="1"/>
  <c r="AD14" i="19"/>
  <c r="AE14" i="19" s="1"/>
  <c r="AD20" i="19"/>
  <c r="AE20" i="19" s="1"/>
  <c r="AD15" i="19"/>
  <c r="AE15" i="19" s="1"/>
  <c r="AD18" i="19"/>
  <c r="AE18" i="19" s="1"/>
  <c r="AD22" i="19"/>
  <c r="AE22" i="19" s="1"/>
  <c r="AD25" i="19"/>
  <c r="AE25" i="19" s="1"/>
  <c r="AD29" i="19"/>
  <c r="AE29" i="19" s="1"/>
  <c r="AD27" i="19"/>
  <c r="AE27" i="19" s="1"/>
  <c r="AD28" i="19"/>
  <c r="AE28" i="19" s="1"/>
  <c r="AD12" i="19"/>
  <c r="AE12" i="19" s="1"/>
  <c r="AD19" i="19"/>
  <c r="AE19" i="19" s="1"/>
  <c r="AD26" i="19"/>
  <c r="AE26" i="19" s="1"/>
  <c r="AD11" i="19"/>
  <c r="AE11" i="19" s="1"/>
  <c r="AD16" i="19"/>
  <c r="AE16" i="19" s="1"/>
  <c r="AD23" i="19"/>
  <c r="AE23" i="19" s="1"/>
  <c r="AD31" i="19"/>
  <c r="AE31" i="19" s="1"/>
  <c r="B112" i="17"/>
  <c r="AD33" i="19"/>
  <c r="B52" i="19"/>
  <c r="B56" i="19" s="1"/>
  <c r="B231" i="19"/>
  <c r="K357" i="19" s="1"/>
  <c r="B223" i="19"/>
  <c r="B111" i="19" s="1"/>
  <c r="B141" i="19" s="1"/>
  <c r="B330" i="19"/>
  <c r="S49" i="19"/>
  <c r="J46" i="19"/>
  <c r="S47" i="19"/>
  <c r="V47" i="19" s="1"/>
  <c r="K340" i="19"/>
  <c r="B293" i="19"/>
  <c r="C402" i="19"/>
  <c r="B435" i="19"/>
  <c r="L64" i="19"/>
  <c r="B89" i="19"/>
  <c r="B94" i="19" s="1"/>
  <c r="B112" i="19"/>
  <c r="B293" i="17"/>
  <c r="B398" i="17"/>
  <c r="D94" i="17"/>
  <c r="O47" i="17" s="1"/>
  <c r="B110" i="17"/>
  <c r="AD33" i="17"/>
  <c r="V45" i="17" s="1"/>
  <c r="X45" i="17" s="1"/>
  <c r="B52" i="17"/>
  <c r="B56" i="17" s="1"/>
  <c r="M24" i="17"/>
  <c r="M33" i="17" s="1"/>
  <c r="I24" i="17"/>
  <c r="D24" i="17"/>
  <c r="B33" i="17"/>
  <c r="D25" i="17"/>
  <c r="B303" i="17"/>
  <c r="S47" i="17"/>
  <c r="V47" i="17" s="1"/>
  <c r="J46" i="17"/>
  <c r="L64" i="17"/>
  <c r="S51" i="17"/>
  <c r="X51" i="17" s="1"/>
  <c r="S49" i="17"/>
  <c r="B231" i="17"/>
  <c r="K357" i="17" s="1"/>
  <c r="B223" i="17"/>
  <c r="B111" i="17" s="1"/>
  <c r="B141" i="17" s="1"/>
  <c r="B330" i="17"/>
  <c r="E349" i="17" l="1"/>
  <c r="AE21" i="19"/>
  <c r="AE33" i="19" s="1"/>
  <c r="D25" i="19"/>
  <c r="B33" i="19"/>
  <c r="M24" i="19"/>
  <c r="M33" i="19" s="1"/>
  <c r="I24" i="19"/>
  <c r="B113" i="19" s="1"/>
  <c r="B140" i="19" s="1"/>
  <c r="D24" i="19"/>
  <c r="B109" i="19"/>
  <c r="N360" i="19"/>
  <c r="B344" i="19"/>
  <c r="I33" i="19"/>
  <c r="E52" i="19"/>
  <c r="E56" i="19" s="1"/>
  <c r="C467" i="19"/>
  <c r="C475" i="19" s="1"/>
  <c r="B440" i="19"/>
  <c r="B439" i="19"/>
  <c r="E440" i="19" s="1"/>
  <c r="D94" i="19"/>
  <c r="O47" i="19" s="1"/>
  <c r="B110" i="19"/>
  <c r="B142" i="19"/>
  <c r="B434" i="17"/>
  <c r="C401" i="17"/>
  <c r="N58" i="17"/>
  <c r="M66" i="17"/>
  <c r="E335" i="17"/>
  <c r="L62" i="17"/>
  <c r="L60" i="17"/>
  <c r="S43" i="17"/>
  <c r="X43" i="17" s="1"/>
  <c r="S39" i="17"/>
  <c r="X39" i="17" s="1"/>
  <c r="L58" i="17"/>
  <c r="N360" i="17"/>
  <c r="B344" i="17"/>
  <c r="E52" i="17"/>
  <c r="E56" i="17" s="1"/>
  <c r="B113" i="17"/>
  <c r="B140" i="17" s="1"/>
  <c r="I33" i="17"/>
  <c r="K33" i="17" s="1"/>
  <c r="B109" i="17"/>
  <c r="X47" i="17"/>
  <c r="K33" i="19" l="1"/>
  <c r="S43" i="19"/>
  <c r="X43" i="19" s="1"/>
  <c r="L60" i="19"/>
  <c r="N58" i="19"/>
  <c r="L58" i="19"/>
  <c r="S39" i="19"/>
  <c r="X39" i="19" s="1"/>
  <c r="M66" i="19"/>
  <c r="V45" i="19"/>
  <c r="X45" i="19" s="1"/>
  <c r="L62" i="19"/>
  <c r="E349" i="19"/>
  <c r="E335" i="19"/>
  <c r="B137" i="19"/>
  <c r="B368" i="19"/>
  <c r="B374" i="19" s="1"/>
  <c r="B376" i="19" s="1"/>
  <c r="X47" i="19"/>
  <c r="B146" i="19"/>
  <c r="B159" i="19" s="1"/>
  <c r="B163" i="19" s="1"/>
  <c r="B145" i="19"/>
  <c r="B116" i="19"/>
  <c r="B116" i="17"/>
  <c r="B146" i="17"/>
  <c r="B159" i="17" s="1"/>
  <c r="B145" i="17"/>
  <c r="C466" i="17"/>
  <c r="C474" i="17" s="1"/>
  <c r="B438" i="17"/>
  <c r="E439" i="17" s="1"/>
  <c r="B439" i="17"/>
  <c r="B367" i="17"/>
  <c r="B373" i="17" s="1"/>
  <c r="B137" i="17"/>
  <c r="B189" i="19" l="1"/>
  <c r="B304" i="19" s="1"/>
  <c r="B375" i="17"/>
  <c r="B163" i="17"/>
  <c r="B209" i="17" s="1"/>
  <c r="B189" i="17"/>
  <c r="B304" i="17" s="1"/>
  <c r="B341" i="17" l="1"/>
  <c r="C475" i="17" s="1"/>
  <c r="C477" i="17" s="1"/>
  <c r="B308" i="17"/>
  <c r="B341" i="19"/>
  <c r="B308" i="19"/>
  <c r="B209" i="19"/>
  <c r="B211" i="19"/>
  <c r="B286" i="19"/>
  <c r="E163" i="17"/>
  <c r="F163" i="17" s="1"/>
  <c r="G163" i="17" s="1"/>
  <c r="B211" i="17"/>
  <c r="B230" i="17" s="1"/>
  <c r="B286" i="17"/>
  <c r="B327" i="17" s="1"/>
  <c r="B74" i="15"/>
  <c r="B349" i="17" l="1"/>
  <c r="B351" i="17"/>
  <c r="E308" i="17" s="1"/>
  <c r="I308" i="17" s="1" a="1"/>
  <c r="I308" i="17" s="1"/>
  <c r="E310" i="17" s="1"/>
  <c r="U55" i="17" s="1"/>
  <c r="B230" i="19"/>
  <c r="B217" i="19"/>
  <c r="B218" i="19" s="1"/>
  <c r="B327" i="19"/>
  <c r="B292" i="19"/>
  <c r="B294" i="19" s="1"/>
  <c r="B297" i="19" s="1"/>
  <c r="C476" i="19"/>
  <c r="C478" i="19" s="1"/>
  <c r="B351" i="19"/>
  <c r="E308" i="19" s="1"/>
  <c r="I308" i="19" s="1" a="1"/>
  <c r="I308" i="19" s="1"/>
  <c r="E310" i="19" s="1"/>
  <c r="B349" i="19"/>
  <c r="B217" i="17"/>
  <c r="B218" i="17" s="1"/>
  <c r="B292" i="17"/>
  <c r="B294" i="17" s="1"/>
  <c r="B297" i="17" s="1"/>
  <c r="B235" i="17"/>
  <c r="B394" i="17" s="1"/>
  <c r="J49" i="17" s="1"/>
  <c r="J45" i="17"/>
  <c r="K337" i="17"/>
  <c r="K342" i="17" s="1"/>
  <c r="C467" i="17"/>
  <c r="C469" i="17" s="1"/>
  <c r="B337" i="17"/>
  <c r="E297" i="17" s="1"/>
  <c r="B491" i="4"/>
  <c r="E311" i="17" l="1"/>
  <c r="X55" i="17" s="1"/>
  <c r="E311" i="19"/>
  <c r="X55" i="19" s="1"/>
  <c r="U55" i="19"/>
  <c r="K337" i="19"/>
  <c r="C468" i="19"/>
  <c r="C470" i="19" s="1"/>
  <c r="B337" i="19"/>
  <c r="E297" i="19" s="1"/>
  <c r="B235" i="19"/>
  <c r="B395" i="19" s="1"/>
  <c r="J49" i="19" s="1"/>
  <c r="J45" i="19"/>
  <c r="B299" i="17"/>
  <c r="I297" i="17" a="1"/>
  <c r="I297" i="17" s="1"/>
  <c r="K356" i="17"/>
  <c r="K360" i="17" s="1"/>
  <c r="U49" i="17"/>
  <c r="X49" i="17" s="1"/>
  <c r="C440" i="15"/>
  <c r="H434" i="15"/>
  <c r="E434" i="15"/>
  <c r="B434" i="15"/>
  <c r="E433" i="15"/>
  <c r="B423" i="15"/>
  <c r="C426" i="15" s="1"/>
  <c r="B377" i="15"/>
  <c r="B286" i="15" s="1"/>
  <c r="B370" i="15"/>
  <c r="B396" i="15" s="1"/>
  <c r="B369" i="15"/>
  <c r="B368" i="15"/>
  <c r="B366" i="15"/>
  <c r="B397" i="15" s="1"/>
  <c r="B399" i="15" s="1"/>
  <c r="B329" i="15"/>
  <c r="B343" i="15" s="1"/>
  <c r="B309" i="15"/>
  <c r="B344" i="15" s="1"/>
  <c r="B298" i="15"/>
  <c r="B330" i="15" s="1"/>
  <c r="B288" i="15"/>
  <c r="B232" i="15"/>
  <c r="B231" i="15"/>
  <c r="B222" i="15"/>
  <c r="B209" i="15"/>
  <c r="B230" i="15" s="1"/>
  <c r="B190" i="15"/>
  <c r="B181" i="15"/>
  <c r="B137" i="15"/>
  <c r="B110" i="15"/>
  <c r="B140" i="15" s="1"/>
  <c r="B90" i="15"/>
  <c r="B89" i="15"/>
  <c r="B111" i="15"/>
  <c r="B52" i="15"/>
  <c r="B51" i="15"/>
  <c r="E50" i="15"/>
  <c r="B50" i="15"/>
  <c r="B55" i="15" s="1"/>
  <c r="B33" i="15"/>
  <c r="AD30" i="15"/>
  <c r="X30" i="15"/>
  <c r="V30" i="15"/>
  <c r="Q30" i="15"/>
  <c r="P30" i="15"/>
  <c r="O30" i="15"/>
  <c r="M30" i="15"/>
  <c r="I30" i="15"/>
  <c r="E52" i="15" s="1"/>
  <c r="D30" i="15"/>
  <c r="AD29" i="15"/>
  <c r="X29" i="15"/>
  <c r="V29" i="15"/>
  <c r="Q29" i="15"/>
  <c r="P29" i="15"/>
  <c r="O29" i="15"/>
  <c r="AD28" i="15"/>
  <c r="X28" i="15"/>
  <c r="V28" i="15"/>
  <c r="Q28" i="15"/>
  <c r="P28" i="15"/>
  <c r="AD27" i="15"/>
  <c r="X27" i="15"/>
  <c r="U27" i="15"/>
  <c r="Q27" i="15"/>
  <c r="P27" i="15"/>
  <c r="O27" i="15"/>
  <c r="AD26" i="15"/>
  <c r="X26" i="15"/>
  <c r="V26" i="15"/>
  <c r="Q26" i="15"/>
  <c r="P26" i="15"/>
  <c r="O26" i="15"/>
  <c r="M26" i="15"/>
  <c r="I26" i="15"/>
  <c r="AD25" i="15"/>
  <c r="X25" i="15"/>
  <c r="V25" i="15"/>
  <c r="Q25" i="15"/>
  <c r="P25" i="15"/>
  <c r="O25" i="15"/>
  <c r="M25" i="15"/>
  <c r="I25" i="15"/>
  <c r="D25" i="15"/>
  <c r="AD24" i="15"/>
  <c r="X24" i="15"/>
  <c r="V24" i="15"/>
  <c r="Q24" i="15" s="1"/>
  <c r="P24" i="15"/>
  <c r="M24" i="15"/>
  <c r="I24" i="15"/>
  <c r="B112" i="15" s="1"/>
  <c r="B139" i="15" s="1"/>
  <c r="AD23" i="15"/>
  <c r="X23" i="15"/>
  <c r="V23" i="15"/>
  <c r="Q23" i="15"/>
  <c r="P23" i="15"/>
  <c r="AD22" i="15"/>
  <c r="X22" i="15"/>
  <c r="V22" i="15"/>
  <c r="Q22" i="15"/>
  <c r="P22" i="15"/>
  <c r="O22" i="15"/>
  <c r="AD21" i="15"/>
  <c r="X21" i="15"/>
  <c r="V21" i="15"/>
  <c r="Q21" i="15"/>
  <c r="P21" i="15"/>
  <c r="O21" i="15"/>
  <c r="AD20" i="15"/>
  <c r="X20" i="15"/>
  <c r="V20" i="15"/>
  <c r="Q20" i="15"/>
  <c r="P20" i="15"/>
  <c r="AD19" i="15"/>
  <c r="X19" i="15"/>
  <c r="V19" i="15"/>
  <c r="Q19" i="15"/>
  <c r="P19" i="15"/>
  <c r="O19" i="15"/>
  <c r="AD18" i="15"/>
  <c r="X18" i="15"/>
  <c r="V18" i="15"/>
  <c r="Q18" i="15"/>
  <c r="P18" i="15"/>
  <c r="O18" i="15"/>
  <c r="AD17" i="15"/>
  <c r="X17" i="15"/>
  <c r="V17" i="15"/>
  <c r="Q17" i="15"/>
  <c r="P17" i="15"/>
  <c r="AD16" i="15"/>
  <c r="X16" i="15"/>
  <c r="V16" i="15"/>
  <c r="Q16" i="15"/>
  <c r="P16" i="15"/>
  <c r="O16" i="15"/>
  <c r="AD15" i="15"/>
  <c r="X15" i="15"/>
  <c r="V15" i="15"/>
  <c r="Q15" i="15"/>
  <c r="P15" i="15"/>
  <c r="O15" i="15"/>
  <c r="X14" i="15"/>
  <c r="V14" i="15"/>
  <c r="Q14" i="15" s="1"/>
  <c r="D26" i="15" s="1"/>
  <c r="D24" i="15" s="1"/>
  <c r="P14" i="15"/>
  <c r="AD13" i="15"/>
  <c r="X13" i="15"/>
  <c r="V13" i="15"/>
  <c r="Q13" i="15"/>
  <c r="P13" i="15"/>
  <c r="O13" i="15"/>
  <c r="AD12" i="15"/>
  <c r="X12" i="15"/>
  <c r="V12" i="15"/>
  <c r="Q12" i="15"/>
  <c r="P12" i="15"/>
  <c r="O12" i="15"/>
  <c r="AD11" i="15"/>
  <c r="X11" i="15"/>
  <c r="V11" i="15"/>
  <c r="Q11" i="15"/>
  <c r="P11" i="15"/>
  <c r="AD10" i="15"/>
  <c r="X10" i="15"/>
  <c r="V10" i="15"/>
  <c r="Q10" i="15"/>
  <c r="P10" i="15"/>
  <c r="O10" i="15"/>
  <c r="AD9" i="15"/>
  <c r="X9" i="15"/>
  <c r="V9" i="15"/>
  <c r="Q9" i="15"/>
  <c r="P9" i="15"/>
  <c r="O9" i="15"/>
  <c r="AD8" i="15"/>
  <c r="X8" i="15"/>
  <c r="V8" i="15"/>
  <c r="Q8" i="15"/>
  <c r="P8" i="15"/>
  <c r="I297" i="19" l="1" a="1"/>
  <c r="I297" i="19" s="1"/>
  <c r="B299" i="19"/>
  <c r="M33" i="15"/>
  <c r="B292" i="15"/>
  <c r="K342" i="19"/>
  <c r="U49" i="19" s="1"/>
  <c r="X49" i="19" s="1"/>
  <c r="K360" i="19"/>
  <c r="P313" i="17"/>
  <c r="E299" i="17" s="1"/>
  <c r="B331" i="17"/>
  <c r="B335" i="17" s="1"/>
  <c r="S53" i="17"/>
  <c r="AE14" i="15"/>
  <c r="AF14" i="15" s="1"/>
  <c r="O14" i="15"/>
  <c r="AE20" i="15"/>
  <c r="AF20" i="15" s="1"/>
  <c r="O20" i="15"/>
  <c r="AE24" i="15"/>
  <c r="AF24" i="15" s="1"/>
  <c r="O24" i="15"/>
  <c r="AE22" i="15"/>
  <c r="AF22" i="15" s="1"/>
  <c r="AE19" i="15"/>
  <c r="AF19" i="15" s="1"/>
  <c r="AE10" i="15"/>
  <c r="AF10" i="15" s="1"/>
  <c r="B284" i="15"/>
  <c r="AE27" i="15"/>
  <c r="AF27" i="15" s="1"/>
  <c r="AE25" i="15"/>
  <c r="AF25" i="15" s="1"/>
  <c r="AE16" i="15"/>
  <c r="AF16" i="15" s="1"/>
  <c r="AE13" i="15"/>
  <c r="AF13" i="15" s="1"/>
  <c r="AE29" i="15"/>
  <c r="AF29" i="15" s="1"/>
  <c r="AE26" i="15"/>
  <c r="AF26" i="15" s="1"/>
  <c r="AE30" i="15"/>
  <c r="AF30" i="15" s="1"/>
  <c r="C438" i="15"/>
  <c r="E440" i="15" s="1"/>
  <c r="AE8" i="15"/>
  <c r="AF8" i="15" s="1"/>
  <c r="O8" i="15"/>
  <c r="AE11" i="15"/>
  <c r="AF11" i="15" s="1"/>
  <c r="O11" i="15"/>
  <c r="AE17" i="15"/>
  <c r="AF17" i="15" s="1"/>
  <c r="O17" i="15"/>
  <c r="AE23" i="15"/>
  <c r="AF23" i="15" s="1"/>
  <c r="O23" i="15"/>
  <c r="C402" i="15"/>
  <c r="B435" i="15"/>
  <c r="C467" i="15" s="1"/>
  <c r="C475" i="15" s="1"/>
  <c r="AE9" i="15"/>
  <c r="AF9" i="15" s="1"/>
  <c r="AE12" i="15"/>
  <c r="AF12" i="15" s="1"/>
  <c r="AE15" i="15"/>
  <c r="AF15" i="15" s="1"/>
  <c r="AE18" i="15"/>
  <c r="AF18" i="15" s="1"/>
  <c r="AE21" i="15"/>
  <c r="AF21" i="15" s="1"/>
  <c r="AE28" i="15"/>
  <c r="AF28" i="15" s="1"/>
  <c r="I33" i="15"/>
  <c r="E51" i="15"/>
  <c r="E55" i="15" s="1"/>
  <c r="B88" i="15"/>
  <c r="B93" i="15" s="1"/>
  <c r="O28" i="15"/>
  <c r="K33" i="15" l="1"/>
  <c r="B331" i="19"/>
  <c r="B335" i="19" s="1"/>
  <c r="S53" i="19"/>
  <c r="P313" i="19"/>
  <c r="E299" i="19" s="1"/>
  <c r="U53" i="17"/>
  <c r="E301" i="17"/>
  <c r="X53" i="17" s="1"/>
  <c r="X57" i="17" s="1"/>
  <c r="C437" i="15"/>
  <c r="G438" i="15" s="1"/>
  <c r="B367" i="15"/>
  <c r="B374" i="15" s="1"/>
  <c r="B376" i="15" s="1"/>
  <c r="B136" i="15"/>
  <c r="B144" i="15" s="1"/>
  <c r="B302" i="15"/>
  <c r="B328" i="15"/>
  <c r="B109" i="15"/>
  <c r="B115" i="15" s="1"/>
  <c r="B141" i="15"/>
  <c r="B145" i="15" s="1"/>
  <c r="D93" i="15"/>
  <c r="U53" i="19" l="1"/>
  <c r="E301" i="19"/>
  <c r="X53" i="19" s="1"/>
  <c r="X57" i="19" s="1"/>
  <c r="B342" i="15"/>
  <c r="E348" i="15" s="1"/>
  <c r="E334" i="15"/>
  <c r="E309" i="15"/>
  <c r="E298" i="15"/>
  <c r="B158" i="15"/>
  <c r="G374" i="15"/>
  <c r="G377" i="15" s="1"/>
  <c r="B162" i="15" l="1"/>
  <c r="B188" i="15"/>
  <c r="B303" i="15" s="1"/>
  <c r="B340" i="15" l="1"/>
  <c r="B307" i="15"/>
  <c r="B285" i="15"/>
  <c r="B208" i="15"/>
  <c r="E162" i="15"/>
  <c r="F162" i="15" s="1"/>
  <c r="G162" i="15" s="1"/>
  <c r="B210" i="15"/>
  <c r="B229" i="15" l="1"/>
  <c r="B234" i="15" s="1"/>
  <c r="B395" i="15" s="1"/>
  <c r="B216" i="15"/>
  <c r="B217" i="15" s="1"/>
  <c r="B326" i="15"/>
  <c r="B291" i="15"/>
  <c r="B293" i="15" s="1"/>
  <c r="B296" i="15" s="1"/>
  <c r="C476" i="15"/>
  <c r="C478" i="15" s="1"/>
  <c r="B350" i="15"/>
  <c r="E307" i="15" s="1"/>
  <c r="I307" i="15" s="1" a="1"/>
  <c r="I307" i="15" s="1"/>
  <c r="B348" i="15"/>
  <c r="B334" i="15" l="1"/>
  <c r="C468" i="15"/>
  <c r="C470" i="15" s="1"/>
  <c r="B336" i="15"/>
  <c r="E296" i="15" s="1"/>
  <c r="I296" i="15" s="1" a="1"/>
  <c r="I296" i="15" s="1"/>
  <c r="B556" i="13" l="1"/>
  <c r="I554" i="13" s="1" a="1"/>
  <c r="I554" i="13" s="1"/>
  <c r="B556" i="12"/>
  <c r="I554" i="12" s="1" a="1"/>
  <c r="I554" i="12" s="1"/>
  <c r="B556" i="7"/>
  <c r="I554" i="7" s="1" a="1"/>
  <c r="I554" i="7" s="1"/>
  <c r="B678" i="13"/>
  <c r="B667" i="13"/>
  <c r="C670" i="13" s="1"/>
  <c r="B631" i="13"/>
  <c r="B642" i="13" s="1"/>
  <c r="I599" i="13"/>
  <c r="B585" i="13"/>
  <c r="B583" i="13"/>
  <c r="E591" i="13" s="1"/>
  <c r="B580" i="13"/>
  <c r="B579" i="13"/>
  <c r="I582" i="13" s="1"/>
  <c r="I583" i="13" s="1"/>
  <c r="I584" i="13" s="1"/>
  <c r="I578" i="13"/>
  <c r="I577" i="13"/>
  <c r="I588" i="13" s="1"/>
  <c r="I576" i="13"/>
  <c r="I597" i="13" s="1"/>
  <c r="P559" i="13"/>
  <c r="G556" i="13"/>
  <c r="B535" i="13"/>
  <c r="B529" i="13"/>
  <c r="B602" i="13" s="1"/>
  <c r="E608" i="13" s="1"/>
  <c r="B473" i="13"/>
  <c r="B475" i="13" s="1"/>
  <c r="B472" i="13"/>
  <c r="B577" i="13" s="1"/>
  <c r="B589" i="13" s="1"/>
  <c r="B450" i="13"/>
  <c r="B449" i="13"/>
  <c r="H436" i="13"/>
  <c r="B430" i="13"/>
  <c r="P560" i="13" s="1"/>
  <c r="B409" i="13"/>
  <c r="B390" i="13"/>
  <c r="B387" i="13"/>
  <c r="B363" i="13"/>
  <c r="B341" i="13"/>
  <c r="B340" i="13"/>
  <c r="B327" i="13"/>
  <c r="B313" i="13"/>
  <c r="D289" i="13"/>
  <c r="B265" i="13"/>
  <c r="B246" i="13"/>
  <c r="B292" i="13" s="1"/>
  <c r="B245" i="13"/>
  <c r="B328" i="13" s="1"/>
  <c r="G222" i="13"/>
  <c r="B165" i="13"/>
  <c r="B162" i="13" s="1"/>
  <c r="B169" i="13" s="1"/>
  <c r="B271" i="13" s="1"/>
  <c r="B164" i="13"/>
  <c r="B531" i="13" s="1"/>
  <c r="B140" i="13"/>
  <c r="B307" i="13" s="1"/>
  <c r="H121" i="13"/>
  <c r="N121" i="13" s="1"/>
  <c r="B107" i="13"/>
  <c r="B106" i="13"/>
  <c r="B100" i="13" s="1"/>
  <c r="B108" i="13" s="1"/>
  <c r="B101" i="13"/>
  <c r="B99" i="13"/>
  <c r="B69" i="13"/>
  <c r="B667" i="12"/>
  <c r="B678" i="12" s="1"/>
  <c r="B642" i="12"/>
  <c r="B631" i="12"/>
  <c r="C634" i="12" s="1"/>
  <c r="I599" i="12"/>
  <c r="I597" i="12"/>
  <c r="O597" i="12" s="1"/>
  <c r="B585" i="12"/>
  <c r="B580" i="12"/>
  <c r="B579" i="12"/>
  <c r="I582" i="12" s="1"/>
  <c r="I583" i="12" s="1"/>
  <c r="I584" i="12" s="1"/>
  <c r="I578" i="12"/>
  <c r="I576" i="12"/>
  <c r="P559" i="12"/>
  <c r="B535" i="12"/>
  <c r="B534" i="12"/>
  <c r="P561" i="12" s="1"/>
  <c r="B529" i="12"/>
  <c r="B531" i="12" s="1"/>
  <c r="B473" i="12"/>
  <c r="B475" i="12" s="1"/>
  <c r="B472" i="12"/>
  <c r="I577" i="12" s="1"/>
  <c r="B450" i="12"/>
  <c r="B449" i="12"/>
  <c r="H436" i="12"/>
  <c r="B409" i="12"/>
  <c r="B390" i="12"/>
  <c r="B387" i="12"/>
  <c r="B363" i="12"/>
  <c r="B340" i="12"/>
  <c r="B328" i="12"/>
  <c r="B313" i="12"/>
  <c r="D289" i="12"/>
  <c r="B269" i="12"/>
  <c r="B265" i="12"/>
  <c r="B246" i="12"/>
  <c r="B341" i="12" s="1"/>
  <c r="B245" i="12"/>
  <c r="G222" i="12"/>
  <c r="B165" i="12"/>
  <c r="B162" i="12" s="1"/>
  <c r="B169" i="12" s="1"/>
  <c r="B271" i="12" s="1"/>
  <c r="B164" i="12"/>
  <c r="B584" i="12" s="1"/>
  <c r="B140" i="12"/>
  <c r="B307" i="12" s="1"/>
  <c r="H121" i="12"/>
  <c r="N121" i="12" s="1"/>
  <c r="B107" i="12"/>
  <c r="B101" i="12"/>
  <c r="B99" i="12"/>
  <c r="B430" i="12" s="1"/>
  <c r="B69" i="12"/>
  <c r="P579" i="4"/>
  <c r="P578" i="4"/>
  <c r="P559" i="7"/>
  <c r="S563" i="7"/>
  <c r="P561" i="7"/>
  <c r="P560" i="7"/>
  <c r="P543" i="7"/>
  <c r="B473" i="7"/>
  <c r="B472" i="7"/>
  <c r="I562" i="4" a="1"/>
  <c r="I562" i="4" s="1"/>
  <c r="B575" i="4"/>
  <c r="B564" i="4"/>
  <c r="B604" i="13" l="1"/>
  <c r="B599" i="13" s="1"/>
  <c r="B598" i="13" s="1"/>
  <c r="I603" i="13" s="1"/>
  <c r="I604" i="13" s="1"/>
  <c r="I605" i="13" s="1"/>
  <c r="I606" i="13" s="1"/>
  <c r="I610" i="13" s="1"/>
  <c r="E556" i="13"/>
  <c r="B604" i="12"/>
  <c r="B599" i="12" s="1"/>
  <c r="B598" i="12" s="1"/>
  <c r="O603" i="12" s="1"/>
  <c r="O604" i="12" s="1"/>
  <c r="O605" i="12" s="1"/>
  <c r="O606" i="12" s="1"/>
  <c r="O610" i="12" s="1"/>
  <c r="B558" i="12"/>
  <c r="C634" i="13"/>
  <c r="B344" i="13"/>
  <c r="B392" i="13" s="1"/>
  <c r="O597" i="13"/>
  <c r="B643" i="13"/>
  <c r="C645" i="13" s="1"/>
  <c r="F645" i="13" s="1"/>
  <c r="C478" i="13"/>
  <c r="I585" i="13"/>
  <c r="I589" i="13" s="1"/>
  <c r="I579" i="13"/>
  <c r="I587" i="13" s="1"/>
  <c r="B111" i="13"/>
  <c r="B124" i="13" s="1"/>
  <c r="O603" i="13"/>
  <c r="O604" i="13" s="1"/>
  <c r="B558" i="13"/>
  <c r="E558" i="13" s="1"/>
  <c r="B209" i="13"/>
  <c r="B214" i="13" s="1"/>
  <c r="B215" i="13" s="1"/>
  <c r="B269" i="13"/>
  <c r="G450" i="13"/>
  <c r="B534" i="13"/>
  <c r="E547" i="13"/>
  <c r="E545" i="13" s="1"/>
  <c r="I581" i="13"/>
  <c r="I590" i="13" s="1"/>
  <c r="B391" i="13"/>
  <c r="B584" i="13"/>
  <c r="I585" i="12"/>
  <c r="I589" i="12" s="1"/>
  <c r="I579" i="12"/>
  <c r="I587" i="12" s="1"/>
  <c r="B603" i="12"/>
  <c r="S563" i="12"/>
  <c r="I581" i="12"/>
  <c r="I590" i="12" s="1"/>
  <c r="I588" i="12"/>
  <c r="B643" i="12"/>
  <c r="C478" i="12"/>
  <c r="P560" i="12"/>
  <c r="G450" i="12"/>
  <c r="B344" i="12"/>
  <c r="B392" i="12" s="1"/>
  <c r="C645" i="12"/>
  <c r="F645" i="12" s="1"/>
  <c r="G556" i="12"/>
  <c r="E556" i="12" s="1"/>
  <c r="P543" i="12"/>
  <c r="B209" i="12"/>
  <c r="B214" i="12" s="1"/>
  <c r="B215" i="12" s="1"/>
  <c r="E558" i="12"/>
  <c r="E547" i="12"/>
  <c r="E545" i="12" s="1"/>
  <c r="C670" i="12"/>
  <c r="B106" i="12"/>
  <c r="B100" i="12" s="1"/>
  <c r="B108" i="12" s="1"/>
  <c r="B111" i="12" s="1"/>
  <c r="B124" i="12" s="1"/>
  <c r="B583" i="12"/>
  <c r="E591" i="12" s="1"/>
  <c r="B391" i="12"/>
  <c r="B327" i="12"/>
  <c r="B602" i="12"/>
  <c r="E608" i="12" s="1"/>
  <c r="B292" i="12"/>
  <c r="B577" i="12"/>
  <c r="B589" i="12" s="1"/>
  <c r="C108" i="10"/>
  <c r="B642" i="7"/>
  <c r="C634" i="7"/>
  <c r="B631" i="7"/>
  <c r="B667" i="7" s="1"/>
  <c r="B604" i="7"/>
  <c r="B599" i="7" s="1"/>
  <c r="B598" i="7" s="1"/>
  <c r="I599" i="7"/>
  <c r="B585" i="7"/>
  <c r="B580" i="7"/>
  <c r="B579" i="7"/>
  <c r="I582" i="7" s="1"/>
  <c r="I583" i="7" s="1"/>
  <c r="I584" i="7" s="1"/>
  <c r="I585" i="7" s="1"/>
  <c r="I589" i="7" s="1"/>
  <c r="I578" i="7"/>
  <c r="I577" i="7"/>
  <c r="I581" i="7" s="1"/>
  <c r="I590" i="7" s="1"/>
  <c r="B577" i="7"/>
  <c r="B589" i="7" s="1"/>
  <c r="I576" i="7"/>
  <c r="I597" i="7" s="1"/>
  <c r="B558" i="7"/>
  <c r="G556" i="7"/>
  <c r="E556" i="7" s="1"/>
  <c r="E547" i="7"/>
  <c r="E545" i="7"/>
  <c r="B535" i="7"/>
  <c r="B534" i="7"/>
  <c r="B531" i="7"/>
  <c r="B529" i="7"/>
  <c r="B602" i="7" s="1"/>
  <c r="E608" i="7" s="1"/>
  <c r="B475" i="7"/>
  <c r="C478" i="7" s="1"/>
  <c r="B450" i="7"/>
  <c r="B449" i="7"/>
  <c r="H436" i="7"/>
  <c r="B409" i="7"/>
  <c r="B390" i="7"/>
  <c r="B363" i="7"/>
  <c r="B387" i="7" s="1"/>
  <c r="B340" i="7"/>
  <c r="B344" i="7" s="1"/>
  <c r="B392" i="7" s="1"/>
  <c r="B328" i="7"/>
  <c r="B313" i="7"/>
  <c r="D289" i="7"/>
  <c r="B269" i="7"/>
  <c r="B265" i="7"/>
  <c r="B246" i="7"/>
  <c r="B341" i="7" s="1"/>
  <c r="B245" i="7"/>
  <c r="G222" i="7"/>
  <c r="B165" i="7"/>
  <c r="B162" i="7" s="1"/>
  <c r="B169" i="7" s="1"/>
  <c r="B271" i="7" s="1"/>
  <c r="B164" i="7"/>
  <c r="B584" i="7" s="1"/>
  <c r="B603" i="7" s="1"/>
  <c r="B140" i="7"/>
  <c r="B307" i="7" s="1"/>
  <c r="H121" i="7"/>
  <c r="N121" i="7" s="1"/>
  <c r="B101" i="7"/>
  <c r="B107" i="7" s="1"/>
  <c r="B99" i="7"/>
  <c r="B69" i="7"/>
  <c r="I603" i="12" l="1"/>
  <c r="I604" i="12" s="1"/>
  <c r="I605" i="12" s="1"/>
  <c r="I606" i="12" s="1"/>
  <c r="I610" i="12" s="1"/>
  <c r="I600" i="13"/>
  <c r="I608" i="13" s="1"/>
  <c r="O605" i="13"/>
  <c r="O606" i="13" s="1"/>
  <c r="O610" i="13" s="1"/>
  <c r="I592" i="13"/>
  <c r="P561" i="13"/>
  <c r="P543" i="13"/>
  <c r="B603" i="13"/>
  <c r="S563" i="13"/>
  <c r="C709" i="13"/>
  <c r="C717" i="13" s="1"/>
  <c r="B679" i="13"/>
  <c r="C681" i="13" s="1"/>
  <c r="O600" i="13"/>
  <c r="O608" i="13" s="1"/>
  <c r="H124" i="13"/>
  <c r="B126" i="13"/>
  <c r="H124" i="12"/>
  <c r="B126" i="12"/>
  <c r="O600" i="12"/>
  <c r="O608" i="12" s="1"/>
  <c r="I592" i="12"/>
  <c r="C709" i="12"/>
  <c r="C717" i="12" s="1"/>
  <c r="B679" i="12"/>
  <c r="C681" i="12" s="1"/>
  <c r="B209" i="7"/>
  <c r="B214" i="7" s="1"/>
  <c r="B215" i="7" s="1"/>
  <c r="B100" i="7"/>
  <c r="B108" i="7" s="1"/>
  <c r="B111" i="7" s="1"/>
  <c r="B124" i="7" s="1"/>
  <c r="O597" i="7"/>
  <c r="I603" i="7"/>
  <c r="I604" i="7" s="1"/>
  <c r="I605" i="7" s="1"/>
  <c r="I606" i="7" s="1"/>
  <c r="I610" i="7" s="1"/>
  <c r="O603" i="7"/>
  <c r="O604" i="7" s="1"/>
  <c r="O605" i="7" s="1"/>
  <c r="O606" i="7" s="1"/>
  <c r="O610" i="7" s="1"/>
  <c r="B678" i="7"/>
  <c r="C670" i="7"/>
  <c r="B643" i="7"/>
  <c r="C645" i="7" s="1"/>
  <c r="F645" i="7" s="1"/>
  <c r="I579" i="7"/>
  <c r="I587" i="7" s="1"/>
  <c r="I592" i="7" s="1"/>
  <c r="B106" i="7"/>
  <c r="B430" i="7"/>
  <c r="I588" i="7"/>
  <c r="B391" i="7"/>
  <c r="B327" i="7"/>
  <c r="B583" i="7"/>
  <c r="E591" i="7" s="1"/>
  <c r="B292" i="7"/>
  <c r="E558" i="7"/>
  <c r="I600" i="12" l="1"/>
  <c r="I608" i="12" s="1"/>
  <c r="H126" i="13"/>
  <c r="N124" i="13"/>
  <c r="N126" i="13" s="1"/>
  <c r="H126" i="12"/>
  <c r="N124" i="12"/>
  <c r="N126" i="12" s="1"/>
  <c r="H124" i="7"/>
  <c r="B126" i="7"/>
  <c r="C681" i="7"/>
  <c r="G450" i="7"/>
  <c r="O600" i="7"/>
  <c r="O608" i="7" s="1"/>
  <c r="C709" i="7"/>
  <c r="C717" i="7" s="1"/>
  <c r="B679" i="7"/>
  <c r="I600" i="7"/>
  <c r="I608" i="7" s="1"/>
  <c r="B141" i="13" l="1"/>
  <c r="K126" i="13"/>
  <c r="B141" i="12"/>
  <c r="K126" i="12"/>
  <c r="N124" i="7"/>
  <c r="N126" i="7" s="1"/>
  <c r="H126" i="7"/>
  <c r="B145" i="13" l="1"/>
  <c r="B270" i="13" s="1"/>
  <c r="B274" i="13" s="1"/>
  <c r="B295" i="13" s="1"/>
  <c r="B208" i="13"/>
  <c r="B210" i="13" s="1"/>
  <c r="B208" i="12"/>
  <c r="B210" i="12" s="1"/>
  <c r="B145" i="12"/>
  <c r="B270" i="12" s="1"/>
  <c r="B274" i="12" s="1"/>
  <c r="B295" i="12" s="1"/>
  <c r="B141" i="7"/>
  <c r="K126" i="7"/>
  <c r="B223" i="13" l="1"/>
  <c r="B226" i="13" s="1"/>
  <c r="H215" i="13"/>
  <c r="B326" i="13"/>
  <c r="B331" i="13" s="1"/>
  <c r="B389" i="13" s="1"/>
  <c r="B400" i="13" s="1"/>
  <c r="B291" i="13"/>
  <c r="F291" i="13" s="1"/>
  <c r="B249" i="13"/>
  <c r="B293" i="13" s="1"/>
  <c r="B298" i="13" s="1"/>
  <c r="B249" i="12"/>
  <c r="B293" i="12" s="1"/>
  <c r="B223" i="12"/>
  <c r="B226" i="12" s="1"/>
  <c r="B326" i="12"/>
  <c r="B331" i="12" s="1"/>
  <c r="B389" i="12" s="1"/>
  <c r="B400" i="12" s="1"/>
  <c r="H215" i="12"/>
  <c r="B291" i="12"/>
  <c r="F291" i="12" s="1"/>
  <c r="B145" i="7"/>
  <c r="B270" i="7" s="1"/>
  <c r="B274" i="7" s="1"/>
  <c r="B295" i="7" s="1"/>
  <c r="B208" i="7"/>
  <c r="B210" i="7" s="1"/>
  <c r="B388" i="13" l="1"/>
  <c r="H310" i="13"/>
  <c r="B306" i="13"/>
  <c r="B310" i="13" s="1"/>
  <c r="B298" i="12"/>
  <c r="B249" i="7"/>
  <c r="B293" i="7" s="1"/>
  <c r="B223" i="7"/>
  <c r="B226" i="7" s="1"/>
  <c r="B326" i="7"/>
  <c r="B331" i="7" s="1"/>
  <c r="B389" i="7" s="1"/>
  <c r="B400" i="7" s="1"/>
  <c r="B291" i="7"/>
  <c r="F291" i="7" s="1"/>
  <c r="H215" i="7"/>
  <c r="B312" i="13" l="1"/>
  <c r="B533" i="13"/>
  <c r="B539" i="13" s="1"/>
  <c r="B396" i="13"/>
  <c r="B403" i="13"/>
  <c r="B550" i="13" s="1"/>
  <c r="B395" i="13"/>
  <c r="B404" i="13"/>
  <c r="B399" i="13"/>
  <c r="B407" i="13"/>
  <c r="B388" i="12"/>
  <c r="H310" i="12"/>
  <c r="B306" i="12"/>
  <c r="B310" i="12" s="1"/>
  <c r="B298" i="7"/>
  <c r="B554" i="13" l="1"/>
  <c r="B600" i="13"/>
  <c r="B431" i="13"/>
  <c r="B532" i="13"/>
  <c r="B312" i="12"/>
  <c r="B533" i="12"/>
  <c r="B539" i="12" s="1"/>
  <c r="B396" i="12"/>
  <c r="B395" i="12"/>
  <c r="B403" i="12"/>
  <c r="B550" i="12" s="1"/>
  <c r="B404" i="12"/>
  <c r="B407" i="12"/>
  <c r="B399" i="12"/>
  <c r="B388" i="7"/>
  <c r="H310" i="7"/>
  <c r="B306" i="7"/>
  <c r="B310" i="7" s="1"/>
  <c r="B447" i="13" l="1"/>
  <c r="B432" i="13"/>
  <c r="B436" i="13" s="1"/>
  <c r="C718" i="13"/>
  <c r="C720" i="13" s="1"/>
  <c r="B608" i="13"/>
  <c r="B610" i="13"/>
  <c r="E554" i="13" s="1"/>
  <c r="P540" i="13"/>
  <c r="B581" i="13"/>
  <c r="B538" i="13"/>
  <c r="B540" i="13" s="1"/>
  <c r="B543" i="13" s="1"/>
  <c r="B431" i="12"/>
  <c r="B532" i="12"/>
  <c r="B554" i="12"/>
  <c r="B600" i="12"/>
  <c r="B533" i="7"/>
  <c r="B539" i="7" s="1"/>
  <c r="B312" i="7"/>
  <c r="B396" i="7"/>
  <c r="B399" i="7"/>
  <c r="B395" i="7"/>
  <c r="B404" i="7"/>
  <c r="B403" i="7"/>
  <c r="B550" i="7" s="1"/>
  <c r="B407" i="7"/>
  <c r="P545" i="13" l="1"/>
  <c r="P563" i="13"/>
  <c r="C710" i="13"/>
  <c r="C712" i="13" s="1"/>
  <c r="B593" i="13"/>
  <c r="E543" i="13" s="1"/>
  <c r="I543" i="13" s="1" a="1"/>
  <c r="I543" i="13" s="1"/>
  <c r="B591" i="13"/>
  <c r="B452" i="13"/>
  <c r="B471" i="13" s="1"/>
  <c r="F452" i="13"/>
  <c r="C718" i="12"/>
  <c r="C720" i="12" s="1"/>
  <c r="B608" i="12"/>
  <c r="B610" i="12"/>
  <c r="E554" i="12" s="1"/>
  <c r="P540" i="12"/>
  <c r="B581" i="12"/>
  <c r="B538" i="12"/>
  <c r="B540" i="12" s="1"/>
  <c r="B543" i="12" s="1"/>
  <c r="B447" i="12"/>
  <c r="B432" i="12"/>
  <c r="B436" i="12" s="1"/>
  <c r="B600" i="7"/>
  <c r="B554" i="7"/>
  <c r="B532" i="7"/>
  <c r="P540" i="7" s="1"/>
  <c r="P545" i="7" s="1"/>
  <c r="P563" i="7" s="1"/>
  <c r="B431" i="7"/>
  <c r="I598" i="13" l="1"/>
  <c r="D472" i="13"/>
  <c r="B452" i="12"/>
  <c r="B471" i="12" s="1"/>
  <c r="F452" i="12"/>
  <c r="C710" i="12"/>
  <c r="C712" i="12" s="1"/>
  <c r="B593" i="12"/>
  <c r="E543" i="12" s="1"/>
  <c r="I543" i="12" s="1" a="1"/>
  <c r="I543" i="12" s="1"/>
  <c r="B591" i="12"/>
  <c r="P545" i="12"/>
  <c r="P563" i="12"/>
  <c r="B447" i="7"/>
  <c r="B432" i="7"/>
  <c r="B436" i="7" s="1"/>
  <c r="B581" i="7"/>
  <c r="B538" i="7"/>
  <c r="B540" i="7" s="1"/>
  <c r="B543" i="7" s="1"/>
  <c r="B608" i="7"/>
  <c r="C718" i="7"/>
  <c r="C720" i="7" s="1"/>
  <c r="B610" i="7"/>
  <c r="E554" i="7" s="1"/>
  <c r="I602" i="13" l="1"/>
  <c r="I611" i="13" s="1"/>
  <c r="O598" i="13"/>
  <c r="I609" i="13"/>
  <c r="I598" i="12"/>
  <c r="D472" i="12"/>
  <c r="C710" i="7"/>
  <c r="C712" i="7" s="1"/>
  <c r="B593" i="7"/>
  <c r="E543" i="7" s="1"/>
  <c r="I543" i="7" s="1" a="1"/>
  <c r="I543" i="7" s="1"/>
  <c r="B591" i="7"/>
  <c r="B452" i="7"/>
  <c r="B471" i="7" s="1"/>
  <c r="F452" i="7"/>
  <c r="I613" i="13" l="1"/>
  <c r="O602" i="13"/>
  <c r="O611" i="13" s="1"/>
  <c r="O609" i="13"/>
  <c r="O613" i="13" s="1"/>
  <c r="I609" i="12"/>
  <c r="I602" i="12"/>
  <c r="I611" i="12" s="1"/>
  <c r="O598" i="12"/>
  <c r="D472" i="7"/>
  <c r="I598" i="7"/>
  <c r="O602" i="12" l="1"/>
  <c r="O611" i="12" s="1"/>
  <c r="O609" i="12"/>
  <c r="I613" i="12"/>
  <c r="I602" i="7"/>
  <c r="I611" i="7" s="1"/>
  <c r="O598" i="7"/>
  <c r="I609" i="7"/>
  <c r="O613" i="12" l="1"/>
  <c r="I613" i="7"/>
  <c r="O602" i="7"/>
  <c r="O611" i="7" s="1"/>
  <c r="O609" i="7"/>
  <c r="J132" i="6"/>
  <c r="J130" i="6"/>
  <c r="E43" i="6" a="1"/>
  <c r="E43" i="6" s="1"/>
  <c r="C36" i="6"/>
  <c r="C34" i="6"/>
  <c r="F29" i="6"/>
  <c r="C29" i="6"/>
  <c r="J24" i="6"/>
  <c r="J93" i="6" s="1"/>
  <c r="C11" i="6"/>
  <c r="J9" i="6"/>
  <c r="C9" i="6"/>
  <c r="C10" i="6" s="1"/>
  <c r="J8" i="6"/>
  <c r="C7" i="6"/>
  <c r="J132" i="5"/>
  <c r="J130" i="5"/>
  <c r="J93" i="5"/>
  <c r="J127" i="5" s="1"/>
  <c r="E43" i="5" a="1"/>
  <c r="E43" i="5" s="1"/>
  <c r="C36" i="5"/>
  <c r="C34" i="5"/>
  <c r="F29" i="5"/>
  <c r="C29" i="5"/>
  <c r="C31" i="5" s="1"/>
  <c r="J24" i="5"/>
  <c r="J25" i="5" s="1"/>
  <c r="J29" i="5" s="1"/>
  <c r="C11" i="5"/>
  <c r="J9" i="5"/>
  <c r="C9" i="5"/>
  <c r="J8" i="5"/>
  <c r="J70" i="5" s="1"/>
  <c r="C7" i="5"/>
  <c r="J133" i="5" l="1"/>
  <c r="J70" i="6"/>
  <c r="J134" i="6" s="1"/>
  <c r="O613" i="7"/>
  <c r="J99" i="6"/>
  <c r="J133" i="6"/>
  <c r="J127" i="6"/>
  <c r="J128" i="6" s="1"/>
  <c r="E44" i="5"/>
  <c r="F44" i="5" s="1"/>
  <c r="F43" i="5"/>
  <c r="C17" i="5" s="1"/>
  <c r="C27" i="5" s="1"/>
  <c r="E27" i="5" s="1"/>
  <c r="E44" i="6"/>
  <c r="F44" i="6" s="1"/>
  <c r="F43" i="6"/>
  <c r="C17" i="6" s="1"/>
  <c r="C27" i="6" s="1"/>
  <c r="E27" i="6" s="1"/>
  <c r="J126" i="5"/>
  <c r="J31" i="5"/>
  <c r="J51" i="5"/>
  <c r="J56" i="5" s="1"/>
  <c r="C14" i="6"/>
  <c r="C12" i="6"/>
  <c r="J134" i="5"/>
  <c r="L99" i="5"/>
  <c r="L100" i="5" s="1"/>
  <c r="L101" i="5" s="1"/>
  <c r="J25" i="6"/>
  <c r="J29" i="6" s="1"/>
  <c r="C10" i="5"/>
  <c r="J99" i="5"/>
  <c r="J128" i="5" s="1"/>
  <c r="J136" i="5" l="1"/>
  <c r="J139" i="5" s="1"/>
  <c r="L99" i="6"/>
  <c r="L100" i="6" s="1"/>
  <c r="L101" i="6" s="1"/>
  <c r="C14" i="5"/>
  <c r="C12" i="5"/>
  <c r="J31" i="6"/>
  <c r="J126" i="6"/>
  <c r="J51" i="6"/>
  <c r="J56" i="6" s="1"/>
  <c r="J136" i="6"/>
  <c r="J139" i="6" l="1"/>
  <c r="B851" i="4"/>
  <c r="B862" i="4" s="1"/>
  <c r="B816" i="4"/>
  <c r="B815" i="4"/>
  <c r="B826" i="4" s="1"/>
  <c r="U776" i="4"/>
  <c r="U773" i="4"/>
  <c r="Q772" i="4"/>
  <c r="Q771" i="4"/>
  <c r="U770" i="4"/>
  <c r="U769" i="4"/>
  <c r="U774" i="4" s="1"/>
  <c r="S762" i="4"/>
  <c r="R762" i="4"/>
  <c r="S761" i="4"/>
  <c r="R761" i="4"/>
  <c r="S760" i="4"/>
  <c r="R760" i="4"/>
  <c r="S759" i="4"/>
  <c r="R759" i="4"/>
  <c r="S758" i="4"/>
  <c r="R758" i="4"/>
  <c r="S757" i="4"/>
  <c r="R757" i="4"/>
  <c r="S756" i="4"/>
  <c r="R756" i="4"/>
  <c r="S755" i="4"/>
  <c r="R755" i="4"/>
  <c r="S754" i="4"/>
  <c r="R754" i="4"/>
  <c r="S753" i="4"/>
  <c r="R753" i="4"/>
  <c r="C734" i="4"/>
  <c r="C732" i="4"/>
  <c r="C716" i="4"/>
  <c r="C714" i="4"/>
  <c r="C699" i="4"/>
  <c r="C697" i="4"/>
  <c r="C681" i="4"/>
  <c r="B638" i="4"/>
  <c r="E645" i="4" s="1"/>
  <c r="S636" i="4"/>
  <c r="I636" i="4"/>
  <c r="N633" i="4"/>
  <c r="L773" i="4" s="1"/>
  <c r="K792" i="4" s="1"/>
  <c r="B633" i="4"/>
  <c r="Q773" i="4" s="1"/>
  <c r="P792" i="4" s="1"/>
  <c r="I632" i="4"/>
  <c r="I614" i="4"/>
  <c r="I616" i="4" s="1"/>
  <c r="I617" i="4" s="1"/>
  <c r="I618" i="4" s="1"/>
  <c r="I622" i="4" s="1"/>
  <c r="I611" i="4"/>
  <c r="B610" i="4"/>
  <c r="I607" i="4"/>
  <c r="G583" i="4"/>
  <c r="E583" i="4" s="1"/>
  <c r="B583" i="4"/>
  <c r="C722" i="4" s="1"/>
  <c r="I573" i="4" a="1"/>
  <c r="I573" i="4" s="1"/>
  <c r="I587" i="4" s="1"/>
  <c r="B611" i="4"/>
  <c r="B554" i="4"/>
  <c r="B552" i="4"/>
  <c r="B548" i="4"/>
  <c r="B550" i="4" s="1"/>
  <c r="B492" i="4"/>
  <c r="B494" i="4" s="1"/>
  <c r="B469" i="4"/>
  <c r="B468" i="4"/>
  <c r="B459" i="4"/>
  <c r="H455" i="4"/>
  <c r="B449" i="4"/>
  <c r="G469" i="4" s="1"/>
  <c r="B428" i="4"/>
  <c r="B410" i="4"/>
  <c r="B409" i="4"/>
  <c r="B406" i="4"/>
  <c r="B382" i="4"/>
  <c r="B360" i="4"/>
  <c r="B359" i="4"/>
  <c r="B332" i="4"/>
  <c r="B311" i="4"/>
  <c r="D308" i="4"/>
  <c r="B284" i="4"/>
  <c r="B265" i="4"/>
  <c r="B346" i="4" s="1"/>
  <c r="B264" i="4"/>
  <c r="B347" i="4" s="1"/>
  <c r="G241" i="4"/>
  <c r="B184" i="4"/>
  <c r="B181" i="4" s="1"/>
  <c r="B188" i="4" s="1"/>
  <c r="B290" i="4" s="1"/>
  <c r="B183" i="4"/>
  <c r="B288" i="4" s="1"/>
  <c r="B159" i="4"/>
  <c r="B326" i="4" s="1"/>
  <c r="H139" i="4"/>
  <c r="N139" i="4" s="1"/>
  <c r="B125" i="4"/>
  <c r="B119" i="4"/>
  <c r="B117" i="4"/>
  <c r="N107" i="4"/>
  <c r="N106" i="4"/>
  <c r="N105" i="4"/>
  <c r="N104" i="4"/>
  <c r="N95" i="4"/>
  <c r="N94" i="4"/>
  <c r="L94" i="4"/>
  <c r="L95" i="4" s="1"/>
  <c r="N93" i="4"/>
  <c r="N92" i="4"/>
  <c r="B87" i="4"/>
  <c r="B95" i="3"/>
  <c r="B98" i="3" s="1"/>
  <c r="B100" i="3" s="1"/>
  <c r="B59" i="3"/>
  <c r="B48" i="3"/>
  <c r="D48" i="3" s="1"/>
  <c r="D50" i="3" s="1"/>
  <c r="D29" i="3"/>
  <c r="D28" i="3"/>
  <c r="J27" i="3"/>
  <c r="D16" i="3"/>
  <c r="B34" i="3" s="1"/>
  <c r="D34" i="3" s="1"/>
  <c r="E15" i="3"/>
  <c r="F12" i="3"/>
  <c r="F8" i="3"/>
  <c r="F6" i="3"/>
  <c r="F5" i="3"/>
  <c r="B827" i="4" l="1"/>
  <c r="C829" i="4" s="1"/>
  <c r="C682" i="4"/>
  <c r="C684" i="4" s="1"/>
  <c r="F7" i="3"/>
  <c r="D9" i="3" s="1"/>
  <c r="F9" i="3" s="1"/>
  <c r="B363" i="4"/>
  <c r="B411" i="4" s="1"/>
  <c r="U775" i="4"/>
  <c r="U777" i="4" s="1"/>
  <c r="T792" i="4"/>
  <c r="N96" i="4"/>
  <c r="L96" i="4"/>
  <c r="G44" i="3"/>
  <c r="G45" i="3" s="1"/>
  <c r="D52" i="3" s="1"/>
  <c r="B58" i="3" s="1"/>
  <c r="B60" i="3" s="1"/>
  <c r="B63" i="3" s="1"/>
  <c r="B64" i="3" s="1"/>
  <c r="B102" i="3" s="1"/>
  <c r="B38" i="3"/>
  <c r="B70" i="3" s="1"/>
  <c r="G43" i="3"/>
  <c r="B863" i="4"/>
  <c r="C865" i="4" s="1"/>
  <c r="C854" i="4"/>
  <c r="G575" i="4"/>
  <c r="B615" i="4"/>
  <c r="B589" i="4"/>
  <c r="B553" i="4"/>
  <c r="B616" i="4"/>
  <c r="B608" i="4"/>
  <c r="S582" i="4" s="1"/>
  <c r="I639" i="4"/>
  <c r="I641" i="4" s="1"/>
  <c r="I642" i="4" s="1"/>
  <c r="I643" i="4" s="1"/>
  <c r="I647" i="4" s="1"/>
  <c r="C497" i="4"/>
  <c r="I497" i="4" s="1"/>
  <c r="E566" i="4"/>
  <c r="E564" i="4" s="1"/>
  <c r="I581" i="4" a="1"/>
  <c r="I581" i="4" s="1"/>
  <c r="I608" i="4"/>
  <c r="I613" i="4" s="1"/>
  <c r="B617" i="4"/>
  <c r="C689" i="4" s="1"/>
  <c r="N634" i="4"/>
  <c r="S639" i="4"/>
  <c r="S641" i="4" s="1"/>
  <c r="B467" i="4"/>
  <c r="B640" i="4"/>
  <c r="B228" i="4"/>
  <c r="B233" i="4" s="1"/>
  <c r="B234" i="4" s="1"/>
  <c r="G773" i="4"/>
  <c r="F792" i="4" s="1"/>
  <c r="B773" i="4"/>
  <c r="B792" i="4" s="1"/>
  <c r="C818" i="4"/>
  <c r="D18" i="3"/>
  <c r="D22" i="3" s="1"/>
  <c r="D23" i="3" s="1"/>
  <c r="I612" i="4"/>
  <c r="I620" i="4" s="1"/>
  <c r="S632" i="4"/>
  <c r="C893" i="4" l="1"/>
  <c r="C901" i="4" s="1"/>
  <c r="P562" i="4"/>
  <c r="P580" i="4"/>
  <c r="D19" i="3"/>
  <c r="N97" i="4"/>
  <c r="L97" i="4"/>
  <c r="C704" i="4"/>
  <c r="B634" i="4"/>
  <c r="B621" i="4"/>
  <c r="B770" i="4"/>
  <c r="B628" i="4"/>
  <c r="B639" i="4"/>
  <c r="D30" i="3"/>
  <c r="D31" i="3" s="1"/>
  <c r="D24" i="3"/>
  <c r="B568" i="4"/>
  <c r="E623" i="4"/>
  <c r="B75" i="3"/>
  <c r="E75" i="3" s="1"/>
  <c r="E86" i="3" s="1"/>
  <c r="E88" i="3" s="1"/>
  <c r="H88" i="3" s="1"/>
  <c r="K88" i="3" s="1"/>
  <c r="B109" i="3"/>
  <c r="E575" i="4"/>
  <c r="G589" i="4"/>
  <c r="E589" i="4" s="1"/>
  <c r="I637" i="4"/>
  <c r="I645" i="4" s="1"/>
  <c r="I621" i="4"/>
  <c r="B558" i="4"/>
  <c r="C122" i="3" l="1"/>
  <c r="B112" i="3"/>
  <c r="N653" i="4"/>
  <c r="B653" i="4"/>
  <c r="T793" i="4"/>
  <c r="N98" i="4"/>
  <c r="L98" i="4"/>
  <c r="N99" i="4" l="1"/>
  <c r="L99" i="4"/>
  <c r="N100" i="4" l="1"/>
  <c r="L100" i="4"/>
  <c r="L101" i="4" l="1"/>
  <c r="N101" i="4"/>
  <c r="L102" i="4" l="1"/>
  <c r="N103" i="4" s="1"/>
  <c r="H91" i="4" s="1"/>
  <c r="B124" i="4" s="1"/>
  <c r="B118" i="4" s="1"/>
  <c r="B126" i="4" s="1"/>
  <c r="B129" i="4" s="1"/>
  <c r="B142" i="4" s="1"/>
  <c r="N102" i="4"/>
  <c r="B144" i="4" l="1"/>
  <c r="H142" i="4"/>
  <c r="H144" i="4" l="1"/>
  <c r="N142" i="4"/>
  <c r="N144" i="4" s="1"/>
  <c r="K144" i="4" l="1"/>
  <c r="B160" i="4"/>
  <c r="B227" i="4" l="1"/>
  <c r="B229" i="4" s="1"/>
  <c r="B164" i="4"/>
  <c r="B289" i="4" s="1"/>
  <c r="B293" i="4" s="1"/>
  <c r="B314" i="4" s="1"/>
  <c r="B268" i="4" l="1"/>
  <c r="B312" i="4" s="1"/>
  <c r="H234" i="4"/>
  <c r="B345" i="4"/>
  <c r="B350" i="4" s="1"/>
  <c r="B408" i="4" s="1"/>
  <c r="B310" i="4"/>
  <c r="F310" i="4" s="1"/>
  <c r="B242" i="4"/>
  <c r="B245" i="4" s="1"/>
  <c r="B246" i="4" s="1"/>
  <c r="B317" i="4" l="1"/>
  <c r="B419" i="4"/>
  <c r="K415" i="4" s="1"/>
  <c r="B423" i="4"/>
  <c r="B407" i="4"/>
  <c r="H329" i="4"/>
  <c r="B325" i="4"/>
  <c r="B329" i="4" s="1"/>
  <c r="B331" i="4" s="1"/>
  <c r="K426" i="4" l="1"/>
  <c r="K425" i="4"/>
  <c r="B422" i="4"/>
  <c r="B415" i="4"/>
  <c r="B418" i="4"/>
  <c r="B426" i="4"/>
  <c r="B414" i="4"/>
  <c r="S634" i="4"/>
  <c r="B450" i="4" l="1"/>
  <c r="B551" i="4"/>
  <c r="P559" i="4" s="1"/>
  <c r="K416" i="4"/>
  <c r="I609" i="4"/>
  <c r="B777" i="4"/>
  <c r="B587" i="4"/>
  <c r="P416" i="4"/>
  <c r="B569" i="4"/>
  <c r="B579" i="4"/>
  <c r="P415" i="4"/>
  <c r="P564" i="4" l="1"/>
  <c r="P582" i="4"/>
  <c r="P424" i="4"/>
  <c r="P423" i="4"/>
  <c r="P422" i="4"/>
  <c r="Q769" i="4"/>
  <c r="Q774" i="4" s="1"/>
  <c r="P793" i="4" s="1"/>
  <c r="L769" i="4"/>
  <c r="L774" i="4" s="1"/>
  <c r="K793" i="4" s="1"/>
  <c r="G776" i="4"/>
  <c r="L776" i="4"/>
  <c r="G769" i="4"/>
  <c r="G774" i="4" s="1"/>
  <c r="F793" i="4" s="1"/>
  <c r="B636" i="4"/>
  <c r="Q776" i="4"/>
  <c r="B573" i="4"/>
  <c r="K422" i="4"/>
  <c r="K423" i="4"/>
  <c r="K424" i="4"/>
  <c r="B776" i="4"/>
  <c r="B769" i="4"/>
  <c r="B774" i="4" s="1"/>
  <c r="B775" i="4" s="1"/>
  <c r="B778" i="4" s="1"/>
  <c r="B613" i="4"/>
  <c r="B557" i="4"/>
  <c r="B559" i="4" s="1"/>
  <c r="B562" i="4" s="1"/>
  <c r="B466" i="4"/>
  <c r="B451" i="4"/>
  <c r="B793" i="4" l="1"/>
  <c r="B455" i="4"/>
  <c r="F628" i="4"/>
  <c r="I628" i="4" s="1"/>
  <c r="B471" i="4"/>
  <c r="B490" i="4" s="1"/>
  <c r="F471" i="4"/>
  <c r="C902" i="4"/>
  <c r="C904" i="4" s="1"/>
  <c r="B647" i="4"/>
  <c r="E573" i="4" s="1"/>
  <c r="B581" i="4" s="1"/>
  <c r="S642" i="4" s="1"/>
  <c r="B645" i="4"/>
  <c r="C894" i="4"/>
  <c r="C896" i="4" s="1"/>
  <c r="B625" i="4"/>
  <c r="E562" i="4" s="1"/>
  <c r="B623" i="4"/>
  <c r="S643" i="4" l="1"/>
  <c r="S647" i="4" s="1"/>
  <c r="S637" i="4"/>
  <c r="S645" i="4" s="1"/>
  <c r="I623" i="4"/>
  <c r="I625" i="4" s="1"/>
  <c r="G623" i="4"/>
  <c r="I633" i="4"/>
  <c r="D491" i="4"/>
  <c r="Q775" i="4" l="1"/>
  <c r="Q777" i="4" s="1"/>
  <c r="G775" i="4"/>
  <c r="G777" i="4" s="1"/>
  <c r="E653" i="4"/>
  <c r="I653" i="4" s="1"/>
  <c r="I638" i="4"/>
  <c r="S633" i="4"/>
  <c r="G770" i="4"/>
  <c r="Q770" i="4" s="1"/>
  <c r="I646" i="4"/>
  <c r="I634" i="4"/>
  <c r="Q653" i="4" l="1"/>
  <c r="U653" i="4" s="1"/>
  <c r="L775" i="4"/>
  <c r="L777" i="4" s="1"/>
  <c r="L770" i="4"/>
  <c r="S638" i="4"/>
  <c r="S646" i="4"/>
  <c r="G648" i="4"/>
  <c r="I648" i="4"/>
  <c r="I650" i="4" s="1"/>
  <c r="Q648" i="4" l="1"/>
  <c r="S648" i="4"/>
  <c r="S65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<sst xmlns="http://schemas.openxmlformats.org/spreadsheetml/2006/main" count="7449" uniqueCount="1405">
  <si>
    <t>CÁLCULO DE ELEVADORES</t>
  </si>
  <si>
    <t xml:space="preserve"> 1. CÁLCULO DA CAPACIDADE DO ELEVADOR</t>
  </si>
  <si>
    <r>
      <t xml:space="preserve">Q = </t>
    </r>
    <r>
      <rPr>
        <b/>
        <u/>
        <sz val="10"/>
        <rFont val="Arial"/>
        <family val="2"/>
      </rPr>
      <t>3600 . V . n . v . CF1 . CF2 . γ</t>
    </r>
  </si>
  <si>
    <t xml:space="preserve">               </t>
  </si>
  <si>
    <t xml:space="preserve"> e</t>
  </si>
  <si>
    <t>Fator     de    Perfil</t>
  </si>
  <si>
    <t>Largura da caneca</t>
  </si>
  <si>
    <t>Projeção da caneca</t>
  </si>
  <si>
    <t>Altura   da caneca</t>
  </si>
  <si>
    <t>cap. litros  75% da   caneca</t>
  </si>
  <si>
    <t>cap. litros  100% da   caneca</t>
  </si>
  <si>
    <t>Passo    da caneca</t>
  </si>
  <si>
    <t>Largura pol da  Correia</t>
  </si>
  <si>
    <t>Largura Tambor</t>
  </si>
  <si>
    <t xml:space="preserve">Capacid.  a   1,25m/s </t>
  </si>
  <si>
    <t xml:space="preserve">Capacid.  a    1,5m/s </t>
  </si>
  <si>
    <t xml:space="preserve">Capacid.  a    1,7m/s </t>
  </si>
  <si>
    <t>Folga L caixa</t>
  </si>
  <si>
    <t>Folga F caixa</t>
  </si>
  <si>
    <t>Largura da Caixa</t>
  </si>
  <si>
    <t>Profundid. da Caixa</t>
  </si>
  <si>
    <t>Var Medida</t>
  </si>
  <si>
    <t>Rf Mercurio</t>
  </si>
  <si>
    <t>Onde:</t>
  </si>
  <si>
    <t>Q =</t>
  </si>
  <si>
    <t>Capacidade t/h</t>
  </si>
  <si>
    <t>V =</t>
  </si>
  <si>
    <t xml:space="preserve"> Volume da caneca (L) utilizar tabelas de referência</t>
  </si>
  <si>
    <t>n =</t>
  </si>
  <si>
    <t xml:space="preserve"> Numero de fileiras de canecas (und)</t>
  </si>
  <si>
    <t>v =</t>
  </si>
  <si>
    <t>Velocidade da correia ou corrente (m/s)</t>
  </si>
  <si>
    <t>CF1 =</t>
  </si>
  <si>
    <t xml:space="preserve"> Coeficiente de enchimento - Maximo 1,0  (adm)</t>
  </si>
  <si>
    <t>CF2 =</t>
  </si>
  <si>
    <t>Coeficiente homogeneidade de carga - 1,0 - 0,75 (adm)</t>
  </si>
  <si>
    <t>γ =</t>
  </si>
  <si>
    <t xml:space="preserve"> peso especifico do material (t/m³)</t>
  </si>
  <si>
    <t>e =</t>
  </si>
  <si>
    <t xml:space="preserve"> Passo  das canecas (mm)</t>
  </si>
  <si>
    <t>Capacidade em m³/h</t>
  </si>
  <si>
    <t>1.4. Cálculo da capacidade de Projeto</t>
  </si>
  <si>
    <t>Capacidade em t/h densidade maior</t>
  </si>
  <si>
    <t>Sendo</t>
  </si>
  <si>
    <t>L</t>
  </si>
  <si>
    <t>Largura da caneca em mm</t>
  </si>
  <si>
    <t>und</t>
  </si>
  <si>
    <t>Capacidade em litros a 75%</t>
  </si>
  <si>
    <t>m/s</t>
  </si>
  <si>
    <t>Fator do perfil da caneca</t>
  </si>
  <si>
    <t>adm</t>
  </si>
  <si>
    <t>t/m³</t>
  </si>
  <si>
    <t>mm</t>
  </si>
  <si>
    <t>e/ac</t>
  </si>
  <si>
    <t>Centrifufo mín 1,7 max 3</t>
  </si>
  <si>
    <t>Resultado</t>
  </si>
  <si>
    <t>m³/h</t>
  </si>
  <si>
    <t>t/h</t>
  </si>
  <si>
    <t>m</t>
  </si>
  <si>
    <t xml:space="preserve"> 2. CÁLCULO DAS TENSÔES</t>
  </si>
  <si>
    <t>ENTRADAS:</t>
  </si>
  <si>
    <t>Altura do Elevador:</t>
  </si>
  <si>
    <t>m (cc)</t>
  </si>
  <si>
    <t>Altura do pé</t>
  </si>
  <si>
    <t>Totais</t>
  </si>
  <si>
    <t>Correia:</t>
  </si>
  <si>
    <t xml:space="preserve">Area do pé </t>
  </si>
  <si>
    <t>m²</t>
  </si>
  <si>
    <t>Kg</t>
  </si>
  <si>
    <t xml:space="preserve">    2.1. Cálculo do Peso por Metro de Material</t>
  </si>
  <si>
    <t>Tu =</t>
  </si>
  <si>
    <t xml:space="preserve">Kgf/cm.lona </t>
  </si>
  <si>
    <t xml:space="preserve">14  22  33  44  50  65   </t>
  </si>
  <si>
    <t>Altura da cabeça</t>
  </si>
  <si>
    <r>
      <t xml:space="preserve">Pm = </t>
    </r>
    <r>
      <rPr>
        <b/>
        <u/>
        <sz val="10"/>
        <rFont val="Arial"/>
        <family val="2"/>
      </rPr>
      <t>1000 .n . γ . V</t>
    </r>
  </si>
  <si>
    <t>e</t>
  </si>
  <si>
    <t>%Tad min 50, max 75</t>
  </si>
  <si>
    <t>Area da cabeça</t>
  </si>
  <si>
    <t>Pm =</t>
  </si>
  <si>
    <t xml:space="preserve"> Peso por metro de matrial elevado Kg/m</t>
  </si>
  <si>
    <t>Calc =</t>
  </si>
  <si>
    <t xml:space="preserve">lonas </t>
  </si>
  <si>
    <t>Altura de gomos</t>
  </si>
  <si>
    <t>mìnimo:</t>
  </si>
  <si>
    <t>lonas</t>
  </si>
  <si>
    <t xml:space="preserve"> Volume da caneca a 75% (L)</t>
  </si>
  <si>
    <t>canecas</t>
  </si>
  <si>
    <t>Area de canecas</t>
  </si>
  <si>
    <t>Diâmetro Rolo :</t>
  </si>
  <si>
    <t>calc</t>
  </si>
  <si>
    <t>Tambor Motriz</t>
  </si>
  <si>
    <t>Sendo:</t>
  </si>
  <si>
    <t>Tambor esticador</t>
  </si>
  <si>
    <t>a 100%</t>
  </si>
  <si>
    <t>≠ eixo - mancal</t>
  </si>
  <si>
    <t>Eixo Motriz Ø</t>
  </si>
  <si>
    <t>Resposta:</t>
  </si>
  <si>
    <t>Eixo Retorno Ø</t>
  </si>
  <si>
    <t>Kg/m</t>
  </si>
  <si>
    <t>de Projeto</t>
  </si>
  <si>
    <t>Material do Fechamento</t>
  </si>
  <si>
    <t>Área Gomos</t>
  </si>
  <si>
    <t>Chapa</t>
  </si>
  <si>
    <t xml:space="preserve">    2.2. Cálculo comprimeto da Correia ou Corrente Aberta</t>
  </si>
  <si>
    <t>PEAD</t>
  </si>
  <si>
    <t>Ca = π . D +2.H</t>
  </si>
  <si>
    <t>Borracha</t>
  </si>
  <si>
    <t>Ca =</t>
  </si>
  <si>
    <t>Correia/Corrente aberta (m)</t>
  </si>
  <si>
    <t>Maderite</t>
  </si>
  <si>
    <t>π =</t>
  </si>
  <si>
    <t>H =</t>
  </si>
  <si>
    <t>Distancia C/C (m)</t>
  </si>
  <si>
    <t xml:space="preserve">Cantoneiras de fibra Travamento </t>
  </si>
  <si>
    <t>D =</t>
  </si>
  <si>
    <t>Diametro do tambor (m)</t>
  </si>
  <si>
    <t>Resultado:</t>
  </si>
  <si>
    <t xml:space="preserve">    2.3. Cálculo do número de canecas</t>
  </si>
  <si>
    <r>
      <t xml:space="preserve">N1 = </t>
    </r>
    <r>
      <rPr>
        <u/>
        <sz val="10"/>
        <rFont val="Arial"/>
        <family val="2"/>
      </rPr>
      <t>1000 . Ca . n</t>
    </r>
    <r>
      <rPr>
        <sz val="10"/>
        <rFont val="Arial"/>
        <family val="2"/>
      </rPr>
      <t xml:space="preserve"> </t>
    </r>
  </si>
  <si>
    <t>N1 =</t>
  </si>
  <si>
    <t xml:space="preserve"> número de canecas</t>
  </si>
  <si>
    <t xml:space="preserve"> Comprimento da correia aberta m</t>
  </si>
  <si>
    <t xml:space="preserve">    2.4. Cálculo da Tensão Estática</t>
  </si>
  <si>
    <r>
      <t xml:space="preserve">Tp = </t>
    </r>
    <r>
      <rPr>
        <u/>
        <sz val="10"/>
        <rFont val="Arial"/>
        <family val="2"/>
      </rPr>
      <t>p . N1 + pc . Ca</t>
    </r>
    <r>
      <rPr>
        <sz val="10"/>
        <rFont val="Arial"/>
        <family val="2"/>
      </rPr>
      <t xml:space="preserve">   +   </t>
    </r>
    <r>
      <rPr>
        <u/>
        <sz val="10"/>
        <rFont val="Arial"/>
        <family val="2"/>
      </rPr>
      <t>p1 . N1</t>
    </r>
  </si>
  <si>
    <t>Tp =</t>
  </si>
  <si>
    <t xml:space="preserve"> Tensão estática Kgf</t>
  </si>
  <si>
    <t>p =</t>
  </si>
  <si>
    <t>peso das canecas Kg</t>
  </si>
  <si>
    <t xml:space="preserve"> número de canecas und</t>
  </si>
  <si>
    <t>pc =</t>
  </si>
  <si>
    <t xml:space="preserve"> Peso da correia Kg/m</t>
  </si>
  <si>
    <t>p1 =</t>
  </si>
  <si>
    <t>Peso do material contido na caneca (enchimento 100%) (Kg)</t>
  </si>
  <si>
    <t>Kgf</t>
  </si>
  <si>
    <t xml:space="preserve">     2.5. Cálculo da Tensão Efetiva  </t>
  </si>
  <si>
    <t>Te = Pm.(H + Ho)</t>
  </si>
  <si>
    <t>(a)  em função da carga</t>
  </si>
  <si>
    <r>
      <t>Te = (pc + p1) . (</t>
    </r>
    <r>
      <rPr>
        <u/>
        <sz val="10"/>
        <rFont val="Arial"/>
        <family val="2"/>
      </rPr>
      <t xml:space="preserve"> N </t>
    </r>
    <r>
      <rPr>
        <sz val="10"/>
        <rFont val="Arial"/>
        <family val="2"/>
      </rPr>
      <t>) .(</t>
    </r>
    <r>
      <rPr>
        <u/>
        <sz val="10"/>
        <rFont val="Arial"/>
        <family val="2"/>
      </rPr>
      <t>H + Ho</t>
    </r>
    <r>
      <rPr>
        <sz val="10"/>
        <rFont val="Arial"/>
        <family val="2"/>
      </rPr>
      <t>)</t>
    </r>
  </si>
  <si>
    <t>(b)    em função do número de canecas</t>
  </si>
  <si>
    <t xml:space="preserve">     2</t>
  </si>
  <si>
    <t xml:space="preserve">   H</t>
  </si>
  <si>
    <t>Te =</t>
  </si>
  <si>
    <t xml:space="preserve"> Tensão efetiva Kgf</t>
  </si>
  <si>
    <t>Ho =</t>
  </si>
  <si>
    <t xml:space="preserve"> altura de compensação dos efeito de carga e</t>
  </si>
  <si>
    <t xml:space="preserve">das forças de atritos nos tambores </t>
  </si>
  <si>
    <t xml:space="preserve"> Ho = 7 m centrifugos, e Ho = 2 m continuos</t>
  </si>
  <si>
    <t>N =</t>
  </si>
  <si>
    <t>Kqf</t>
  </si>
  <si>
    <t>(a)</t>
  </si>
  <si>
    <t>(b)</t>
  </si>
  <si>
    <t xml:space="preserve">    2.6. Cálculo da Tensão Máxima  </t>
  </si>
  <si>
    <t xml:space="preserve">Tm = (1+k)*Te </t>
  </si>
  <si>
    <t>Onde</t>
  </si>
  <si>
    <t>Tm =</t>
  </si>
  <si>
    <t>Tensão máxima Kgf</t>
  </si>
  <si>
    <t xml:space="preserve"> Tensão efetiva de maior valor Kgf</t>
  </si>
  <si>
    <t>k =</t>
  </si>
  <si>
    <t xml:space="preserve"> Fator de acionamento tabela nº 47</t>
  </si>
  <si>
    <t>Para esticador manual com tambor revestido k = 0,85 adm</t>
  </si>
  <si>
    <t>Para esticador manual com engrenagem  k = 0,9 adm</t>
  </si>
  <si>
    <t>2.7. Cálculo do fator de abraçamento do tambor</t>
  </si>
  <si>
    <r>
      <t xml:space="preserve">K =  </t>
    </r>
    <r>
      <rPr>
        <u/>
        <sz val="10"/>
        <rFont val="Arial"/>
        <family val="2"/>
      </rPr>
      <t xml:space="preserve">       1       </t>
    </r>
  </si>
  <si>
    <t xml:space="preserve">                  (0,0174 .ø . µ)</t>
  </si>
  <si>
    <t xml:space="preserve">        e          -      1</t>
  </si>
  <si>
    <t>K = Fator de abraçamento da correia no tambor tab. 1-28</t>
  </si>
  <si>
    <t>µ  = coeficiente de atrito = 0,35 para tambores emborrachados</t>
  </si>
  <si>
    <t xml:space="preserve">                                    = 0,25 para tambores de aço </t>
  </si>
  <si>
    <t xml:space="preserve">e = base de logaritimo neperiano = 2,71828 </t>
  </si>
  <si>
    <t>ø = ângulo de abraçamento do tambor</t>
  </si>
  <si>
    <t xml:space="preserve">µ  = </t>
  </si>
  <si>
    <t xml:space="preserve">ø = </t>
  </si>
  <si>
    <t>º</t>
  </si>
  <si>
    <t>K =</t>
  </si>
  <si>
    <t>2.8. Cálculo do Peso do esticador por gravidade</t>
  </si>
  <si>
    <t>Pe =  K .Te</t>
  </si>
  <si>
    <t>resposta</t>
  </si>
  <si>
    <t>Pe =</t>
  </si>
  <si>
    <t>Curso =</t>
  </si>
  <si>
    <t xml:space="preserve">  3. CÁLCULO DA SELEÇÃO DA CARCAÇA DA CORREIA</t>
  </si>
  <si>
    <t xml:space="preserve">     3.1. Cálculo do número mínimo de lonas (Nm)</t>
  </si>
  <si>
    <r>
      <t xml:space="preserve">Ut = </t>
    </r>
    <r>
      <rPr>
        <u/>
        <sz val="10"/>
        <rFont val="Arial"/>
        <family val="2"/>
      </rPr>
      <t>Tm</t>
    </r>
  </si>
  <si>
    <r>
      <t xml:space="preserve">Nm = </t>
    </r>
    <r>
      <rPr>
        <u/>
        <sz val="10"/>
        <rFont val="Arial"/>
        <family val="2"/>
      </rPr>
      <t>Ut</t>
    </r>
  </si>
  <si>
    <t xml:space="preserve">   B</t>
  </si>
  <si>
    <t xml:space="preserve">        Tu</t>
  </si>
  <si>
    <t xml:space="preserve">Onde </t>
  </si>
  <si>
    <t>Nm =</t>
  </si>
  <si>
    <t>número mínimo de lonas</t>
  </si>
  <si>
    <t>Ut =</t>
  </si>
  <si>
    <t>Unidade de Tensão (kgf/cm)</t>
  </si>
  <si>
    <t>B =</t>
  </si>
  <si>
    <t>Largura da correia , em cm</t>
  </si>
  <si>
    <t>Tensão máxima</t>
  </si>
  <si>
    <t>Tensão admissivel unitária da lona, em kgf/cm.lona</t>
  </si>
  <si>
    <t>NL =</t>
  </si>
  <si>
    <t>Número de lonas selecionado</t>
  </si>
  <si>
    <t>cm</t>
  </si>
  <si>
    <t>T1 =</t>
  </si>
  <si>
    <t>Kgf/cm</t>
  </si>
  <si>
    <t xml:space="preserve">Seleção </t>
  </si>
  <si>
    <t xml:space="preserve">  NL =</t>
  </si>
  <si>
    <t>CORREIA ELEVADORA 4PN3000, REVEST. 1/8"x1/8" AB DE REAÇÃO</t>
  </si>
  <si>
    <t>cb =</t>
  </si>
  <si>
    <t>Kgf/m</t>
  </si>
  <si>
    <t xml:space="preserve">     3.2. Porcentagem da admissível da correia escolhida</t>
  </si>
  <si>
    <r>
      <t xml:space="preserve">%Tad =  </t>
    </r>
    <r>
      <rPr>
        <u/>
        <sz val="10"/>
        <rFont val="Arial"/>
        <family val="2"/>
      </rPr>
      <t>T1 . 100</t>
    </r>
  </si>
  <si>
    <t xml:space="preserve">             Tu . B . NL</t>
  </si>
  <si>
    <t xml:space="preserve">Sendo </t>
  </si>
  <si>
    <t xml:space="preserve">NL = </t>
  </si>
  <si>
    <t xml:space="preserve">Tu = </t>
  </si>
  <si>
    <t>Kgf/cm.nºlonas</t>
  </si>
  <si>
    <t>%Tad =</t>
  </si>
  <si>
    <t>%</t>
  </si>
  <si>
    <t xml:space="preserve">  4. DIMENSIONAMENTO DOS EIXOS</t>
  </si>
  <si>
    <t xml:space="preserve">     4.1.  Formulas para o Eixo motriz</t>
  </si>
  <si>
    <t>P = Tm + Pt</t>
  </si>
  <si>
    <r>
      <t xml:space="preserve">  Mf = </t>
    </r>
    <r>
      <rPr>
        <u/>
        <sz val="12"/>
        <rFont val="Arial"/>
        <family val="2"/>
      </rPr>
      <t xml:space="preserve"> P . a</t>
    </r>
  </si>
  <si>
    <r>
      <t xml:space="preserve">Mt =  </t>
    </r>
    <r>
      <rPr>
        <u/>
        <sz val="12"/>
        <rFont val="Arial"/>
        <family val="2"/>
      </rPr>
      <t>N . 38 . D</t>
    </r>
  </si>
  <si>
    <t xml:space="preserve">               v</t>
  </si>
  <si>
    <r>
      <t>Mi =      (Fsf . Mf)</t>
    </r>
    <r>
      <rPr>
        <vertAlign val="superscript"/>
        <sz val="12"/>
        <rFont val="Arial"/>
        <family val="2"/>
      </rPr>
      <t>2</t>
    </r>
    <r>
      <rPr>
        <sz val="12"/>
        <rFont val="Arial"/>
        <family val="2"/>
      </rPr>
      <t xml:space="preserve"> + (Fst . Mt)</t>
    </r>
    <r>
      <rPr>
        <vertAlign val="superscript"/>
        <sz val="12"/>
        <rFont val="Arial"/>
        <family val="2"/>
      </rPr>
      <t>2</t>
    </r>
  </si>
  <si>
    <r>
      <t>d ≥ 3    16</t>
    </r>
    <r>
      <rPr>
        <u/>
        <sz val="12"/>
        <rFont val="Arial"/>
        <family val="2"/>
      </rPr>
      <t xml:space="preserve"> . Mi</t>
    </r>
  </si>
  <si>
    <t xml:space="preserve">            π . σadm</t>
  </si>
  <si>
    <t xml:space="preserve">     4.2 Formulas para o Eixo movido</t>
  </si>
  <si>
    <t>P =  Tp/2</t>
  </si>
  <si>
    <r>
      <t xml:space="preserve">   Mf = </t>
    </r>
    <r>
      <rPr>
        <u/>
        <sz val="12"/>
        <rFont val="Arial"/>
        <family val="2"/>
      </rPr>
      <t>P.a</t>
    </r>
  </si>
  <si>
    <r>
      <t xml:space="preserve">d ≥ 3    </t>
    </r>
    <r>
      <rPr>
        <u/>
        <sz val="12"/>
        <rFont val="Arial"/>
        <family val="2"/>
      </rPr>
      <t>32 . Mf . Fsf</t>
    </r>
  </si>
  <si>
    <t>a2 = Distância entre centro do mancal e disco lateral (cm)</t>
  </si>
  <si>
    <t>Pt = Peso aproximado do tambor Kgf</t>
  </si>
  <si>
    <t xml:space="preserve">P = Carga axial máxima aplicada no eixo Kgf </t>
  </si>
  <si>
    <t>π = 3,1415</t>
  </si>
  <si>
    <r>
      <t>σadm = 560 Kgf/cm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para aço SAE 1045 com chaveta</t>
    </r>
  </si>
  <si>
    <t>N = Potência transmitida cv</t>
  </si>
  <si>
    <t>D = Diâmetro do tambor cm</t>
  </si>
  <si>
    <t>v = Velocidade da correia m/s</t>
  </si>
  <si>
    <t>Mf = Momento fletor (Kgf.cm)</t>
  </si>
  <si>
    <t>Mt = Momento torsor (Kgf.cm)</t>
  </si>
  <si>
    <t>Mi = Momento momento ideal ou composto (Kgf.cm)</t>
  </si>
  <si>
    <t>Fst = 1,2 = Fator de segurança do momento torsor</t>
  </si>
  <si>
    <t>Fsf = 2 Fator de segurança do momento fletor serviço pesado</t>
  </si>
  <si>
    <t>d =  Diâmetro mínimo do eixo no cubo cm</t>
  </si>
  <si>
    <t xml:space="preserve">      4.3. Cálculos p/ Eixo motriz</t>
  </si>
  <si>
    <t>Mancais</t>
  </si>
  <si>
    <t>Eixos Redutores</t>
  </si>
  <si>
    <r>
      <t>Sendo</t>
    </r>
    <r>
      <rPr>
        <b/>
        <sz val="12"/>
        <rFont val="Arial"/>
        <family val="2"/>
      </rPr>
      <t>:</t>
    </r>
  </si>
  <si>
    <t>Ø</t>
  </si>
  <si>
    <t>A</t>
  </si>
  <si>
    <t>Pt =</t>
  </si>
  <si>
    <t>a2 =</t>
  </si>
  <si>
    <t>P =</t>
  </si>
  <si>
    <t>cv</t>
  </si>
  <si>
    <t>Fst =</t>
  </si>
  <si>
    <t>Fsf =</t>
  </si>
  <si>
    <t>Mf =</t>
  </si>
  <si>
    <t>Kgf.m</t>
  </si>
  <si>
    <t>Mt =</t>
  </si>
  <si>
    <t>Mi =</t>
  </si>
  <si>
    <t xml:space="preserve">Resultado: </t>
  </si>
  <si>
    <t>calculo 2</t>
  </si>
  <si>
    <t xml:space="preserve">d ≥ </t>
  </si>
  <si>
    <t>Ø mancal</t>
  </si>
  <si>
    <t>A =</t>
  </si>
  <si>
    <t xml:space="preserve">     d = </t>
  </si>
  <si>
    <t xml:space="preserve">      4.3. Cálculos p/ Eixo movido</t>
  </si>
  <si>
    <t xml:space="preserve">P = </t>
  </si>
  <si>
    <t>Diferença</t>
  </si>
  <si>
    <t xml:space="preserve">Seleção : </t>
  </si>
  <si>
    <t xml:space="preserve">   d =</t>
  </si>
  <si>
    <t xml:space="preserve">    4.4. Cálculo da flecha máxima</t>
  </si>
  <si>
    <r>
      <t>f =</t>
    </r>
    <r>
      <rPr>
        <u/>
        <sz val="10"/>
        <rFont val="Arial"/>
        <family val="2"/>
      </rPr>
      <t xml:space="preserve"> 4 . P . Ks. (L - C)</t>
    </r>
    <r>
      <rPr>
        <sz val="10"/>
        <rFont val="Arial"/>
        <family val="2"/>
      </rPr>
      <t xml:space="preserve"> . (2.L² + 2.L.C - C²)  </t>
    </r>
  </si>
  <si>
    <r>
      <t xml:space="preserve">      3 . π . E . d</t>
    </r>
    <r>
      <rPr>
        <vertAlign val="superscript"/>
        <sz val="10"/>
        <rFont val="Arial"/>
        <family val="2"/>
      </rPr>
      <t>4</t>
    </r>
  </si>
  <si>
    <t xml:space="preserve">onde </t>
  </si>
  <si>
    <t>f =</t>
  </si>
  <si>
    <t>flecha máxima em cm</t>
  </si>
  <si>
    <t>carga radial resultante no eixo Kgf</t>
  </si>
  <si>
    <t>Ks =</t>
  </si>
  <si>
    <t>coeficinte de serviço</t>
  </si>
  <si>
    <t>L =</t>
  </si>
  <si>
    <t>distância entre mancais em cm</t>
  </si>
  <si>
    <t>C =</t>
  </si>
  <si>
    <t>distância entre discos em cm</t>
  </si>
  <si>
    <t>d =</t>
  </si>
  <si>
    <t>diâmetro do eixo entre discos em cm</t>
  </si>
  <si>
    <t>E =</t>
  </si>
  <si>
    <r>
      <t>módulo de Young para aço, E = 2,1.10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Kgf/cm</t>
    </r>
    <r>
      <rPr>
        <vertAlign val="superscript"/>
        <sz val="10"/>
        <rFont val="Arial"/>
        <family val="2"/>
      </rPr>
      <t>2</t>
    </r>
  </si>
  <si>
    <r>
      <t xml:space="preserve">       </t>
    </r>
    <r>
      <rPr>
        <b/>
        <sz val="10"/>
        <rFont val="Arial"/>
        <family val="2"/>
      </rPr>
      <t>Eixo motriz</t>
    </r>
  </si>
  <si>
    <t xml:space="preserve">      Tambor  Motriz</t>
  </si>
  <si>
    <t>Dimensionamento do corpo do tambor</t>
  </si>
  <si>
    <t>s/und</t>
  </si>
  <si>
    <r>
      <t xml:space="preserve">s ≥ 2    </t>
    </r>
    <r>
      <rPr>
        <u/>
        <sz val="12"/>
        <rFont val="Arial"/>
        <family val="2"/>
      </rPr>
      <t xml:space="preserve">Kc . ( 3. P . D ) </t>
    </r>
  </si>
  <si>
    <t xml:space="preserve">                σ c</t>
  </si>
  <si>
    <t>s =</t>
  </si>
  <si>
    <t xml:space="preserve">espessura do costado do tambor </t>
  </si>
  <si>
    <t>Kgf/cm²</t>
  </si>
  <si>
    <r>
      <t xml:space="preserve">f   &lt;   </t>
    </r>
    <r>
      <rPr>
        <u/>
        <sz val="10"/>
        <rFont val="Arial"/>
        <family val="2"/>
      </rPr>
      <t xml:space="preserve">   L   </t>
    </r>
    <r>
      <rPr>
        <sz val="10"/>
        <rFont val="Arial"/>
        <family val="2"/>
      </rPr>
      <t xml:space="preserve"> </t>
    </r>
  </si>
  <si>
    <t>T =</t>
  </si>
  <si>
    <t xml:space="preserve"> Tensão maxima da correia no corpo do tambor Kgf/cm</t>
  </si>
  <si>
    <t>Kc =</t>
  </si>
  <si>
    <t>função do ângulo de abraçamento 180° = 0,0292</t>
  </si>
  <si>
    <t xml:space="preserve"> σ c =</t>
  </si>
  <si>
    <t>tensão permitida na borda do corpo com fator de segurança 1,5 valor sw 560 Kgf/cm² para chapas soldadas de um lado</t>
  </si>
  <si>
    <t xml:space="preserve">&lt;    </t>
  </si>
  <si>
    <t>diâmetro do corpo do tambor</t>
  </si>
  <si>
    <t>T = P / B</t>
  </si>
  <si>
    <t>fator adm</t>
  </si>
  <si>
    <r>
      <t xml:space="preserve">       </t>
    </r>
    <r>
      <rPr>
        <b/>
        <sz val="10"/>
        <rFont val="Arial"/>
        <family val="2"/>
      </rPr>
      <t>Eixo de retorno ou movido</t>
    </r>
  </si>
  <si>
    <t xml:space="preserve">Kgf/cm² </t>
  </si>
  <si>
    <t xml:space="preserve">D = </t>
  </si>
  <si>
    <t xml:space="preserve">cm </t>
  </si>
  <si>
    <t>1/4</t>
  </si>
  <si>
    <r>
      <t xml:space="preserve">f  &lt;   </t>
    </r>
    <r>
      <rPr>
        <u/>
        <sz val="10"/>
        <rFont val="Arial"/>
        <family val="2"/>
      </rPr>
      <t xml:space="preserve">    L   </t>
    </r>
    <r>
      <rPr>
        <sz val="10"/>
        <rFont val="Arial"/>
        <family val="2"/>
      </rPr>
      <t xml:space="preserve"> </t>
    </r>
  </si>
  <si>
    <r>
      <t xml:space="preserve">Y =   </t>
    </r>
    <r>
      <rPr>
        <u/>
        <sz val="10"/>
        <rFont val="Arial"/>
        <family val="2"/>
      </rPr>
      <t xml:space="preserve"> E . B . R . s</t>
    </r>
  </si>
  <si>
    <t xml:space="preserve">                T</t>
  </si>
  <si>
    <t>espessura do costado do tambor cm</t>
  </si>
  <si>
    <t xml:space="preserve">B = </t>
  </si>
  <si>
    <t>Lagura da correia cm</t>
  </si>
  <si>
    <t>Distância entre discos laterais</t>
  </si>
  <si>
    <t xml:space="preserve">    5.1. Cálculo da potência</t>
  </si>
  <si>
    <t>E=</t>
  </si>
  <si>
    <r>
      <t xml:space="preserve">N = </t>
    </r>
    <r>
      <rPr>
        <b/>
        <u/>
        <sz val="10"/>
        <rFont val="Arial"/>
        <family val="2"/>
      </rPr>
      <t xml:space="preserve">v . Pm . n . (H + 7. D) </t>
    </r>
  </si>
  <si>
    <t>75 . η</t>
  </si>
  <si>
    <t>Potência do Motor (cv)</t>
  </si>
  <si>
    <t>R=</t>
  </si>
  <si>
    <t xml:space="preserve">v = </t>
  </si>
  <si>
    <t>Velocidade da Correia (m/s)</t>
  </si>
  <si>
    <t>Y =</t>
  </si>
  <si>
    <t>se Y &gt; C é necessário disco int</t>
  </si>
  <si>
    <t>η =</t>
  </si>
  <si>
    <t xml:space="preserve"> Rendimento do grupo motor (adm)</t>
  </si>
  <si>
    <t xml:space="preserve">Pm = </t>
  </si>
  <si>
    <t xml:space="preserve"> N =</t>
  </si>
  <si>
    <t>cv  Selecionado</t>
  </si>
  <si>
    <t>fs motor</t>
  </si>
  <si>
    <t>s/unid</t>
  </si>
  <si>
    <t>Kw</t>
  </si>
  <si>
    <t xml:space="preserve">      5.2. Cálculo da redução do redutor </t>
  </si>
  <si>
    <r>
      <t>rs =</t>
    </r>
    <r>
      <rPr>
        <u/>
        <sz val="10"/>
        <rFont val="Arial"/>
        <family val="2"/>
      </rPr>
      <t xml:space="preserve"> V . 60</t>
    </r>
  </si>
  <si>
    <t xml:space="preserve">       D . π</t>
  </si>
  <si>
    <r>
      <t xml:space="preserve">R = </t>
    </r>
    <r>
      <rPr>
        <u/>
        <sz val="10"/>
        <rFont val="Arial"/>
        <family val="2"/>
      </rPr>
      <t>Rm</t>
    </r>
    <r>
      <rPr>
        <sz val="10"/>
        <rFont val="Arial"/>
        <family val="2"/>
      </rPr>
      <t xml:space="preserve"> </t>
    </r>
  </si>
  <si>
    <t xml:space="preserve">        rs</t>
  </si>
  <si>
    <t xml:space="preserve">D = Tambor motriz            </t>
  </si>
  <si>
    <t xml:space="preserve">V = Velocidade da correia   </t>
  </si>
  <si>
    <t xml:space="preserve">Rm = Rotação do motor      </t>
  </si>
  <si>
    <t xml:space="preserve">rs =rotação de saida redut.  </t>
  </si>
  <si>
    <t>R = Redução do redutor</t>
  </si>
  <si>
    <t>sendo:</t>
  </si>
  <si>
    <t>Dmin =</t>
  </si>
  <si>
    <t>Rm =</t>
  </si>
  <si>
    <t>rpm</t>
  </si>
  <si>
    <t>rs =</t>
  </si>
  <si>
    <t>resultado:</t>
  </si>
  <si>
    <t>Redução      R =</t>
  </si>
  <si>
    <t xml:space="preserve">     5.3. Cálculo da seleção dos acoplamentos: </t>
  </si>
  <si>
    <t xml:space="preserve">          5.3.1. Formula:</t>
  </si>
  <si>
    <r>
      <t xml:space="preserve">                               Meq = </t>
    </r>
    <r>
      <rPr>
        <u/>
        <sz val="12"/>
        <rFont val="Arial"/>
        <family val="2"/>
      </rPr>
      <t>C x N x Fs</t>
    </r>
  </si>
  <si>
    <t xml:space="preserve">                                                 n</t>
  </si>
  <si>
    <t xml:space="preserve">Onde: </t>
  </si>
  <si>
    <t>C = constante com valor 7030 para cv e 9550 para kW</t>
  </si>
  <si>
    <t>N = Potência da máquina motora</t>
  </si>
  <si>
    <t>n = Rotação do eixo em rpm</t>
  </si>
  <si>
    <t>Fs = Fator de serviço = 1,5</t>
  </si>
  <si>
    <t>Meq = Momento equivalente;</t>
  </si>
  <si>
    <t>Momento máximo do acoplamento &gt; Meq</t>
  </si>
  <si>
    <t xml:space="preserve">           5.3.2. Acoplamento de alta:</t>
  </si>
  <si>
    <t xml:space="preserve">Fs = </t>
  </si>
  <si>
    <t xml:space="preserve">N = </t>
  </si>
  <si>
    <t xml:space="preserve">n = </t>
  </si>
  <si>
    <t xml:space="preserve">Meq = </t>
  </si>
  <si>
    <t>Nm</t>
  </si>
  <si>
    <t>Acoplamento de laminas tormin L-66-N-GGG  770 Nm</t>
  </si>
  <si>
    <t xml:space="preserve">         5.3.3. Acoplamento de Baixa:</t>
  </si>
  <si>
    <t xml:space="preserve">fs = </t>
  </si>
  <si>
    <t>kgfm</t>
  </si>
  <si>
    <t>Sitlock Mt =</t>
  </si>
  <si>
    <t>DaNm</t>
  </si>
  <si>
    <t>Acoplamento NVD 140FF 31000 Nm</t>
  </si>
  <si>
    <t xml:space="preserve">    5.4. Seleção do tamanho do rolamento </t>
  </si>
  <si>
    <t xml:space="preserve">          Utilizando fórmula de vida segundo norma ISO</t>
  </si>
  <si>
    <t xml:space="preserve">        5.4.1. Formula para rolamentos que trabalham a uma velocidade constante </t>
  </si>
  <si>
    <r>
      <t xml:space="preserve">    L10h = </t>
    </r>
    <r>
      <rPr>
        <u/>
        <sz val="10"/>
        <rFont val="Arial"/>
        <family val="2"/>
      </rPr>
      <t>1000.000</t>
    </r>
    <r>
      <rPr>
        <sz val="10"/>
        <rFont val="Arial"/>
        <family val="2"/>
      </rPr>
      <t xml:space="preserve"> </t>
    </r>
  </si>
  <si>
    <r>
      <t xml:space="preserve">   </t>
    </r>
    <r>
      <rPr>
        <u/>
        <sz val="10"/>
        <rFont val="Arial"/>
        <family val="2"/>
      </rPr>
      <t xml:space="preserve">  C </t>
    </r>
    <r>
      <rPr>
        <sz val="10"/>
        <rFont val="Arial"/>
        <family val="2"/>
      </rPr>
      <t xml:space="preserve">   ³</t>
    </r>
  </si>
  <si>
    <t>60 . n</t>
  </si>
  <si>
    <t>P</t>
  </si>
  <si>
    <t>isolando C:</t>
  </si>
  <si>
    <r>
      <t xml:space="preserve">C =  P.   </t>
    </r>
    <r>
      <rPr>
        <sz val="8"/>
        <rFont val="Arial"/>
        <family val="2"/>
      </rPr>
      <t>3</t>
    </r>
    <r>
      <rPr>
        <sz val="10"/>
        <rFont val="Arial"/>
        <family val="2"/>
      </rPr>
      <t xml:space="preserve"> </t>
    </r>
    <r>
      <rPr>
        <u/>
        <sz val="10"/>
        <rFont val="Arial"/>
        <family val="2"/>
      </rPr>
      <t xml:space="preserve"> 60 . n . L10h</t>
    </r>
  </si>
  <si>
    <t>1000.000</t>
  </si>
  <si>
    <t xml:space="preserve">onde: </t>
  </si>
  <si>
    <t>L10h =</t>
  </si>
  <si>
    <t>vida nominal em horas de trabalho</t>
  </si>
  <si>
    <t>rotação do eixo em rpm</t>
  </si>
  <si>
    <t>Carga axial no eixo dividida por 2 em (N) item 5.2</t>
  </si>
  <si>
    <t>capacidade de carga dinâmica característica do rolamento (N)</t>
  </si>
  <si>
    <t xml:space="preserve">       5.4.2. Mancais do eixo motriz </t>
  </si>
  <si>
    <t>horas</t>
  </si>
  <si>
    <t>N</t>
  </si>
  <si>
    <t xml:space="preserve">resultado </t>
  </si>
  <si>
    <t xml:space="preserve">        5.4.3. Mancais do eixo movido</t>
  </si>
  <si>
    <t xml:space="preserve"> Dados a serem inseridos</t>
  </si>
  <si>
    <t xml:space="preserve"> Cálculos ou dados anteriores</t>
  </si>
  <si>
    <t xml:space="preserve"> Dados padrão da planilha</t>
  </si>
  <si>
    <t>ELEVADOR: EL 01 MISTURA 90</t>
  </si>
  <si>
    <t>ELEVADOR: EL 02 MISTURA 90</t>
  </si>
  <si>
    <t>CAPACIDADE DE MOINHOS TIPO FACAS</t>
  </si>
  <si>
    <t>DADOS DE ENTRADAS</t>
  </si>
  <si>
    <t>Variáv.</t>
  </si>
  <si>
    <t>Unid</t>
  </si>
  <si>
    <t>Unid sec</t>
  </si>
  <si>
    <t>Índice de trabalho (Wi)</t>
  </si>
  <si>
    <t>kWh/st</t>
  </si>
  <si>
    <t>Calcário</t>
  </si>
  <si>
    <t xml:space="preserve">Foi utilizado a o indice do Calcário por ser com caracteriaticas proximas ao TQ </t>
  </si>
  <si>
    <t>Diâmetro do produto (d1)</t>
  </si>
  <si>
    <t>μm</t>
  </si>
  <si>
    <t>Diâmetro inicial (d0)</t>
  </si>
  <si>
    <t>Energia necessária (Et)</t>
  </si>
  <si>
    <t>Taxa de alimentação (T)</t>
  </si>
  <si>
    <t>ton/h</t>
  </si>
  <si>
    <t>st/h</t>
  </si>
  <si>
    <t>Potência necessária (P)</t>
  </si>
  <si>
    <t>kW</t>
  </si>
  <si>
    <t>Velocidade do Motor</t>
  </si>
  <si>
    <t>Motor Selcionado</t>
  </si>
  <si>
    <t>4p</t>
  </si>
  <si>
    <t>380v</t>
  </si>
  <si>
    <t>Torque</t>
  </si>
  <si>
    <t>Dados do motor Weg selcionado</t>
  </si>
  <si>
    <t>Diâmetro polia motor (n1)</t>
  </si>
  <si>
    <t>Diâmetro polia Maquina (n2)</t>
  </si>
  <si>
    <t>Redução (n)</t>
  </si>
  <si>
    <t>1 :</t>
  </si>
  <si>
    <t>Rotação rotor</t>
  </si>
  <si>
    <t>Velocidade Facas</t>
  </si>
  <si>
    <t>m/min</t>
  </si>
  <si>
    <t>Diâmetro da câmara</t>
  </si>
  <si>
    <t>Momento torsor (Mt)</t>
  </si>
  <si>
    <t>Número de Facas (Nh)</t>
  </si>
  <si>
    <t>kg</t>
  </si>
  <si>
    <t>Força aplicada (Fh)</t>
  </si>
  <si>
    <t>Força distribuida (wh)</t>
  </si>
  <si>
    <t>N/m</t>
  </si>
  <si>
    <t>Comprimento eixo</t>
  </si>
  <si>
    <t>Seção 1 do eixo</t>
  </si>
  <si>
    <t>Seção 2 do eixo</t>
  </si>
  <si>
    <t>Seção 3 do eixo</t>
  </si>
  <si>
    <t>Ponto médio do eixo</t>
  </si>
  <si>
    <t>Presença de produto em 1/4 de volta do rotor</t>
  </si>
  <si>
    <t>Força de reação R2</t>
  </si>
  <si>
    <t>Força de reação R1</t>
  </si>
  <si>
    <t>n=</t>
  </si>
  <si>
    <t>rps</t>
  </si>
  <si>
    <t>W=</t>
  </si>
  <si>
    <t>Velocidade angular (rad/s)</t>
  </si>
  <si>
    <t xml:space="preserve">Sendo 2 martelos por rotação </t>
  </si>
  <si>
    <t>a fração de tempo que cada martelo estará presente na região de impacto é:</t>
  </si>
  <si>
    <t>a região de impacto 1/4 de volta</t>
  </si>
  <si>
    <t xml:space="preserve">volta </t>
  </si>
  <si>
    <t>s</t>
  </si>
  <si>
    <t>2 martelos passam</t>
  </si>
  <si>
    <t>1 martelo passa</t>
  </si>
  <si>
    <t>tempo de presença</t>
  </si>
  <si>
    <t>(por martelo em 1/4 de volta)</t>
  </si>
  <si>
    <t>Carga de Material para impacto no tempo de presença de cada matelo --&gt; 40t/h</t>
  </si>
  <si>
    <t>Kg/s</t>
  </si>
  <si>
    <t>Sendo 10 fileiras de martelo</t>
  </si>
  <si>
    <t>Kg/s/fileira</t>
  </si>
  <si>
    <t>Carga em 0,00847s</t>
  </si>
  <si>
    <t>Energia Cinética da Fração de Carga em relação ao martelo</t>
  </si>
  <si>
    <t>Ec = (1/2).m.v²</t>
  </si>
  <si>
    <t>m =</t>
  </si>
  <si>
    <t>Ec =</t>
  </si>
  <si>
    <t>W ou J</t>
  </si>
  <si>
    <t>Somatório das Energia Cinetica em todas as fileira</t>
  </si>
  <si>
    <t>W (em 10 fileiras)</t>
  </si>
  <si>
    <t>W.s (em 10 fileiras por segundo)</t>
  </si>
  <si>
    <t>força centrifuga de cada martelo</t>
  </si>
  <si>
    <r>
      <t>r</t>
    </r>
    <r>
      <rPr>
        <sz val="8"/>
        <color theme="1"/>
        <rFont val="Aptos Narrow"/>
        <family val="2"/>
        <scheme val="minor"/>
      </rPr>
      <t>h</t>
    </r>
    <r>
      <rPr>
        <sz val="10"/>
        <rFont val="Arial"/>
        <family val="2"/>
      </rPr>
      <t>=</t>
    </r>
  </si>
  <si>
    <t>Raio dos martelos (m)</t>
  </si>
  <si>
    <r>
      <t>N</t>
    </r>
    <r>
      <rPr>
        <sz val="8"/>
        <color theme="1"/>
        <rFont val="Aptos Narrow"/>
        <family val="2"/>
        <scheme val="minor"/>
      </rPr>
      <t>h</t>
    </r>
    <r>
      <rPr>
        <sz val="10"/>
        <rFont val="Arial"/>
        <family val="2"/>
      </rPr>
      <t>=</t>
    </r>
  </si>
  <si>
    <t>Número de martelos (unid)</t>
  </si>
  <si>
    <r>
      <t>m</t>
    </r>
    <r>
      <rPr>
        <sz val="8"/>
        <color theme="1"/>
        <rFont val="Aptos Narrow"/>
        <family val="2"/>
        <scheme val="minor"/>
      </rPr>
      <t>h</t>
    </r>
    <r>
      <rPr>
        <sz val="10"/>
        <rFont val="Arial"/>
        <family val="2"/>
      </rPr>
      <t>=</t>
    </r>
  </si>
  <si>
    <t>Massa de cada martelos (Kg)</t>
  </si>
  <si>
    <r>
      <t>F</t>
    </r>
    <r>
      <rPr>
        <sz val="8"/>
        <color theme="1"/>
        <rFont val="Aptos Narrow"/>
        <family val="2"/>
        <scheme val="minor"/>
      </rPr>
      <t>h</t>
    </r>
    <r>
      <rPr>
        <sz val="10"/>
        <rFont val="Arial"/>
        <family val="2"/>
      </rPr>
      <t xml:space="preserve"> =</t>
    </r>
  </si>
  <si>
    <t>Força (N)</t>
  </si>
  <si>
    <t>Força Necessária para Deslocar o Martelo do Eixo Centrifugo</t>
  </si>
  <si>
    <t>d</t>
  </si>
  <si>
    <r>
      <rPr>
        <sz val="14"/>
        <color theme="1"/>
        <rFont val="Arial"/>
        <family val="2"/>
      </rPr>
      <t>∑</t>
    </r>
    <r>
      <rPr>
        <sz val="11"/>
        <color theme="1"/>
        <rFont val="Aptos Narrow"/>
        <family val="2"/>
      </rPr>
      <t>m =0</t>
    </r>
  </si>
  <si>
    <r>
      <t>F*D = d*F</t>
    </r>
    <r>
      <rPr>
        <sz val="8"/>
        <color theme="1"/>
        <rFont val="Aptos Narrow"/>
        <family val="2"/>
        <scheme val="minor"/>
      </rPr>
      <t>h</t>
    </r>
  </si>
  <si>
    <t>D</t>
  </si>
  <si>
    <t>D=</t>
  </si>
  <si>
    <t>d=</t>
  </si>
  <si>
    <t xml:space="preserve">força em </t>
  </si>
  <si>
    <t>martelos</t>
  </si>
  <si>
    <t>F</t>
  </si>
  <si>
    <t>F=</t>
  </si>
  <si>
    <t>Ft=</t>
  </si>
  <si>
    <t>torque</t>
  </si>
  <si>
    <t>Energia Cinética do Conjunto de Martelos</t>
  </si>
  <si>
    <t>v=</t>
  </si>
  <si>
    <t>Velocidade tangencial (m/s)</t>
  </si>
  <si>
    <t>m=</t>
  </si>
  <si>
    <t>Massa do martelo (kg)</t>
  </si>
  <si>
    <t>Energia Cinética/Martelo (W  ou J)</t>
  </si>
  <si>
    <t>Numero de martelos</t>
  </si>
  <si>
    <t>Ect=</t>
  </si>
  <si>
    <t>Energia Cinética Cj Martelos (W  ou J)</t>
  </si>
  <si>
    <t>Energia Cinética Rotacional do Conjunto de Martelos</t>
  </si>
  <si>
    <t>Er = 0,5*I * W²</t>
  </si>
  <si>
    <t>I=</t>
  </si>
  <si>
    <t>Momento de inercia (Kg.m²)</t>
  </si>
  <si>
    <t>Energia Cinética (kW  ou kJ)</t>
  </si>
  <si>
    <t>Conjugado de partida</t>
  </si>
  <si>
    <t>Tempo para acelerar o rotor</t>
  </si>
  <si>
    <t>T = I*W/t</t>
  </si>
  <si>
    <t>t =</t>
  </si>
  <si>
    <t>MEMORIA DE CÁLCULO DE TRANSPORTADORES</t>
  </si>
  <si>
    <t xml:space="preserve">  1. CÁLCULO DAS CAPACIDADES DOS TRANSPORTADORES (ABNT NBR 8011)</t>
  </si>
  <si>
    <t xml:space="preserve">     1.1. Cálculo da largura mínima da correia Bm</t>
  </si>
  <si>
    <t xml:space="preserve">     1.2. Cálculo da área da secção transversal do transportador</t>
  </si>
  <si>
    <t xml:space="preserve">     1.3. Cálculo da capacidade volumétrica</t>
  </si>
  <si>
    <t xml:space="preserve">     1.4. Cálculo da capacidade maior Densidade</t>
  </si>
  <si>
    <t xml:space="preserve">     1.5. Cálculo da capacidade menor Densidade</t>
  </si>
  <si>
    <t xml:space="preserve">  2. MÉTODO CEMA</t>
  </si>
  <si>
    <t xml:space="preserve">     2.1. Cálculo da força necessária para acelerar o material (Fa)</t>
  </si>
  <si>
    <t xml:space="preserve">     2.2. Cálculo das forças relativo a tremonhas (Fg)</t>
  </si>
  <si>
    <t xml:space="preserve">     2.3 Cálculo da Série de Roletes</t>
  </si>
  <si>
    <t xml:space="preserve">     2.4. Cálculo da resistência a rotação do roletes (Kx)</t>
  </si>
  <si>
    <t xml:space="preserve">     2.5. Cálculo da tensão total de atrito dos acessórios (Ta)</t>
  </si>
  <si>
    <t xml:space="preserve">     2.6. Cálculo da tensão efetiva  (Te)</t>
  </si>
  <si>
    <t xml:space="preserve">     2.7. Cálculo da potência efetiva (Ne)</t>
  </si>
  <si>
    <t xml:space="preserve">  3. CÁLCULO DAS TENSÕES MÉTODO FAÇO </t>
  </si>
  <si>
    <t xml:space="preserve">     3.1. Cálculo da tensão da flecha mínima </t>
  </si>
  <si>
    <t xml:space="preserve">     3.2. Cálculo do atrito nos roletes de retorno </t>
  </si>
  <si>
    <t xml:space="preserve">     3.3. Cálculo do fator de abraçamento do tambor</t>
  </si>
  <si>
    <t xml:space="preserve">     3.4. Cálculo das principais tensões do transportador </t>
  </si>
  <si>
    <t xml:space="preserve">  4. CÁLCULO DA SELEÇÃO DA CARCAÇA DA CORREIA (MERCURIO)</t>
  </si>
  <si>
    <t xml:space="preserve">     4.1. Cálculo do número mínimo de lonas (Nm)</t>
  </si>
  <si>
    <t xml:space="preserve">     4.2. Porcentagem da admissível da correia escolhida</t>
  </si>
  <si>
    <t xml:space="preserve">  5. DIMENSIONAMENTO DO ACIONAMENTO</t>
  </si>
  <si>
    <t xml:space="preserve">     5.1. Cálculo da redução do redutor </t>
  </si>
  <si>
    <t xml:space="preserve">     5.2. Dimensionamento dos eixos</t>
  </si>
  <si>
    <t xml:space="preserve">          5.2.1. Eixo acionamento</t>
  </si>
  <si>
    <t xml:space="preserve">          5.2.2. Eixo movido</t>
  </si>
  <si>
    <t xml:space="preserve">          5.2.3.  Eixos dos desviadores</t>
  </si>
  <si>
    <t xml:space="preserve">          5.2.4.  Eixos do esticador</t>
  </si>
  <si>
    <t xml:space="preserve">          5.2.5. Cálculo da flecha máxima</t>
  </si>
  <si>
    <t xml:space="preserve">    5.3. Seleção de anel de fixação e bucha expansiva</t>
  </si>
  <si>
    <t xml:space="preserve">          5.3.1. Fórmula</t>
  </si>
  <si>
    <t xml:space="preserve">          5.3.2. Bucha expansiva do eixo motriz</t>
  </si>
  <si>
    <t xml:space="preserve">          5.3.3. Bucha expansiva do eixo de retorno</t>
  </si>
  <si>
    <t xml:space="preserve">          5.3.4. Bucha expansiva dos eixos desviadores</t>
  </si>
  <si>
    <t xml:space="preserve">    5.4. Cálculo das tensões nos discos laterais</t>
  </si>
  <si>
    <t xml:space="preserve">          5.4.1. Cálculo das tensões nas camisas do eixo</t>
  </si>
  <si>
    <t xml:space="preserve">     5.5. Cálculo da seleção dos acoplamentos: </t>
  </si>
  <si>
    <t xml:space="preserve">          5.5.1. Formula:</t>
  </si>
  <si>
    <t xml:space="preserve">          5.5.2. Acoplamento de alta:</t>
  </si>
  <si>
    <t xml:space="preserve">          5.5.3. Acoplamento de Baixa:</t>
  </si>
  <si>
    <t xml:space="preserve">     5.6. Cálculo da seleção dos contra-recuos</t>
  </si>
  <si>
    <t xml:space="preserve">          5.6.1. Formula:</t>
  </si>
  <si>
    <t xml:space="preserve">          5.6.2. Contra-recuo de alta:</t>
  </si>
  <si>
    <t xml:space="preserve">          5.6.3. Contra-recuo de Baixa:</t>
  </si>
  <si>
    <t xml:space="preserve">    5.7. Seleção do tamanho do rolamento </t>
  </si>
  <si>
    <t xml:space="preserve">          5.7.1. Formula para rolamentos que trabalham a uma velocidade constante </t>
  </si>
  <si>
    <t xml:space="preserve">          5.7.2. Mancais do eixo motriz </t>
  </si>
  <si>
    <t>EQUIPAMENTO TRANSPORTADOR DO BIG-BAG</t>
  </si>
  <si>
    <t>1. CÁLCULO DAS CAPACIDADES DOS TRANSPORTADORES (ABNT NBR 8011)</t>
  </si>
  <si>
    <t>Para roletes triplos:</t>
  </si>
  <si>
    <t>1.1. Cálculo da largura mínima da correia Bm</t>
  </si>
  <si>
    <r>
      <t xml:space="preserve">bmin = </t>
    </r>
    <r>
      <rPr>
        <u/>
        <sz val="10"/>
        <rFont val="Arial"/>
        <family val="2"/>
      </rPr>
      <t>(125 + P)</t>
    </r>
    <r>
      <rPr>
        <sz val="10"/>
        <rFont val="Arial"/>
        <family val="2"/>
      </rPr>
      <t xml:space="preserve"> . a1 . f</t>
    </r>
  </si>
  <si>
    <t xml:space="preserve">                  45</t>
  </si>
  <si>
    <t>para  ρ &lt; 20º ; f = 1</t>
  </si>
  <si>
    <t>Para  ρ = 25º ; f = 1,5</t>
  </si>
  <si>
    <t>Para  ρ = 30º ; f = 2</t>
  </si>
  <si>
    <t xml:space="preserve">Se o produto for fino a equação não é válida </t>
  </si>
  <si>
    <t>f = Fator função do ângulo de acomodação do material</t>
  </si>
  <si>
    <t xml:space="preserve">P = porcentagem de blocos no material transportado (%) </t>
  </si>
  <si>
    <t>a1 = maior dimensão dos blocos existentes</t>
  </si>
  <si>
    <t>materiais de difícil acomodação ângulo de repouso de 45º</t>
  </si>
  <si>
    <t>a1 =</t>
  </si>
  <si>
    <t>bmin =</t>
  </si>
  <si>
    <t>1.2. Cálculo da área da secção transversal do transportador</t>
  </si>
  <si>
    <t>db = 0,055 . B + 22      (mm)</t>
  </si>
  <si>
    <t>CSN</t>
  </si>
  <si>
    <t>* K=</t>
  </si>
  <si>
    <t>δ</t>
  </si>
  <si>
    <t>K</t>
  </si>
  <si>
    <t>K interpol</t>
  </si>
  <si>
    <t>onde B deve se colocado em mm</t>
  </si>
  <si>
    <t>bm  = (B - 2.db)/1000  (m)</t>
  </si>
  <si>
    <t>onde B deve se colocado em m</t>
  </si>
  <si>
    <t>lc = l . 0,001 + 0,01  (m)</t>
  </si>
  <si>
    <t>bh = (bm - Ic).cosλ + Ic   (m)</t>
  </si>
  <si>
    <r>
      <t xml:space="preserve">S = (Ic + bh) . (bm - Ic) </t>
    </r>
    <r>
      <rPr>
        <u/>
        <sz val="10"/>
        <rFont val="Arial"/>
        <family val="2"/>
      </rPr>
      <t>sinλ</t>
    </r>
    <r>
      <rPr>
        <sz val="10"/>
        <rFont val="Arial"/>
        <family val="2"/>
      </rPr>
      <t xml:space="preserve"> + (</t>
    </r>
    <r>
      <rPr>
        <u/>
        <sz val="10"/>
        <rFont val="Arial"/>
        <family val="2"/>
      </rPr>
      <t xml:space="preserve"> π.ρ</t>
    </r>
    <r>
      <rPr>
        <sz val="10"/>
        <rFont val="Arial"/>
        <family val="2"/>
      </rPr>
      <t xml:space="preserve"> - </t>
    </r>
    <r>
      <rPr>
        <u/>
        <sz val="10"/>
        <rFont val="Arial"/>
        <family val="2"/>
      </rPr>
      <t>sin2ρ</t>
    </r>
    <r>
      <rPr>
        <sz val="10"/>
        <rFont val="Arial"/>
        <family val="2"/>
      </rPr>
      <t xml:space="preserve">) . (  </t>
    </r>
    <r>
      <rPr>
        <u/>
        <sz val="10"/>
        <rFont val="Arial"/>
        <family val="2"/>
      </rPr>
      <t xml:space="preserve"> bh </t>
    </r>
    <r>
      <rPr>
        <sz val="10"/>
        <rFont val="Arial"/>
        <family val="2"/>
      </rPr>
      <t xml:space="preserve">  )²</t>
    </r>
  </si>
  <si>
    <t>(m²)</t>
  </si>
  <si>
    <t xml:space="preserve">                                     4       720      8          sinρ</t>
  </si>
  <si>
    <t>B = largura da correia, (mm)</t>
  </si>
  <si>
    <t xml:space="preserve">bm = largura da correia prenchida de material (m) </t>
  </si>
  <si>
    <t>bmin = Largura mínima da correia (mm)</t>
  </si>
  <si>
    <t>l = Comprimento do rolete (mm)</t>
  </si>
  <si>
    <t>S = área de secção transversal do material na correia</t>
  </si>
  <si>
    <t>δ = Grau de inclinação do transportador</t>
  </si>
  <si>
    <t xml:space="preserve">λ = âgulo de inclinação do rolo </t>
  </si>
  <si>
    <t xml:space="preserve">ψ = ângulo de repouso do material </t>
  </si>
  <si>
    <t>ρ = ângulo de acomodação do material</t>
  </si>
  <si>
    <t>db = distância padrão fornecida pela CSN</t>
  </si>
  <si>
    <t>pol</t>
  </si>
  <si>
    <t xml:space="preserve">bm = </t>
  </si>
  <si>
    <t xml:space="preserve">l = </t>
  </si>
  <si>
    <t xml:space="preserve">δ = </t>
  </si>
  <si>
    <t xml:space="preserve">λ = </t>
  </si>
  <si>
    <t xml:space="preserve">ψ = </t>
  </si>
  <si>
    <t xml:space="preserve">ρ = </t>
  </si>
  <si>
    <t>db =</t>
  </si>
  <si>
    <t>Ic =</t>
  </si>
  <si>
    <t>bh =</t>
  </si>
  <si>
    <t xml:space="preserve">S = </t>
  </si>
  <si>
    <t>1.3. Cálculo da capacidade volumétrica</t>
  </si>
  <si>
    <t>1.5. Cálculo da capacidade menor Densidade</t>
  </si>
  <si>
    <r>
      <t xml:space="preserve">Q = 3600 . S .η . V . </t>
    </r>
    <r>
      <rPr>
        <sz val="10"/>
        <rFont val="Arial"/>
        <family val="2"/>
      </rPr>
      <t>γ        (t/h)</t>
    </r>
  </si>
  <si>
    <t>Q = Capacidade em (t/h)</t>
  </si>
  <si>
    <t xml:space="preserve">η = grau de enchimento </t>
  </si>
  <si>
    <t xml:space="preserve">γ = Peso especifico do material </t>
  </si>
  <si>
    <t xml:space="preserve">η = </t>
  </si>
  <si>
    <t xml:space="preserve">γ = </t>
  </si>
  <si>
    <t>S =</t>
  </si>
  <si>
    <t>Resposta</t>
  </si>
  <si>
    <t xml:space="preserve">Q = </t>
  </si>
  <si>
    <t>2. MÉTODO CEMA</t>
  </si>
  <si>
    <t>2.1. Cálculo da força necessária para acelerar o material (Fa)</t>
  </si>
  <si>
    <r>
      <t xml:space="preserve">Fa =  </t>
    </r>
    <r>
      <rPr>
        <u/>
        <sz val="10"/>
        <rFont val="Arial"/>
        <family val="2"/>
      </rPr>
      <t>Q . (V² - V²c)</t>
    </r>
  </si>
  <si>
    <t xml:space="preserve">             3,6 . V</t>
  </si>
  <si>
    <t>Fa = Força necessária para acelerar o material (kgf)</t>
  </si>
  <si>
    <t>V = Velocidade da correia (m/s)</t>
  </si>
  <si>
    <t>Q = Capacidade de carga (t/h)</t>
  </si>
  <si>
    <t xml:space="preserve">Vc  = componente da velocidade do material na direção do fluxo </t>
  </si>
  <si>
    <t xml:space="preserve">V = </t>
  </si>
  <si>
    <t>Vc =</t>
  </si>
  <si>
    <t xml:space="preserve">Fa = </t>
  </si>
  <si>
    <t>2.2. Cálculo das forças relativo a tremonhas (Fg)</t>
  </si>
  <si>
    <r>
      <t xml:space="preserve">Cs =  </t>
    </r>
    <r>
      <rPr>
        <sz val="10"/>
        <rFont val="Arial"/>
        <family val="2"/>
      </rPr>
      <t>γ</t>
    </r>
    <r>
      <rPr>
        <u/>
        <sz val="10"/>
        <rFont val="Arial"/>
        <family val="2"/>
      </rPr>
      <t xml:space="preserve"> . (1 - senø )</t>
    </r>
  </si>
  <si>
    <t xml:space="preserve">         2,3 . (1+ senø ) </t>
  </si>
  <si>
    <t>Fg = 0,01488 . Cs . Lg . B² + 8,92 . Lg</t>
  </si>
  <si>
    <t>Fg = Força necessária para vencer o atrito do material com as guias laterais (Kgf):</t>
  </si>
  <si>
    <t>Cs = Fator devido ao atrito do material com as guias tab. 1-21</t>
  </si>
  <si>
    <t>Lg = Comprimento das guias laterais(m)</t>
  </si>
  <si>
    <t>B = largura da correia (pol)</t>
  </si>
  <si>
    <r>
      <t>γ</t>
    </r>
    <r>
      <rPr>
        <sz val="10"/>
        <rFont val="Arial"/>
        <family val="2"/>
      </rPr>
      <t xml:space="preserve"> = densidade do material (t/m³)</t>
    </r>
  </si>
  <si>
    <t>ø  = ângulo de repouso do material em (graus)</t>
  </si>
  <si>
    <t>Cs =</t>
  </si>
  <si>
    <t>Moega</t>
  </si>
  <si>
    <t>Sim/Não</t>
  </si>
  <si>
    <t>Fator</t>
  </si>
  <si>
    <t xml:space="preserve">       sendo: sim = 1 e não = 0 </t>
  </si>
  <si>
    <t>Lg =</t>
  </si>
  <si>
    <r>
      <t>γ</t>
    </r>
    <r>
      <rPr>
        <sz val="10"/>
        <rFont val="Arial"/>
        <family val="2"/>
      </rPr>
      <t xml:space="preserve"> =</t>
    </r>
  </si>
  <si>
    <t>ø  =</t>
  </si>
  <si>
    <t>Fg =</t>
  </si>
  <si>
    <t>2.3 Cálculo da Série de Roletes</t>
  </si>
  <si>
    <r>
      <t>Wm = 0,277 .</t>
    </r>
    <r>
      <rPr>
        <u/>
        <sz val="10"/>
        <rFont val="Arial"/>
        <family val="2"/>
      </rPr>
      <t xml:space="preserve"> Q </t>
    </r>
  </si>
  <si>
    <t xml:space="preserve">                     V</t>
  </si>
  <si>
    <r>
      <t>rr =</t>
    </r>
    <r>
      <rPr>
        <u/>
        <sz val="10"/>
        <rFont val="Arial"/>
        <family val="2"/>
      </rPr>
      <t xml:space="preserve"> V . 60</t>
    </r>
  </si>
  <si>
    <t xml:space="preserve">      dr . π</t>
  </si>
  <si>
    <r>
      <t>Fr = [</t>
    </r>
    <r>
      <rPr>
        <u/>
        <sz val="10"/>
        <rFont val="Arial"/>
        <family val="2"/>
      </rPr>
      <t xml:space="preserve"> j </t>
    </r>
    <r>
      <rPr>
        <sz val="10"/>
        <rFont val="Arial"/>
        <family val="2"/>
      </rPr>
      <t>+ (</t>
    </r>
    <r>
      <rPr>
        <u/>
        <sz val="10"/>
        <rFont val="Arial"/>
        <family val="2"/>
      </rPr>
      <t>1 - j</t>
    </r>
    <r>
      <rPr>
        <sz val="10"/>
        <rFont val="Arial"/>
        <family val="2"/>
      </rPr>
      <t>) . Sen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λ ] . Wm . a + </t>
    </r>
    <r>
      <rPr>
        <u/>
        <sz val="10"/>
        <rFont val="Arial"/>
        <family val="2"/>
      </rPr>
      <t>Wb . a</t>
    </r>
    <r>
      <rPr>
        <sz val="10"/>
        <rFont val="Arial"/>
        <family val="2"/>
      </rPr>
      <t xml:space="preserve">  +  </t>
    </r>
    <r>
      <rPr>
        <u/>
        <sz val="10"/>
        <rFont val="Arial"/>
        <family val="2"/>
      </rPr>
      <t>Wr</t>
    </r>
    <r>
      <rPr>
        <sz val="10"/>
        <rFont val="Arial"/>
        <family val="2"/>
      </rPr>
      <t xml:space="preserve"> </t>
    </r>
  </si>
  <si>
    <t xml:space="preserve">         2      2                                        6           2</t>
  </si>
  <si>
    <t>Cd = Fr . Sr</t>
  </si>
  <si>
    <t xml:space="preserve">Wm = Peso de material por metro de transportador(Kg/m) </t>
  </si>
  <si>
    <t>Wb  = Peso da correia (Kgf/m)</t>
  </si>
  <si>
    <t xml:space="preserve">         Valores médio de peso de correia </t>
  </si>
  <si>
    <t xml:space="preserve">Largura da correia </t>
  </si>
  <si>
    <t>16''</t>
  </si>
  <si>
    <t>20''</t>
  </si>
  <si>
    <t>24''</t>
  </si>
  <si>
    <t>30''</t>
  </si>
  <si>
    <t>36''</t>
  </si>
  <si>
    <t>42''</t>
  </si>
  <si>
    <t>48''</t>
  </si>
  <si>
    <t>54''</t>
  </si>
  <si>
    <t>60''</t>
  </si>
  <si>
    <t>72''</t>
  </si>
  <si>
    <t>84''</t>
  </si>
  <si>
    <t xml:space="preserve">Tipo lona </t>
  </si>
  <si>
    <t>Sr = Fator de segurança do rolamento tabela 1-13</t>
  </si>
  <si>
    <t xml:space="preserve"> Wr =  Peso do rolo (Kgf) tab. 1-10</t>
  </si>
  <si>
    <t>a = espaçamento entre roletes de carga (m)</t>
  </si>
  <si>
    <t>j = fator indicativo de porcentagem de material sobre o rolo tab. 1-09</t>
  </si>
  <si>
    <t xml:space="preserve">dr = diametro do rolete           </t>
  </si>
  <si>
    <t>rr =rotação do rolete</t>
  </si>
  <si>
    <t>Fr = Força radial nos rolamentos (Kgf)</t>
  </si>
  <si>
    <t>Cd = Capacidade de carga dinâmica</t>
  </si>
  <si>
    <t xml:space="preserve">Sendo: </t>
  </si>
  <si>
    <t>Wm =</t>
  </si>
  <si>
    <t>dr =</t>
  </si>
  <si>
    <t>rr =</t>
  </si>
  <si>
    <t>Wm + Wb =</t>
  </si>
  <si>
    <t xml:space="preserve">Sr =  </t>
  </si>
  <si>
    <t xml:space="preserve">Wb  =  </t>
  </si>
  <si>
    <t>C = A . B</t>
  </si>
  <si>
    <t xml:space="preserve"> Wr =  </t>
  </si>
  <si>
    <t xml:space="preserve">a =  </t>
  </si>
  <si>
    <t xml:space="preserve">A = </t>
  </si>
  <si>
    <t>Tabela 1-07</t>
  </si>
  <si>
    <t xml:space="preserve">λ =  </t>
  </si>
  <si>
    <t>Tabela 1-08</t>
  </si>
  <si>
    <t xml:space="preserve">j =   </t>
  </si>
  <si>
    <t xml:space="preserve">C = </t>
  </si>
  <si>
    <t>Ver grafico 1-02</t>
  </si>
  <si>
    <t xml:space="preserve">Fr =  </t>
  </si>
  <si>
    <t xml:space="preserve">Cd = </t>
  </si>
  <si>
    <t xml:space="preserve">roletes série 2025 ACD </t>
  </si>
  <si>
    <t>Ver tab. 1-12</t>
  </si>
  <si>
    <t>2.4. Cálculo da resistência a rotação do roletes (Kx)</t>
  </si>
  <si>
    <r>
      <t xml:space="preserve">Kx = 0,00068(Wm + Wb) +  </t>
    </r>
    <r>
      <rPr>
        <u/>
        <sz val="10"/>
        <rFont val="Arial"/>
        <family val="2"/>
      </rPr>
      <t>x</t>
    </r>
  </si>
  <si>
    <t xml:space="preserve">                                         a</t>
  </si>
  <si>
    <t xml:space="preserve">Kx = é a resistência a rotação dos roletes e ao escorregamento da correia sobre os mesmos </t>
  </si>
  <si>
    <t xml:space="preserve"> x  =  coeficiente em função dos diâmetros dos eixos e dos rolos dos roletes tab. 1-25</t>
  </si>
  <si>
    <t>x =</t>
  </si>
  <si>
    <t>a =</t>
  </si>
  <si>
    <t>Wb =</t>
  </si>
  <si>
    <t>Kx =</t>
  </si>
  <si>
    <t>2.5. Cálculo da tensão total de atrito dos acessórios (Ta)</t>
  </si>
  <si>
    <t xml:space="preserve">Ta = Fg + Ft + Ftc + Ftm + Fd + F1 + Fa </t>
  </si>
  <si>
    <t>Ta = tensão para vencer o atrito dos acessórios e para acelerar o material (Kgf)</t>
  </si>
  <si>
    <t>Ft =  força para flexionar a correia nos tambores tab. 1-22</t>
  </si>
  <si>
    <t>Ftc = Força para movimentar tripers tab. 1-23</t>
  </si>
  <si>
    <t xml:space="preserve">Ftm = Força necessária para movimentar os tambores do tripler Ftm = 22,7 kgf/tambor </t>
  </si>
  <si>
    <t>Fd = Força necessária para vencer os desviadores tab. 1-24</t>
  </si>
  <si>
    <t>F1 = Força necessária para vencer os raspadores e limpadores = (0,9 a 1,4).B  (Kgf/pol)</t>
  </si>
  <si>
    <t xml:space="preserve">Ft = </t>
  </si>
  <si>
    <t xml:space="preserve">Ftc = </t>
  </si>
  <si>
    <t xml:space="preserve">Ftm = </t>
  </si>
  <si>
    <t>kgf/tambor</t>
  </si>
  <si>
    <t>Fd =</t>
  </si>
  <si>
    <t>F1 =</t>
  </si>
  <si>
    <t>Kgf/pol</t>
  </si>
  <si>
    <t>Ta =</t>
  </si>
  <si>
    <t>2.6. Cálculo da tensão efetiva  (Te)</t>
  </si>
  <si>
    <t>Te =  L . [ Kx + Ky . (Wm + Wb) + 0,015 . Wb] ± H . Wm + Ta</t>
  </si>
  <si>
    <t xml:space="preserve">Te  = Tensão efetiva na correia </t>
  </si>
  <si>
    <t>L    = Comprimento do transportador</t>
  </si>
  <si>
    <t xml:space="preserve">H   = Altura de elevação ou descida </t>
  </si>
  <si>
    <t>Wm = Peso de material "cálculo de tensões na correia" (Kg/m) pg 1.47 item 1</t>
  </si>
  <si>
    <t>Kx  = Resistência a rotação dos roletes tabela 1-25 (Kg/m)</t>
  </si>
  <si>
    <t xml:space="preserve">Ky = Fator relativo às resistências à flexão da correia e do material </t>
  </si>
  <si>
    <t xml:space="preserve">        sobre os roletes ver tab. 1-26 e gráficos 1-08 a 1-12 (processo iterativo)</t>
  </si>
  <si>
    <t xml:space="preserve">L    = </t>
  </si>
  <si>
    <t xml:space="preserve">H   = </t>
  </si>
  <si>
    <t xml:space="preserve">Wm = </t>
  </si>
  <si>
    <t>Kx  =</t>
  </si>
  <si>
    <t xml:space="preserve">Ky = </t>
  </si>
  <si>
    <t>Te  =</t>
  </si>
  <si>
    <t xml:space="preserve">Kgf </t>
  </si>
  <si>
    <t>2.7. Cálculo da potência efetiva (Ne)</t>
  </si>
  <si>
    <r>
      <t xml:space="preserve">Ne  = </t>
    </r>
    <r>
      <rPr>
        <u/>
        <sz val="10"/>
        <rFont val="Arial"/>
        <family val="2"/>
      </rPr>
      <t xml:space="preserve">Te . V </t>
    </r>
  </si>
  <si>
    <t xml:space="preserve">           75 η</t>
  </si>
  <si>
    <t>Ne =</t>
  </si>
  <si>
    <t>Carga no Motor</t>
  </si>
  <si>
    <t>Cm=</t>
  </si>
  <si>
    <t>N.m</t>
  </si>
  <si>
    <t xml:space="preserve"> N=</t>
  </si>
  <si>
    <t>N=</t>
  </si>
  <si>
    <t xml:space="preserve">3. CÁLCULO DAS TENSÕES MÉTODO FAÇO </t>
  </si>
  <si>
    <t xml:space="preserve">3.1. Cálculo da tensão da flecha mínima </t>
  </si>
  <si>
    <t>T0 = 4,17.(Wm+Wb).a   para 3% de flecha</t>
  </si>
  <si>
    <t>T0 = 6,25.(Wm+Wb).a   para 2% de flecha</t>
  </si>
  <si>
    <t>T0 = 12,5.(Wm+Wb).a   para 1% de flecha</t>
  </si>
  <si>
    <t>T0 = Tensão paragarantir a flecha mínima ou tensão mínima admissível (Kgf)</t>
  </si>
  <si>
    <t>Sendo para 2%</t>
  </si>
  <si>
    <t xml:space="preserve">T0 = </t>
  </si>
  <si>
    <t xml:space="preserve">3.2. Cálculo do atrito nos roletes de retorno </t>
  </si>
  <si>
    <t>Fr = 0,015 . L . Wb</t>
  </si>
  <si>
    <t>Fr = Força de atrito nos roletes de retorno</t>
  </si>
  <si>
    <t>Fr =</t>
  </si>
  <si>
    <t>3.3. Cálculo do fator de abraçamento do tambor</t>
  </si>
  <si>
    <t xml:space="preserve">3.4. Cálculo das principais tensões do transportador </t>
  </si>
  <si>
    <t>Para transportador horizontal ou em aclive</t>
  </si>
  <si>
    <t>T1 = (1 + K) . Te</t>
  </si>
  <si>
    <t xml:space="preserve">T1 = Te  + T0 + H.Wb - Fr </t>
  </si>
  <si>
    <t>T2 = K . Te</t>
  </si>
  <si>
    <t>T2 = T0 + Fr - H.Wb</t>
  </si>
  <si>
    <t>T3 = K . Te + Fr - H.Wb</t>
  </si>
  <si>
    <t>T3 = T0</t>
  </si>
  <si>
    <t>Pe = 2 . K .Te</t>
  </si>
  <si>
    <t>onde:</t>
  </si>
  <si>
    <t>T1 = Tensão máxima no tambor de acionamento  (Kgf)</t>
  </si>
  <si>
    <t>T2 = Tensão mínima no tambor de acionamento (kgf)</t>
  </si>
  <si>
    <t xml:space="preserve">T3 = Tensão no tambor de retorno (kgf) </t>
  </si>
  <si>
    <t xml:space="preserve">Pe = Peso do esticador por gravidade (kgf) </t>
  </si>
  <si>
    <t>T0 =</t>
  </si>
  <si>
    <t>BASE MOTRIZ</t>
  </si>
  <si>
    <t>BASE RETORNO</t>
  </si>
  <si>
    <t>PRED</t>
  </si>
  <si>
    <t>PBM</t>
  </si>
  <si>
    <t>PBR</t>
  </si>
  <si>
    <t xml:space="preserve">Tensão máxima </t>
  </si>
  <si>
    <t>T2 =</t>
  </si>
  <si>
    <t>T3 =</t>
  </si>
  <si>
    <t>DRED =</t>
  </si>
  <si>
    <t>Dfx =</t>
  </si>
  <si>
    <t>Dtm =</t>
  </si>
  <si>
    <t>FZCD =</t>
  </si>
  <si>
    <t>FXAB =</t>
  </si>
  <si>
    <t>FYC =</t>
  </si>
  <si>
    <t>FYA =</t>
  </si>
  <si>
    <t>FYD =</t>
  </si>
  <si>
    <t>FYB=</t>
  </si>
  <si>
    <t>FYE =</t>
  </si>
  <si>
    <t>Peso do esticador por gravidade</t>
  </si>
  <si>
    <t>FYF =</t>
  </si>
  <si>
    <t>4. CÁLCULO DA SELEÇÃO DA CARCAÇA DA CORREIA (MERCURIO)</t>
  </si>
  <si>
    <t>4.1. Cálculo do número mínimo de lonas (Nm)</t>
  </si>
  <si>
    <r>
      <t xml:space="preserve">Ut = </t>
    </r>
    <r>
      <rPr>
        <u/>
        <sz val="10"/>
        <rFont val="Arial"/>
        <family val="2"/>
      </rPr>
      <t>T1</t>
    </r>
  </si>
  <si>
    <r>
      <t xml:space="preserve">NL = </t>
    </r>
    <r>
      <rPr>
        <u/>
        <sz val="10"/>
        <rFont val="Arial"/>
        <family val="2"/>
      </rPr>
      <t>Ut</t>
    </r>
  </si>
  <si>
    <t xml:space="preserve">Ca = </t>
  </si>
  <si>
    <t>Comprimento da correia aberta</t>
  </si>
  <si>
    <t>CORREIA TRANSP. 30" 2PN2200, REVEST. 3/16"x1/16" AB DE REAÇÃO</t>
  </si>
  <si>
    <t>Calculo da Ciclagem</t>
  </si>
  <si>
    <t>espessura de cobertura</t>
  </si>
  <si>
    <t>4.2. Porcentagem da admissível da correia escolhida</t>
  </si>
  <si>
    <t>Tensão admissÍvel</t>
  </si>
  <si>
    <t>kN</t>
  </si>
  <si>
    <t>Fs correia =</t>
  </si>
  <si>
    <t>5. DIMENSIONAMENTO DO ACIONAMENTO</t>
  </si>
  <si>
    <t xml:space="preserve">5.1. Cálculo da redução do redutor </t>
  </si>
  <si>
    <t xml:space="preserve">Polia Menor </t>
  </si>
  <si>
    <t>Polia Maior</t>
  </si>
  <si>
    <t>Redução R =</t>
  </si>
  <si>
    <t xml:space="preserve">Redutor Selecionado </t>
  </si>
  <si>
    <t>5.2. Dimensionamento dos eixos</t>
  </si>
  <si>
    <t>Eixo motriz</t>
  </si>
  <si>
    <t>P =     (T1+T2)² + (Pt)²</t>
  </si>
  <si>
    <t>Eixo movido</t>
  </si>
  <si>
    <t>P =     (2.T0)² + (Pt)²</t>
  </si>
  <si>
    <t>L = distância entre mancais em cm</t>
  </si>
  <si>
    <t xml:space="preserve">P = Carga radial máxima aplicada no eixo Kgf </t>
  </si>
  <si>
    <r>
      <t>σadm = 560 Kgf/cm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para aço SAE 1045</t>
    </r>
  </si>
  <si>
    <t>Fst = 1,0 = Fator de segurança do momento torsor</t>
  </si>
  <si>
    <t>Fsf = 1,5 Fator de segurança do momento fletor serviço pesado</t>
  </si>
  <si>
    <t>5.2.1. Eixo acionamento</t>
  </si>
  <si>
    <t xml:space="preserve">d = </t>
  </si>
  <si>
    <t>Kgf.cm</t>
  </si>
  <si>
    <t xml:space="preserve">Resultado calculo 1: </t>
  </si>
  <si>
    <t>Eixo</t>
  </si>
  <si>
    <t>5.2.2. Eixo movido</t>
  </si>
  <si>
    <t>5.2.3. Eixo dos desviadores</t>
  </si>
  <si>
    <t>ed=</t>
  </si>
  <si>
    <t>E. desv.</t>
  </si>
  <si>
    <t>5.2.4. Eixo do esticador</t>
  </si>
  <si>
    <t>E. estic.</t>
  </si>
  <si>
    <t>5.2.5. Cálculo da flecha máxima</t>
  </si>
  <si>
    <t>De =</t>
  </si>
  <si>
    <t>diâmetro externo da camisa do eixo</t>
  </si>
  <si>
    <t>Di =</t>
  </si>
  <si>
    <t>diâmetro interno da camisa do eixo</t>
  </si>
  <si>
    <t>et =</t>
  </si>
  <si>
    <t xml:space="preserve"> Espessura da parede do tubo</t>
  </si>
  <si>
    <t>Ângulo de abraçamento</t>
  </si>
  <si>
    <t>Kc</t>
  </si>
  <si>
    <t>Eixo de acionamento</t>
  </si>
  <si>
    <t>Dimensão do tambor Motriz</t>
  </si>
  <si>
    <t>Tambor</t>
  </si>
  <si>
    <t>l =</t>
  </si>
  <si>
    <t>m compr. tambor</t>
  </si>
  <si>
    <t>B ( " )</t>
  </si>
  <si>
    <t>l (mm)</t>
  </si>
  <si>
    <t>m Ø tambor</t>
  </si>
  <si>
    <t>calculado</t>
  </si>
  <si>
    <t>m esp mínima tambor</t>
  </si>
  <si>
    <t>selecionado</t>
  </si>
  <si>
    <t>etx =</t>
  </si>
  <si>
    <t>m esp tambor</t>
  </si>
  <si>
    <t>eti =</t>
  </si>
  <si>
    <t>m espessura tubo int.</t>
  </si>
  <si>
    <t>cti=</t>
  </si>
  <si>
    <t>m compr. tubo int.</t>
  </si>
  <si>
    <t>Dde=</t>
  </si>
  <si>
    <t>m Ødisco</t>
  </si>
  <si>
    <t>de =</t>
  </si>
  <si>
    <t>m ødisco</t>
  </si>
  <si>
    <t>ed =</t>
  </si>
  <si>
    <t>m esp disco</t>
  </si>
  <si>
    <t>dbe=</t>
  </si>
  <si>
    <t>m Øbucha</t>
  </si>
  <si>
    <t>eb=</t>
  </si>
  <si>
    <t>m espessura bucha</t>
  </si>
  <si>
    <r>
      <t xml:space="preserve">f  &lt;   </t>
    </r>
    <r>
      <rPr>
        <u/>
        <sz val="10"/>
        <rFont val="Arial"/>
        <family val="2"/>
      </rPr>
      <t xml:space="preserve">  L   </t>
    </r>
    <r>
      <rPr>
        <sz val="10"/>
        <rFont val="Arial"/>
        <family val="2"/>
      </rPr>
      <t xml:space="preserve"> </t>
    </r>
  </si>
  <si>
    <t>cb=</t>
  </si>
  <si>
    <t>m compr. bucha</t>
  </si>
  <si>
    <t>tubo int.</t>
  </si>
  <si>
    <t>Jt =</t>
  </si>
  <si>
    <t>cm^4</t>
  </si>
  <si>
    <t>tambor</t>
  </si>
  <si>
    <t>buchas</t>
  </si>
  <si>
    <t>discos</t>
  </si>
  <si>
    <t>TAMBOR</t>
  </si>
  <si>
    <t>Se C &gt; Y, serão necessários discos internos</t>
  </si>
  <si>
    <t xml:space="preserve">Y = </t>
  </si>
  <si>
    <t>Nº discos</t>
  </si>
  <si>
    <t>Eixo de retorno</t>
  </si>
  <si>
    <t>Eixo desviador</t>
  </si>
  <si>
    <t>Dimensão do tambor Retorno</t>
  </si>
  <si>
    <t>Dimensão do tambor Desviador</t>
  </si>
  <si>
    <t>m expessura tubo int.</t>
  </si>
  <si>
    <t>m expessura bucha</t>
  </si>
  <si>
    <t>5.3. Seleção de anel de fixação e bucha expansiva</t>
  </si>
  <si>
    <t xml:space="preserve"> 5.3.1. Formula:</t>
  </si>
  <si>
    <r>
      <t xml:space="preserve">                               Mt = </t>
    </r>
    <r>
      <rPr>
        <u/>
        <sz val="12"/>
        <rFont val="Arial"/>
        <family val="2"/>
      </rPr>
      <t>C x N x Fs</t>
    </r>
  </si>
  <si>
    <t>Fs = Fator de serviço = 4 a 6 vezes</t>
  </si>
  <si>
    <t>Mt = Momento transmitido</t>
  </si>
  <si>
    <t>Ma = Momento máximo transmitido (tabelado)</t>
  </si>
  <si>
    <t>Dex = Diâmetro externo do anel de fixação selecionado</t>
  </si>
  <si>
    <t>P1 = pressão superficial no cubo</t>
  </si>
  <si>
    <t>f = coeficiente de montagem (0,6 ou 0,8 ou 1)</t>
  </si>
  <si>
    <t>Cm = coeficiente dado pelo material, montagem e pressão</t>
  </si>
  <si>
    <t>DC = Diâmetro externo mínimo do cubo da bucha</t>
  </si>
  <si>
    <t>eb = espessura da bucha</t>
  </si>
  <si>
    <t>Ma &gt; Mt</t>
  </si>
  <si>
    <t>5.3.2. Bucha expansiva do eixo motriz</t>
  </si>
  <si>
    <t xml:space="preserve">Mt = </t>
  </si>
  <si>
    <t>Selecionar anel de fixação no catálogo com diâmetro interno igual ou menor que o diâmetro do eixo e que o torque máximo seja maior que o torque transmitido calculado.</t>
  </si>
  <si>
    <t>Seleção:</t>
  </si>
  <si>
    <t>Anel de fixação ATI COMFS220X285</t>
  </si>
  <si>
    <t>Equivalente</t>
  </si>
  <si>
    <t>Material</t>
  </si>
  <si>
    <t>Resistência a tração</t>
  </si>
  <si>
    <t>Ma =</t>
  </si>
  <si>
    <t>(catálogo)</t>
  </si>
  <si>
    <t>150 G20</t>
  </si>
  <si>
    <t>ISO JL 200</t>
  </si>
  <si>
    <t>Ferro fundido cinzento</t>
  </si>
  <si>
    <t>200Mpa</t>
  </si>
  <si>
    <t xml:space="preserve">Din = </t>
  </si>
  <si>
    <t>180 G25</t>
  </si>
  <si>
    <t>ISO JL 250</t>
  </si>
  <si>
    <t>250Mpa</t>
  </si>
  <si>
    <t xml:space="preserve">Dex = </t>
  </si>
  <si>
    <t>200 G30</t>
  </si>
  <si>
    <t>ISO JL 300</t>
  </si>
  <si>
    <t>300Mpa</t>
  </si>
  <si>
    <t xml:space="preserve">P1 = </t>
  </si>
  <si>
    <t>N/mm²</t>
  </si>
  <si>
    <t>220 Fe37</t>
  </si>
  <si>
    <t>EN Fe37-3FN</t>
  </si>
  <si>
    <t xml:space="preserve">Aço </t>
  </si>
  <si>
    <t>370MPa</t>
  </si>
  <si>
    <t xml:space="preserve">f = </t>
  </si>
  <si>
    <t>-</t>
  </si>
  <si>
    <t>(desenho)</t>
  </si>
  <si>
    <t>250 C22</t>
  </si>
  <si>
    <t>SAE1020</t>
  </si>
  <si>
    <t>410MPa</t>
  </si>
  <si>
    <t xml:space="preserve">Cm = </t>
  </si>
  <si>
    <t>(tabela)</t>
  </si>
  <si>
    <t>270 C35</t>
  </si>
  <si>
    <t>SAE1035</t>
  </si>
  <si>
    <t>500MPa</t>
  </si>
  <si>
    <t>300 C40</t>
  </si>
  <si>
    <t>SAE1040</t>
  </si>
  <si>
    <t>570MPa</t>
  </si>
  <si>
    <t xml:space="preserve">DC = </t>
  </si>
  <si>
    <t>Diâmetro externo mínimo da bucha do tambor</t>
  </si>
  <si>
    <t>350 C45</t>
  </si>
  <si>
    <t>SAE1045</t>
  </si>
  <si>
    <t>620MPa</t>
  </si>
  <si>
    <t>Diâmetro externo da bucha do tambor</t>
  </si>
  <si>
    <t>400 C45</t>
  </si>
  <si>
    <t>eb =</t>
  </si>
  <si>
    <t>Espessura da bucha do tambor</t>
  </si>
  <si>
    <t>Bucha expansiva Ø390xØ285 aço AISI 1020</t>
  </si>
  <si>
    <t>5.3.3. Bucha expansiva do eixo de retorno</t>
  </si>
  <si>
    <t>Selecionar anel de fixação no catálogo com diâmetro igual ou menor que o do eixo.</t>
  </si>
  <si>
    <t>Anel de fixação ATI  A04 MT1301150</t>
  </si>
  <si>
    <t>Bucha expansiva Ø280xØ200 aço AISI 1020</t>
  </si>
  <si>
    <t>5.3.4. Bucha expansiva dos eixos desviadores</t>
  </si>
  <si>
    <t>Anel de fixação ATI A06 MT1302120</t>
  </si>
  <si>
    <t>Bucha expansiva Ø205xØ165 aço AISI 1020</t>
  </si>
  <si>
    <t>5.4. Cálculo das tensões nos discos laterais</t>
  </si>
  <si>
    <r>
      <t>MO =</t>
    </r>
    <r>
      <rPr>
        <u/>
        <sz val="10"/>
        <rFont val="Arial"/>
        <family val="2"/>
      </rPr>
      <t xml:space="preserve"> P</t>
    </r>
    <r>
      <rPr>
        <sz val="10"/>
        <rFont val="Arial"/>
        <family val="2"/>
      </rPr>
      <t xml:space="preserve"> . (L-C)</t>
    </r>
  </si>
  <si>
    <r>
      <t>Md =</t>
    </r>
    <r>
      <rPr>
        <u/>
        <sz val="10"/>
        <rFont val="Arial"/>
        <family val="2"/>
      </rPr>
      <t xml:space="preserve">          MO</t>
    </r>
    <r>
      <rPr>
        <sz val="10"/>
        <rFont val="Arial"/>
        <family val="2"/>
      </rPr>
      <t xml:space="preserve">       </t>
    </r>
  </si>
  <si>
    <r>
      <t xml:space="preserve">1 + </t>
    </r>
    <r>
      <rPr>
        <u/>
        <sz val="10"/>
        <rFont val="Arial"/>
        <family val="2"/>
      </rPr>
      <t>2 . K</t>
    </r>
    <r>
      <rPr>
        <u/>
        <vertAlign val="subscript"/>
        <sz val="10"/>
        <rFont val="Arial"/>
        <family val="2"/>
      </rPr>
      <t>1</t>
    </r>
    <r>
      <rPr>
        <u/>
        <sz val="10"/>
        <rFont val="Arial"/>
        <family val="2"/>
      </rPr>
      <t xml:space="preserve"> . J</t>
    </r>
  </si>
  <si>
    <t>C . t³</t>
  </si>
  <si>
    <r>
      <t xml:space="preserve">σ = </t>
    </r>
    <r>
      <rPr>
        <u/>
        <sz val="10"/>
        <rFont val="Arial"/>
        <family val="2"/>
      </rPr>
      <t xml:space="preserve">   K</t>
    </r>
    <r>
      <rPr>
        <u/>
        <vertAlign val="subscript"/>
        <sz val="10"/>
        <rFont val="Arial"/>
        <family val="2"/>
      </rPr>
      <t>1</t>
    </r>
    <r>
      <rPr>
        <u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 . M</t>
    </r>
    <r>
      <rPr>
        <vertAlign val="subscript"/>
        <sz val="10"/>
        <rFont val="Arial"/>
        <family val="2"/>
      </rPr>
      <t>d</t>
    </r>
  </si>
  <si>
    <r>
      <t>σ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 </t>
    </r>
    <r>
      <rPr>
        <u/>
        <sz val="10"/>
        <rFont val="Arial"/>
        <family val="2"/>
      </rPr>
      <t xml:space="preserve">     2 . L</t>
    </r>
    <r>
      <rPr>
        <u/>
        <vertAlign val="subscript"/>
        <sz val="10"/>
        <rFont val="Arial"/>
        <family val="2"/>
      </rPr>
      <t>1</t>
    </r>
    <r>
      <rPr>
        <u/>
        <sz val="10"/>
        <rFont val="Arial"/>
        <family val="2"/>
      </rPr>
      <t xml:space="preserve">     </t>
    </r>
    <r>
      <rPr>
        <sz val="10"/>
        <rFont val="Arial"/>
        <family val="2"/>
      </rPr>
      <t xml:space="preserve"> . M</t>
    </r>
    <r>
      <rPr>
        <vertAlign val="subscript"/>
        <sz val="10"/>
        <rFont val="Arial"/>
        <family val="2"/>
      </rPr>
      <t>d</t>
    </r>
  </si>
  <si>
    <r>
      <t>σ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 </t>
    </r>
    <r>
      <rPr>
        <u/>
        <sz val="10"/>
        <rFont val="Arial"/>
        <family val="2"/>
      </rPr>
      <t xml:space="preserve">            P            </t>
    </r>
  </si>
  <si>
    <r>
      <t xml:space="preserve">τ = </t>
    </r>
    <r>
      <rPr>
        <u/>
        <sz val="10"/>
        <rFont val="Arial"/>
        <family val="2"/>
      </rPr>
      <t xml:space="preserve">         D . (T</t>
    </r>
    <r>
      <rPr>
        <u/>
        <vertAlign val="subscript"/>
        <sz val="10"/>
        <rFont val="Arial"/>
        <family val="2"/>
      </rPr>
      <t>1</t>
    </r>
    <r>
      <rPr>
        <u/>
        <sz val="10"/>
        <rFont val="Arial"/>
        <family val="2"/>
      </rPr>
      <t xml:space="preserve"> - T</t>
    </r>
    <r>
      <rPr>
        <u/>
        <vertAlign val="subscript"/>
        <sz val="10"/>
        <rFont val="Arial"/>
        <family val="2"/>
      </rPr>
      <t>2</t>
    </r>
    <r>
      <rPr>
        <u/>
        <sz val="10"/>
        <rFont val="Arial"/>
        <family val="2"/>
      </rPr>
      <t xml:space="preserve">)      </t>
    </r>
  </si>
  <si>
    <t>E . t³</t>
  </si>
  <si>
    <t>D . t²</t>
  </si>
  <si>
    <r>
      <t>2 . D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. T</t>
    </r>
  </si>
  <si>
    <r>
      <rPr>
        <sz val="10"/>
        <rFont val="Calibri"/>
        <family val="2"/>
      </rPr>
      <t>π</t>
    </r>
    <r>
      <rPr>
        <sz val="10"/>
        <rFont val="Arial"/>
        <family val="2"/>
      </rPr>
      <t xml:space="preserve"> . 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² . T</t>
    </r>
  </si>
  <si>
    <r>
      <t>σ</t>
    </r>
    <r>
      <rPr>
        <vertAlign val="subscript"/>
        <sz val="10"/>
        <rFont val="Arial"/>
        <family val="2"/>
      </rPr>
      <t>tm</t>
    </r>
    <r>
      <rPr>
        <sz val="10"/>
        <rFont val="Arial"/>
        <family val="2"/>
      </rPr>
      <t xml:space="preserve"> =   (σ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 σ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)² + 4 .τ ²</t>
    </r>
  </si>
  <si>
    <r>
      <t>σ</t>
    </r>
    <r>
      <rPr>
        <vertAlign val="subscript"/>
        <sz val="10"/>
        <rFont val="Arial"/>
        <family val="2"/>
      </rPr>
      <t>tr</t>
    </r>
    <r>
      <rPr>
        <sz val="10"/>
        <rFont val="Arial"/>
        <family val="2"/>
      </rPr>
      <t xml:space="preserve"> =  σ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 σ</t>
    </r>
    <r>
      <rPr>
        <vertAlign val="subscript"/>
        <sz val="10"/>
        <rFont val="Arial"/>
        <family val="2"/>
      </rPr>
      <t>2</t>
    </r>
  </si>
  <si>
    <t>MO =</t>
  </si>
  <si>
    <t>momento fletor devido às reações nos mancais (kgf.cm)</t>
  </si>
  <si>
    <t>resultante radial atuando sobre o eixo (kgf)</t>
  </si>
  <si>
    <t>D2/D</t>
  </si>
  <si>
    <t>K1</t>
  </si>
  <si>
    <t>L1</t>
  </si>
  <si>
    <t>K1 interpol</t>
  </si>
  <si>
    <t>distância entre mancais (cm)</t>
  </si>
  <si>
    <t>distância entre discos (cm)</t>
  </si>
  <si>
    <t>Md =</t>
  </si>
  <si>
    <t>parcela do momento fletor que passa para o cubo e para o disco (kgf.cm)</t>
  </si>
  <si>
    <t>K1 =</t>
  </si>
  <si>
    <r>
      <t>fator tabelado em função de 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/D - Tabela 1-32</t>
    </r>
  </si>
  <si>
    <t>J =</t>
  </si>
  <si>
    <r>
      <t>Momento de inércia do eixo na seção entre cubos (cm</t>
    </r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>)</t>
    </r>
  </si>
  <si>
    <t>espessura do disco (cm)</t>
  </si>
  <si>
    <r>
      <t>L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</t>
    </r>
  </si>
  <si>
    <r>
      <t>fator tabelado em função de 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/D - tabela 1-32</t>
    </r>
  </si>
  <si>
    <r>
      <t>σ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</t>
    </r>
  </si>
  <si>
    <t>tensão no disco lateral devido a deflexão</t>
  </si>
  <si>
    <r>
      <t>σ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</t>
    </r>
  </si>
  <si>
    <t>tensão devido a compressão</t>
  </si>
  <si>
    <t>τ =</t>
  </si>
  <si>
    <t xml:space="preserve">tensão de cisalhamento </t>
  </si>
  <si>
    <r>
      <t>σ</t>
    </r>
    <r>
      <rPr>
        <vertAlign val="subscript"/>
        <sz val="10"/>
        <rFont val="Arial"/>
        <family val="2"/>
      </rPr>
      <t>tm</t>
    </r>
    <r>
      <rPr>
        <sz val="10"/>
        <rFont val="Arial"/>
        <family val="2"/>
      </rPr>
      <t xml:space="preserve"> =</t>
    </r>
  </si>
  <si>
    <t>tensão somatória no disco lateral do rolo motriz</t>
  </si>
  <si>
    <r>
      <t>σ</t>
    </r>
    <r>
      <rPr>
        <vertAlign val="subscript"/>
        <sz val="10"/>
        <rFont val="Arial"/>
        <family val="2"/>
      </rPr>
      <t>tr</t>
    </r>
    <r>
      <rPr>
        <sz val="10"/>
        <rFont val="Arial"/>
        <family val="2"/>
      </rPr>
      <t xml:space="preserve"> =</t>
    </r>
  </si>
  <si>
    <t>tensão somatória no disco lateral do rolo de retorno</t>
  </si>
  <si>
    <t>Rolo motriz</t>
  </si>
  <si>
    <t>Rolo de retorno</t>
  </si>
  <si>
    <t>Rolo desviadores do esticador</t>
  </si>
  <si>
    <t>Rolo esticador</t>
  </si>
  <si>
    <t>Rolo desviadores do triper</t>
  </si>
  <si>
    <t>kgf.cm</t>
  </si>
  <si>
    <t>D2/D =</t>
  </si>
  <si>
    <t>Tabela 1-32</t>
  </si>
  <si>
    <t>L1 =</t>
  </si>
  <si>
    <r>
      <t>cm</t>
    </r>
    <r>
      <rPr>
        <vertAlign val="superscript"/>
        <sz val="10"/>
        <rFont val="Arial"/>
        <family val="2"/>
      </rPr>
      <t>4</t>
    </r>
  </si>
  <si>
    <r>
      <t>cm</t>
    </r>
    <r>
      <rPr>
        <vertAlign val="superscript"/>
        <sz val="10"/>
        <color indexed="10"/>
        <rFont val="Arial"/>
        <family val="2"/>
      </rPr>
      <t>4</t>
    </r>
  </si>
  <si>
    <t>kgf/cm²</t>
  </si>
  <si>
    <r>
      <t>σ</t>
    </r>
    <r>
      <rPr>
        <vertAlign val="subscript"/>
        <sz val="10"/>
        <color indexed="10"/>
        <rFont val="Arial"/>
        <family val="2"/>
      </rPr>
      <t>1</t>
    </r>
    <r>
      <rPr>
        <sz val="10"/>
        <color indexed="10"/>
        <rFont val="Arial"/>
        <family val="2"/>
      </rPr>
      <t xml:space="preserve"> =</t>
    </r>
  </si>
  <si>
    <r>
      <t>σ</t>
    </r>
    <r>
      <rPr>
        <vertAlign val="subscript"/>
        <sz val="10"/>
        <color indexed="10"/>
        <rFont val="Arial"/>
        <family val="2"/>
      </rPr>
      <t>2</t>
    </r>
    <r>
      <rPr>
        <sz val="10"/>
        <color indexed="10"/>
        <rFont val="Arial"/>
        <family val="2"/>
      </rPr>
      <t xml:space="preserve"> =</t>
    </r>
  </si>
  <si>
    <r>
      <t>σ</t>
    </r>
    <r>
      <rPr>
        <vertAlign val="subscript"/>
        <sz val="10"/>
        <color indexed="10"/>
        <rFont val="Arial"/>
        <family val="2"/>
      </rPr>
      <t>tr</t>
    </r>
    <r>
      <rPr>
        <sz val="10"/>
        <color indexed="10"/>
        <rFont val="Arial"/>
        <family val="2"/>
      </rPr>
      <t xml:space="preserve"> =</t>
    </r>
  </si>
  <si>
    <r>
      <t>σ</t>
    </r>
    <r>
      <rPr>
        <vertAlign val="subscript"/>
        <sz val="10"/>
        <rFont val="Arial"/>
        <family val="2"/>
      </rPr>
      <t>adm</t>
    </r>
    <r>
      <rPr>
        <sz val="10"/>
        <rFont val="Arial"/>
        <family val="2"/>
      </rPr>
      <t xml:space="preserve"> &gt;  σ</t>
    </r>
    <r>
      <rPr>
        <vertAlign val="subscript"/>
        <sz val="10"/>
        <rFont val="Arial"/>
        <family val="2"/>
      </rPr>
      <t>tm</t>
    </r>
  </si>
  <si>
    <r>
      <t>σ</t>
    </r>
    <r>
      <rPr>
        <vertAlign val="subscript"/>
        <sz val="10"/>
        <rFont val="Arial"/>
        <family val="2"/>
      </rPr>
      <t>adm</t>
    </r>
    <r>
      <rPr>
        <sz val="10"/>
        <rFont val="Arial"/>
        <family val="2"/>
      </rPr>
      <t xml:space="preserve"> &gt;  σ</t>
    </r>
    <r>
      <rPr>
        <vertAlign val="subscript"/>
        <sz val="10"/>
        <rFont val="Arial"/>
        <family val="2"/>
      </rPr>
      <t>tr</t>
    </r>
  </si>
  <si>
    <t>Para discos laterais:</t>
  </si>
  <si>
    <r>
      <t>σ</t>
    </r>
    <r>
      <rPr>
        <vertAlign val="subscript"/>
        <sz val="10"/>
        <rFont val="Arial"/>
        <family val="2"/>
      </rPr>
      <t>adm</t>
    </r>
    <r>
      <rPr>
        <sz val="10"/>
        <rFont val="Arial"/>
        <family val="2"/>
      </rPr>
      <t xml:space="preserve"> =</t>
    </r>
  </si>
  <si>
    <t>420kgf/cm²</t>
  </si>
  <si>
    <t>para SAE 1020 ou A-36</t>
  </si>
  <si>
    <t>560kgf/cm²</t>
  </si>
  <si>
    <t>para SAE 1040 OU ASTM 285</t>
  </si>
  <si>
    <t>5.4.1. Cálculo das tensões nas camisas do eixo</t>
  </si>
  <si>
    <t>módulo de resistência do conjunto (eixo+tubo)</t>
  </si>
  <si>
    <r>
      <t>σ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 xml:space="preserve"> =</t>
    </r>
  </si>
  <si>
    <t>tensão na camisa do eixo</t>
  </si>
  <si>
    <t>Rolo desviadores</t>
  </si>
  <si>
    <r>
      <t>σ</t>
    </r>
    <r>
      <rPr>
        <vertAlign val="subscript"/>
        <sz val="10"/>
        <rFont val="Arial"/>
        <family val="2"/>
      </rPr>
      <t>adm</t>
    </r>
    <r>
      <rPr>
        <sz val="10"/>
        <rFont val="Arial"/>
        <family val="2"/>
      </rPr>
      <t xml:space="preserve"> &gt;  σ</t>
    </r>
    <r>
      <rPr>
        <vertAlign val="subscript"/>
        <sz val="10"/>
        <rFont val="Arial"/>
        <family val="2"/>
      </rPr>
      <t>t</t>
    </r>
  </si>
  <si>
    <t xml:space="preserve">           5.5.2. Acoplamento de alta:</t>
  </si>
  <si>
    <t>Acoplamento TV 562</t>
  </si>
  <si>
    <t>Weg Cestari</t>
  </si>
  <si>
    <t xml:space="preserve">         5.5.3. Acoplamento de Baixa:</t>
  </si>
  <si>
    <t>Acoplamento NVD 110 FF 1000 Nm</t>
  </si>
  <si>
    <t>C = constante com valor 716,2 para cv</t>
  </si>
  <si>
    <t xml:space="preserve">           5.6.2. Contra-recuo de alta:</t>
  </si>
  <si>
    <t>BSD-260-4-000</t>
  </si>
  <si>
    <t xml:space="preserve">         5.6.3. Contra-recuo de Baixa:</t>
  </si>
  <si>
    <t xml:space="preserve">        5.7.1. Formula para rolamentos que trabalham a uma velocidade constante </t>
  </si>
  <si>
    <t xml:space="preserve">       5.7.2. Mancais do eixo motriz </t>
  </si>
  <si>
    <t xml:space="preserve">        5.7.3. Mancais do eixo movido</t>
  </si>
  <si>
    <t>CÁLCULOS POTÊNCIA PENEIRA</t>
  </si>
  <si>
    <t>Memória de cálculo paneira rotativa abetura da malha 10</t>
  </si>
  <si>
    <t>DIMENSÃO DO CESTO</t>
  </si>
  <si>
    <t>Alimentação m³/h</t>
  </si>
  <si>
    <t>Densidade</t>
  </si>
  <si>
    <t>Alimentação ton/h</t>
  </si>
  <si>
    <t xml:space="preserve">sendo: D e L em metros </t>
  </si>
  <si>
    <t>Retido primeiro deck</t>
  </si>
  <si>
    <t xml:space="preserve">L = </t>
  </si>
  <si>
    <t>Alimentação segundo deck</t>
  </si>
  <si>
    <t>Alimentação segundo ton/h</t>
  </si>
  <si>
    <t>porcentagem over</t>
  </si>
  <si>
    <t>Retido segundo deck</t>
  </si>
  <si>
    <t>porcentagem under</t>
  </si>
  <si>
    <t>ROTAÇÃO DA PENEIRA</t>
  </si>
  <si>
    <t>Passante segundo deck</t>
  </si>
  <si>
    <t>Capacidade unitária da tela, grafico10, pg539, Tratamento de Minérios</t>
  </si>
  <si>
    <t>m³/h x m²</t>
  </si>
  <si>
    <t xml:space="preserve">Rotação do Peneira Ra varia de 20%  a 50%  da rotação crítica </t>
  </si>
  <si>
    <t xml:space="preserve">Abertura da tela 1,2 Cu5,3; 1,3 Cu5,8; 1,4 Cu7; </t>
  </si>
  <si>
    <t>F1 - Fator relativo a quantidade de de material maior que a malha de peneiramento ver grafico11 pg540 Tratamento de Minérios</t>
  </si>
  <si>
    <r>
      <t xml:space="preserve">Rc = </t>
    </r>
    <r>
      <rPr>
        <u/>
        <sz val="10"/>
        <rFont val="Arial"/>
        <family val="2"/>
      </rPr>
      <t xml:space="preserve">   42.2   </t>
    </r>
    <r>
      <rPr>
        <sz val="10"/>
        <rFont val="Arial"/>
        <family val="2"/>
      </rPr>
      <t xml:space="preserve">  (rpm na qual o material permanece na parade em função da força centrifuga)</t>
    </r>
  </si>
  <si>
    <t>F2 - Fator relativo a quantidade de de material menor que a metade da malha de peneiramento ver grafico12 pg540 Tratamento de Minérios</t>
  </si>
  <si>
    <r>
      <t xml:space="preserve">         (D)</t>
    </r>
    <r>
      <rPr>
        <vertAlign val="superscript"/>
        <sz val="10"/>
        <rFont val="Arial"/>
        <family val="2"/>
      </rPr>
      <t>(0.5)</t>
    </r>
  </si>
  <si>
    <t>F3 -  Fator relativo ao tipo de abertura da tela ver tabela 7 pg541 Tratamento de Minérios</t>
  </si>
  <si>
    <t>F4 - Fator relativo ao formato da particula ver tabela 7 pg541 Tratamento de Minérios</t>
  </si>
  <si>
    <t>Rotação do Peneira Ra a  40% de Rc, é considerada otimizada segundo estudos recentes</t>
  </si>
  <si>
    <t>F5 - Fator relativo ao tipo de peneiramento seco ou molhado ver tabela 7 pg541 Tratamento de Minérios</t>
  </si>
  <si>
    <t>F6 - Fator relativo ao relativo a umidade do peneiramento ver tabela 7 pg541 Tratamento de Minérios</t>
  </si>
  <si>
    <t>Ra = 0.36 * Rc</t>
  </si>
  <si>
    <t>F7 - Fator relativo a a área efetiva do peneiramento se é 1 deck ou 2 decks, ver tabela 7 pg541 Tratamento de Minérios</t>
  </si>
  <si>
    <t>F8 - Fator relativo a porcentagem de área aberta da tela, ver tabela 7 pg541 Tratamento de Minérios</t>
  </si>
  <si>
    <t xml:space="preserve">Rc = </t>
  </si>
  <si>
    <t>% de Rc</t>
  </si>
  <si>
    <t>Area de tela</t>
  </si>
  <si>
    <t>fs.T</t>
  </si>
  <si>
    <t>Diâmetro da Rotativa</t>
  </si>
  <si>
    <t>então:</t>
  </si>
  <si>
    <t xml:space="preserve">Comprimento da tela </t>
  </si>
  <si>
    <t>r=</t>
  </si>
  <si>
    <t xml:space="preserve">Ra = </t>
  </si>
  <si>
    <t>rpm otimizada</t>
  </si>
  <si>
    <t>Largura da tela W</t>
  </si>
  <si>
    <t>Area de tela selecionado</t>
  </si>
  <si>
    <t>Útil 1/3</t>
  </si>
  <si>
    <t>TEMPO DE RESIDÊNCIA</t>
  </si>
  <si>
    <t xml:space="preserve">Verificação do leito ( para malhas finas 15 x abertura da tela) </t>
  </si>
  <si>
    <t>Vasão volumétrica do over Tf</t>
  </si>
  <si>
    <t>O Tempo de resindência variar de 2 a 5 min irá depender de análise dimensional</t>
  </si>
  <si>
    <t>Velocidade transporte S</t>
  </si>
  <si>
    <r>
      <t xml:space="preserve">Tr  =  </t>
    </r>
    <r>
      <rPr>
        <u/>
        <sz val="10"/>
        <rFont val="Arial"/>
        <family val="2"/>
      </rPr>
      <t xml:space="preserve">5.13 * </t>
    </r>
    <r>
      <rPr>
        <u/>
        <sz val="11"/>
        <rFont val="Calibri"/>
        <family val="2"/>
      </rPr>
      <t>Ɵ</t>
    </r>
    <r>
      <rPr>
        <u/>
        <vertAlign val="superscript"/>
        <sz val="11"/>
        <rFont val="Calibri"/>
        <family val="2"/>
      </rPr>
      <t>0.5</t>
    </r>
    <r>
      <rPr>
        <u/>
        <sz val="10"/>
        <rFont val="Arial"/>
        <family val="2"/>
      </rPr>
      <t xml:space="preserve"> * L </t>
    </r>
  </si>
  <si>
    <t xml:space="preserve">           S * D * Ra</t>
  </si>
  <si>
    <t>Onde :</t>
  </si>
  <si>
    <t>Tr é Tempo de residência no Peneira</t>
  </si>
  <si>
    <t>Tabela F1</t>
  </si>
  <si>
    <t>interpoladores</t>
  </si>
  <si>
    <t>S é  ângulo de inclinação do Peneira entre 0° e 3.5°</t>
  </si>
  <si>
    <t>Oversize</t>
  </si>
  <si>
    <t>Ɵ é  ângulo de repouso do material entre 30° e 45°</t>
  </si>
  <si>
    <t>Ra é rotação do Peneira otimizada</t>
  </si>
  <si>
    <t>L é comprimento do Peneira</t>
  </si>
  <si>
    <t>°  (ajustar para obter Tr recomendado pela análise)</t>
  </si>
  <si>
    <t xml:space="preserve">Ɵ = </t>
  </si>
  <si>
    <t>°  (ver característica do material)</t>
  </si>
  <si>
    <t>Ra =</t>
  </si>
  <si>
    <t>Tr =</t>
  </si>
  <si>
    <t>min</t>
  </si>
  <si>
    <t>TAXA DE ENCHIMENTO %</t>
  </si>
  <si>
    <t>Varia de 10%  a 15% do Volume total do Peneira</t>
  </si>
  <si>
    <t>Volume total Vt do Peneira</t>
  </si>
  <si>
    <r>
      <t xml:space="preserve">Vt = </t>
    </r>
    <r>
      <rPr>
        <u/>
        <sz val="10"/>
        <rFont val="Arial"/>
        <family val="2"/>
      </rPr>
      <t xml:space="preserve"> L * 3.1416 * D²</t>
    </r>
  </si>
  <si>
    <t>Então:</t>
  </si>
  <si>
    <t xml:space="preserve">Vt = </t>
  </si>
  <si>
    <t xml:space="preserve">m³ Volume total do Peneira </t>
  </si>
  <si>
    <t xml:space="preserve">  Tabela -1</t>
  </si>
  <si>
    <t xml:space="preserve">     D</t>
  </si>
  <si>
    <t>A tabela ao lado indica a fração de</t>
  </si>
  <si>
    <t xml:space="preserve"> volume em função da razão H/D </t>
  </si>
  <si>
    <t xml:space="preserve">A razão é utilizada para determiar H </t>
  </si>
  <si>
    <t>altura  das haletas de retenção na</t>
  </si>
  <si>
    <t>saída do Peneira.</t>
  </si>
  <si>
    <r>
      <t xml:space="preserve">H = (H/D) 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* D * F</t>
    </r>
    <r>
      <rPr>
        <vertAlign val="subscript"/>
        <sz val="10"/>
        <rFont val="Arial"/>
        <family val="2"/>
      </rPr>
      <t>1</t>
    </r>
  </si>
  <si>
    <t xml:space="preserve">F1 é fator de correção entre volume em </t>
  </si>
  <si>
    <t>movimento e volume estácionario</t>
  </si>
  <si>
    <t>H/D =</t>
  </si>
  <si>
    <t>ench.</t>
  </si>
  <si>
    <r>
      <t>F</t>
    </r>
    <r>
      <rPr>
        <vertAlign val="subscript"/>
        <sz val="10"/>
        <rFont val="Arial"/>
        <family val="2"/>
      </rPr>
      <t>1</t>
    </r>
  </si>
  <si>
    <t>adm. Fator</t>
  </si>
  <si>
    <t>A altura  das haletas de retenção:</t>
  </si>
  <si>
    <t xml:space="preserve">l </t>
  </si>
  <si>
    <t>CARGA  ESTÁTICA DENTRO DO Peneira</t>
  </si>
  <si>
    <t xml:space="preserve">w = Vt * Ench% * ɣ *1000 </t>
  </si>
  <si>
    <t>w =  a carga de material dentro do Peneira (Kg)</t>
  </si>
  <si>
    <t>ɣ = densidade aparente da carga (t/m³)</t>
  </si>
  <si>
    <t>CÁLCULO DA POTÊNCIA REQUERIDA</t>
  </si>
  <si>
    <r>
      <t xml:space="preserve">BHP = </t>
    </r>
    <r>
      <rPr>
        <sz val="12"/>
        <rFont val="Calibri"/>
        <family val="2"/>
      </rPr>
      <t>[ Ra * ( 136.4 * Y * senƟ * w + 1.393 * D</t>
    </r>
    <r>
      <rPr>
        <vertAlign val="subscript"/>
        <sz val="12"/>
        <rFont val="Calibri"/>
        <family val="2"/>
      </rPr>
      <t>1</t>
    </r>
    <r>
      <rPr>
        <sz val="12"/>
        <rFont val="Calibri"/>
        <family val="2"/>
      </rPr>
      <t xml:space="preserve"> * W + 0.728 * W ) ] / </t>
    </r>
    <r>
      <rPr>
        <sz val="12"/>
        <rFont val="Arial"/>
        <family val="2"/>
      </rPr>
      <t>100.000</t>
    </r>
  </si>
  <si>
    <t>Ra = Rotação por minuto do Cesto (rpm)</t>
  </si>
  <si>
    <t>D1 = D +0.6  é diâmentro do Cesto com pista de rolamento (m)</t>
  </si>
  <si>
    <t>Y = ( D1 - H ) / 2  é a distância do eixo do Cesto ao centro de gravidade do material rolando no leito (m)</t>
  </si>
  <si>
    <t>Ɵ = ângulo de repouso do material ( ° )</t>
  </si>
  <si>
    <t>w = Vt * 10% * ɣ *1000 é a carga de material dentro do Peneira (Kg)</t>
  </si>
  <si>
    <t>wa =  50* 3.1416 * D * L  =  peso do Cesto Peneira (kg)</t>
  </si>
  <si>
    <t>W = w + wa  = peso total (Cesto + Material) (Kg)</t>
  </si>
  <si>
    <t xml:space="preserve">D1 = </t>
  </si>
  <si>
    <t>°</t>
  </si>
  <si>
    <t xml:space="preserve">SenƟ = </t>
  </si>
  <si>
    <t>adm.</t>
  </si>
  <si>
    <t xml:space="preserve">ɣ = </t>
  </si>
  <si>
    <t>t/m</t>
  </si>
  <si>
    <t xml:space="preserve">wa = </t>
  </si>
  <si>
    <t xml:space="preserve">w = </t>
  </si>
  <si>
    <t xml:space="preserve">W = </t>
  </si>
  <si>
    <t xml:space="preserve">BHP = </t>
  </si>
  <si>
    <t>V09.3.39.</t>
  </si>
  <si>
    <t>Memória de cálculo paneira rotativa malha 10</t>
  </si>
  <si>
    <t xml:space="preserve">  1. MÉTODO CEMA</t>
  </si>
  <si>
    <t xml:space="preserve">     1.1. Cálculo das forças relativo a tremonhas </t>
  </si>
  <si>
    <t xml:space="preserve">     1.2. Cálculo da força necessária para acelerar o material </t>
  </si>
  <si>
    <t xml:space="preserve">     1.3. Cálculo da resistência à rotação dos roletes</t>
  </si>
  <si>
    <t xml:space="preserve">     1.4. Calculo da tensão total de atrito dos acessórios</t>
  </si>
  <si>
    <t xml:space="preserve">     1.5. Cálculo da tensão efetiva</t>
  </si>
  <si>
    <t xml:space="preserve">  2. CÁLCULO DAS TENSÕES MÉTODO FAÇO </t>
  </si>
  <si>
    <t xml:space="preserve">     2.1. Cálculo da tensão da flecha mínima </t>
  </si>
  <si>
    <t xml:space="preserve">     2.3. Cálculo do fator de abraçamento do tambor</t>
  </si>
  <si>
    <t xml:space="preserve">     2.4. Cálculo das principais tensões do transportador </t>
  </si>
  <si>
    <t xml:space="preserve">  3. CÁLCULO DAS CAPACIDADES DOS TRANSPORTADORES (ABNT NBR 8011)</t>
  </si>
  <si>
    <t xml:space="preserve">     3.1. Cálculo da largura mínima da correia Bm</t>
  </si>
  <si>
    <t xml:space="preserve">     3.2. Cálculo da área da secção transversal do transportador</t>
  </si>
  <si>
    <t xml:space="preserve">     3.3. Cálculo da capacidade</t>
  </si>
  <si>
    <t xml:space="preserve">        5.2.1. Eixo acionamento</t>
  </si>
  <si>
    <t xml:space="preserve">        5.2.2. Eixo movido</t>
  </si>
  <si>
    <t xml:space="preserve">        5.2.3. Cálculo da flecha máxima</t>
  </si>
  <si>
    <t xml:space="preserve">        5.3.1. Formula:</t>
  </si>
  <si>
    <t xml:space="preserve">        5.3.2. Acoplamento de alta:</t>
  </si>
  <si>
    <t xml:space="preserve">        5.3.3. Acoplamento de Baixa:</t>
  </si>
  <si>
    <t xml:space="preserve">     5.4. Seleção do tamanho do rolamento</t>
  </si>
  <si>
    <t xml:space="preserve">       5.4.1. Formula para rolamentos que trabalham a uma velocidade constante </t>
  </si>
  <si>
    <t xml:space="preserve">       5.4.2. Mancais motriz </t>
  </si>
  <si>
    <t xml:space="preserve">       5.4.3. Mancais movido </t>
  </si>
  <si>
    <t xml:space="preserve">EQUIPAMENTO TAG </t>
  </si>
  <si>
    <t>254-TP-15 48"</t>
  </si>
  <si>
    <t>1. MÉTODO CEMA</t>
  </si>
  <si>
    <t>3. CÁLCULO DAS CAPACIDADES DOS TRANSPORTADORES (ABNT NBR 8011)</t>
  </si>
  <si>
    <t>3.1. Cálculo da largura mínima da correia Bm</t>
  </si>
  <si>
    <t>3.2. Cálculo da área da secção transversal do transportador</t>
  </si>
  <si>
    <t>3.3. Cálculo da capacidade volumétrica</t>
  </si>
  <si>
    <t>3.3. Cálculo da capacidade maior Densidade</t>
  </si>
  <si>
    <t>3.3. Cálculo da capacidade menor Densidade</t>
  </si>
  <si>
    <t>1.2. Cálculo da força necessária para acelerar o material (Fa)</t>
  </si>
  <si>
    <t>1.1. Cálculo das forças relativo a tremonhas (Fg)</t>
  </si>
  <si>
    <t>1.3 Cálculo da Série de Roletes</t>
  </si>
  <si>
    <t>Wr =  Peso do rolo (Kgf/m) tab. 1-10</t>
  </si>
  <si>
    <t xml:space="preserve">roletes série 2024 AD </t>
  </si>
  <si>
    <t>1.3. Cálculo da resistência a rotação do roletes (Kx)</t>
  </si>
  <si>
    <t>1.4. Cálculo da tensão total de atrito dos acessórios (Ta)</t>
  </si>
  <si>
    <t>Ftc = Força para movimentar triplers tab. 1-23</t>
  </si>
  <si>
    <t>1.5. Cálculo da tensão efetiva  (Te)</t>
  </si>
  <si>
    <r>
      <t xml:space="preserve">Te =  L . </t>
    </r>
    <r>
      <rPr>
        <sz val="10"/>
        <rFont val="Arial"/>
        <family val="2"/>
      </rPr>
      <t xml:space="preserve">[ (Kx + Ky) . (Wm + Wb) + 0,015 . Wb] </t>
    </r>
    <r>
      <rPr>
        <sz val="10"/>
        <rFont val="Arial"/>
        <family val="2"/>
      </rPr>
      <t>± H . Wm + Ta</t>
    </r>
  </si>
  <si>
    <t xml:space="preserve">        sobre os roletes ver tab. 1-26 e gráficos 1-08 a 1-12</t>
  </si>
  <si>
    <t>1.6. Cálculo da potência efetiva (Ne)</t>
  </si>
  <si>
    <t xml:space="preserve">2. CÁLCULO DAS TENSÕES MÉTODO FAÇO </t>
  </si>
  <si>
    <t xml:space="preserve">2.1. Cálculo da tensão da flecha mínima </t>
  </si>
  <si>
    <t xml:space="preserve">2.2. Cálculo do atrito nos roletes de retorno </t>
  </si>
  <si>
    <t>2.3. Cálculo do fator de abraçamento do tambor</t>
  </si>
  <si>
    <t xml:space="preserve">2.4. Cálculo das principais tensões do transportador </t>
  </si>
  <si>
    <t>para  EP 120 PLAYLON</t>
  </si>
  <si>
    <t>Tensão admissivel</t>
  </si>
  <si>
    <t>5.2.3. Cálculo da flecha máxima</t>
  </si>
  <si>
    <t>m tubo ext.</t>
  </si>
  <si>
    <t>dde=</t>
  </si>
  <si>
    <t>Sit lock</t>
  </si>
  <si>
    <t>fs</t>
  </si>
  <si>
    <t>Acoplamento NVD 130 FF 11000 Nm</t>
  </si>
  <si>
    <t xml:space="preserve">     5.3. Cálculo da seleção dos contra-recuos</t>
  </si>
  <si>
    <t xml:space="preserve">           5.3.2. Contra-recuo de alta:</t>
  </si>
  <si>
    <t xml:space="preserve">         5.3.3. Contra-recuo de Baixa:</t>
  </si>
  <si>
    <t>Equip.</t>
  </si>
  <si>
    <t>Nome</t>
  </si>
  <si>
    <t>Quant.</t>
  </si>
  <si>
    <t>Descrição</t>
  </si>
  <si>
    <t xml:space="preserve">Motorredutor </t>
  </si>
  <si>
    <t xml:space="preserve">Correia </t>
  </si>
  <si>
    <t>Mancal Motriz</t>
  </si>
  <si>
    <t>Mancal Esticador</t>
  </si>
  <si>
    <t>Tambor  Esticador</t>
  </si>
  <si>
    <t>Eixo Motriz</t>
  </si>
  <si>
    <t>Eixo Esticador</t>
  </si>
  <si>
    <t xml:space="preserve">Siit Lock Motriz </t>
  </si>
  <si>
    <t>tipo_1 medida 95x135</t>
  </si>
  <si>
    <t>Cavaletes</t>
  </si>
  <si>
    <t>Roletes Carga</t>
  </si>
  <si>
    <t>Roletes Retorno</t>
  </si>
  <si>
    <t>Correia (m)</t>
  </si>
  <si>
    <t>Kit mancal  SNH 526 TSN L, rol Ø115, 22226 EK, H3126, 2 FRB 13/230</t>
  </si>
  <si>
    <t>Kit mancal  SNH 520 TSN L, rol Ø90, 22220 EK, H320, 2 FRB 12/180</t>
  </si>
  <si>
    <t>Kit mancal  SNH 512 TSN L, rol Ø55, 2212K, H312, 2 FRB 10/110</t>
  </si>
  <si>
    <t>Ø102mm -1680mm  SAE 1045</t>
  </si>
  <si>
    <t>tipo_1 medida 60x90</t>
  </si>
  <si>
    <t>Ø550mm,  Comprim. 710mm, Gaiola com Cone</t>
  </si>
  <si>
    <t>Ø140mm - 1780mm  SAE 4140</t>
  </si>
  <si>
    <t>Ø89mm - 1650mm  SAE 1045</t>
  </si>
  <si>
    <t>tipo_4 medida 130x180</t>
  </si>
  <si>
    <t>Canecas</t>
  </si>
  <si>
    <t>Centrifugas chapa 3/16 - 550 x 220 x 230 passo 430mm</t>
  </si>
  <si>
    <t>Kit mancal  SNH 515 TSN L, rol Ø65, 22215EK, H315, 2 FRB 12.5/130</t>
  </si>
  <si>
    <t>Ø594mm,  Comprim. 610mm, Ranhurado V 30x5, abaulado 6mm, Borracha Nitilica 13mm</t>
  </si>
  <si>
    <t>Ø520mm,  Comprim. 610mm, Gaiola com Cone</t>
  </si>
  <si>
    <t>Ø127mm - 1500mm  SAE 4140</t>
  </si>
  <si>
    <t>Ø89mm - 1000mm  SAE 1045</t>
  </si>
  <si>
    <t>110   PN001</t>
  </si>
  <si>
    <t>tipo_4 medida 120x165</t>
  </si>
  <si>
    <t>Siit Lock Esticador</t>
  </si>
  <si>
    <t>tipo_1 medida 70x110</t>
  </si>
  <si>
    <t>Centrifugas chapa 3/16 - 450 x 220 x 230 passo 430mm</t>
  </si>
  <si>
    <t>MANCAIS Ø65 SNL 515</t>
  </si>
  <si>
    <t>fs.: 1,6 redução 1 : 103, motor 4,5kW, 4P, 60Hz, IP65</t>
  </si>
  <si>
    <t>V 09 3 1:104,54 BGA 112M 6HP 4P 60Hz P3 B5D, IP65, DISCO, fs 1,75</t>
  </si>
  <si>
    <t>Gaiola da Peneira</t>
  </si>
  <si>
    <t xml:space="preserve">Ø1250mm,  Comprim. 3000mm, </t>
  </si>
  <si>
    <t>Tubo da Gaiola</t>
  </si>
  <si>
    <t>Ø 6" SCH 80,  Comprim. 3200mm, ASTM A-53</t>
  </si>
  <si>
    <t>Ø140mm -1000mm  SAE 1045</t>
  </si>
  <si>
    <t>Ø140mm -600mm  SAE 1046</t>
  </si>
  <si>
    <t xml:space="preserve">DE INOX 304 ABERTURAS 15 x 10mm FIO 3,2mm MÓDULOS 1000 x 2000mm COM MOLDURA </t>
  </si>
  <si>
    <t>110   PN002</t>
  </si>
  <si>
    <t>MANCAIS Ø70 SNL 516</t>
  </si>
  <si>
    <t>Kit mancal  SNH 516 TSN L, rol Ø70, 2216K, H316, 2 FRB 12.5/140</t>
  </si>
  <si>
    <t xml:space="preserve">Ø1120mm,  Comprim. 2800mm, </t>
  </si>
  <si>
    <t>Ø 5" SCH 80,  Comprim. 3000mm, ASTM A-53</t>
  </si>
  <si>
    <t xml:space="preserve">DE INOX 304 ABERTURAS 15 x 10mm FIO 3,2mm MÓDULOS 930x 1800mm COM MOLDURA </t>
  </si>
  <si>
    <t>Kit mancal  SNH 515 TSN L, rol Ø65, 2215K, H315, 2 FRB 12.5/130</t>
  </si>
  <si>
    <t>Ø127mm - 1000mm  SAE 1045</t>
  </si>
  <si>
    <t>Ø127mm - 600mm  SAE 1046</t>
  </si>
  <si>
    <t>CORREIA TRANSP. 30" 2PN2200, REVEST. 3/16"x1/16" NBR REAÇÃO</t>
  </si>
  <si>
    <t xml:space="preserve"> Ø102 Kanaflex Azul, Corpo 280mm, eixo Ø20 x 306mm, encaixe 14x9mm, rol 6204, vedação plast. p/ fertilizantes  </t>
  </si>
  <si>
    <t xml:space="preserve"> Ø102 Kanaflex Azul, Corpo 837mm, eixo Ø20 x 871mm, pescoço 14x9x4mm, rol 6204, vedação plast. p/ fertilizantes</t>
  </si>
  <si>
    <t>Ø63,5mm - 1280mm  SAE 1045</t>
  </si>
  <si>
    <t>Ø323mm,  Comprim. 870mm, Ranhurado V 30x5, abaulado 6mm, Borracha Nitilica 13mm</t>
  </si>
  <si>
    <t>Ø323mm,  Comprim. 870mm, Liso, abaulado 6mm, Borracha Nitilica 13mm</t>
  </si>
  <si>
    <t>Ø355mm,  Comprim. 870mm, Ranhurado V 30x5, abaulado 6mm, Borracha Nitilica 13mm</t>
  </si>
  <si>
    <t>Ø355mm,  Comprim. 870mm, Liso, abaulado 6mm, Borracha Nitilica 13mm</t>
  </si>
  <si>
    <t>CORREIA TRANSP. 30" 2PN2200, REVEST. 3/16"x1/16" SBR CORRUGADA</t>
  </si>
  <si>
    <t xml:space="preserve">  1/4</t>
  </si>
  <si>
    <r>
      <t xml:space="preserve">Y =   </t>
    </r>
    <r>
      <rPr>
        <u/>
        <sz val="10"/>
        <rFont val="Arial"/>
        <family val="2"/>
      </rPr>
      <t xml:space="preserve"> E . B . R . S³</t>
    </r>
  </si>
  <si>
    <r>
      <t xml:space="preserve">Y =   </t>
    </r>
    <r>
      <rPr>
        <u/>
        <sz val="10"/>
        <rFont val="Arial"/>
        <family val="2"/>
      </rPr>
      <t xml:space="preserve"> E . B . R . s³</t>
    </r>
  </si>
  <si>
    <t>se Y &lt; C é necessário disco int</t>
  </si>
  <si>
    <t>Ø76,2mm -1680mm  SAE 1045</t>
  </si>
  <si>
    <t>tipo_1 medida 75x115</t>
  </si>
  <si>
    <t>10 cavaletes 36" x 35°, e 2 Cavaletes  36" x 20°</t>
  </si>
  <si>
    <t>110   MO001</t>
  </si>
  <si>
    <t>Motor</t>
  </si>
  <si>
    <t>Polia Motor</t>
  </si>
  <si>
    <t>Polia Maq</t>
  </si>
  <si>
    <t>Raio facas (rh)</t>
  </si>
  <si>
    <t>Massa facas (mh)</t>
  </si>
  <si>
    <t>POLIA EM "V" 3 CANAIS TIPO "B" Ø250mm</t>
  </si>
  <si>
    <t>POLIA EM "V" 3 CANAIS TIPO "B" Ø200mm</t>
  </si>
  <si>
    <t>ELEVADOR: EL 01 DESCARGA</t>
  </si>
  <si>
    <r>
      <t xml:space="preserve">Q = </t>
    </r>
    <r>
      <rPr>
        <b/>
        <u/>
        <sz val="10"/>
        <rFont val="Arial"/>
        <family val="2"/>
      </rPr>
      <t>360 . V . n . v . CF1 . CF2 . γ</t>
    </r>
  </si>
  <si>
    <t>Capacidade em t/h para  densidade média</t>
  </si>
  <si>
    <t>CORREIA ELEVADORA 3PN2000, REVEST. 1/8"x1/8" AB DE REAÇÃO</t>
  </si>
  <si>
    <t xml:space="preserve">Torque de projeto: </t>
  </si>
  <si>
    <t xml:space="preserve">Torque nominal: </t>
  </si>
  <si>
    <t>Conj Part.</t>
  </si>
  <si>
    <t>Conj relat. Proj.</t>
  </si>
  <si>
    <t>medidas acoplamento</t>
  </si>
  <si>
    <t>kfg/cm</t>
  </si>
  <si>
    <t>dØ =</t>
  </si>
  <si>
    <t>cap. corr.</t>
  </si>
  <si>
    <t>kgf</t>
  </si>
  <si>
    <t>Tipo 4</t>
  </si>
  <si>
    <t>190 x 250</t>
  </si>
  <si>
    <t>raio  =</t>
  </si>
  <si>
    <t xml:space="preserve">m     F = </t>
  </si>
  <si>
    <t>Centrifugas chapa 3/16 - 450 x 220 x 230 passo 300mm</t>
  </si>
  <si>
    <t>Ø63,5mm - 998mm  SAE 1045</t>
  </si>
  <si>
    <t>Ø101,6mm - 1278mm  ASTM 4140</t>
  </si>
  <si>
    <t>tipo_4 medida 100x145</t>
  </si>
  <si>
    <t>110   MM001</t>
  </si>
  <si>
    <t>Ø 4" SCH 80,  Comprim. 2800mm, ASTM A-53</t>
  </si>
  <si>
    <t>Ø102mm - 800mm  SAE 1045</t>
  </si>
  <si>
    <t>Ø102mm - 400mm  SAE 1045</t>
  </si>
  <si>
    <t>110   DR001</t>
  </si>
  <si>
    <t>MOTOR ELÉTRICO COM PÉS WEG W22 IR3 PREMIUM 15CV 4P 132M 3F 220/380/440V 60Hz CX LIG DIR IP65, B3E</t>
  </si>
  <si>
    <t>MOTORREDUTOR N 09 3 1:109,7 BGA 112M 6HP 4P 60Hz P1 B5D/B14D, IP65, DISCO, fs 1,75</t>
  </si>
  <si>
    <t>MOTORREDUTOR N 09 3 1:94,9 BGA 112M 5HP 4P 60Hz P1 B5D/B14D, IP65, DISCO, fs 1,75</t>
  </si>
  <si>
    <t>MOTORREDUTOR N 06 3 1:58,89 BGA 90S 2HP 4P 60Hz B5D/B14D - DISCO, SAÍDA LADO 1, P3, A1, fs 1,7</t>
  </si>
  <si>
    <t>MOTORREDUTOR N 06 3 1:58,89 BGA 90S 2HP 4P 60Hz B5D/B14D - DISCO, SAÍDA LADO 1, P1, A1, fs 1,7</t>
  </si>
  <si>
    <t>110  TP004</t>
  </si>
  <si>
    <t>MOTORREDUTOR V 08 2 1:36 BGA 132M 12,5HP 4P 60Hz P3 B5D/B14D, IP65, DISCO, RECUO LIVRE H, fs1,64</t>
  </si>
  <si>
    <t xml:space="preserve">Mancal </t>
  </si>
  <si>
    <t>Eixo Movido</t>
  </si>
  <si>
    <t>Roletes de Carga</t>
  </si>
  <si>
    <t>Cavaletes de Carga</t>
  </si>
  <si>
    <t>110
EL-003</t>
  </si>
  <si>
    <t>110
EL-002</t>
  </si>
  <si>
    <t>110
EL-001</t>
  </si>
  <si>
    <t>110  TP001</t>
  </si>
  <si>
    <t>110  TP002</t>
  </si>
  <si>
    <t>110  TP003</t>
  </si>
  <si>
    <t>110   PN003</t>
  </si>
  <si>
    <t>Motovibrador</t>
  </si>
  <si>
    <t>Telas</t>
  </si>
  <si>
    <t>Mancal</t>
  </si>
  <si>
    <r>
      <t xml:space="preserve">MOTOVIBRADOR MVL ARC-100-1200 1,5CV 2P 60Hz IP66 IR3 </t>
    </r>
    <r>
      <rPr>
        <sz val="10"/>
        <color rgb="FFFF0000"/>
        <rFont val="Arial"/>
        <family val="2"/>
      </rPr>
      <t>(380V)</t>
    </r>
  </si>
  <si>
    <r>
      <t>TELA HARPA</t>
    </r>
    <r>
      <rPr>
        <sz val="10"/>
        <color rgb="FFFF0000"/>
        <rFont val="Arial"/>
        <family val="2"/>
      </rPr>
      <t xml:space="preserve"> (III) </t>
    </r>
    <r>
      <rPr>
        <sz val="10"/>
        <rFont val="Arial"/>
        <family val="2"/>
      </rPr>
      <t xml:space="preserve">1,5mm COM ABERTURA DE 1,4 X 50 mm </t>
    </r>
    <r>
      <rPr>
        <sz val="10"/>
        <color rgb="FFFF0000"/>
        <rFont val="Arial"/>
        <family val="2"/>
      </rPr>
      <t>COM ILHÓS</t>
    </r>
  </si>
  <si>
    <t>Tubo do Eixo</t>
  </si>
  <si>
    <t>Haste do Helicoide</t>
  </si>
  <si>
    <t>Mancal da Comporta</t>
  </si>
  <si>
    <t>Cilindro Pneumatico</t>
  </si>
  <si>
    <t>Eixo Comporta</t>
  </si>
  <si>
    <t>Kit mancal  SNL 519 TSN L, rol Ø85, 22219 EK, H319, 2 FRB 12.5/170</t>
  </si>
  <si>
    <t>Kit mancal  SNL 511 TSN L, rol Ø50, 2211EK, H311,  FRB 9.5/100</t>
  </si>
  <si>
    <t>Kit mancal SNL       TSN L, rol Ø85,         EK, H       , FRB</t>
  </si>
  <si>
    <t>MOTORREDUTOR N 06 3 1:156,92 BGA 160 4P 60Hz P6, B5D, IP65, DISCO, fs 2,6, SÁIDA LADO 2, CLASSE S3, COM MOTOFREIO.</t>
  </si>
  <si>
    <t>Coxim Motovibrador</t>
  </si>
  <si>
    <t xml:space="preserve">Coxim Tela </t>
  </si>
  <si>
    <t>Coxim Deck</t>
  </si>
  <si>
    <t>56,5 X 50 VAZADO</t>
  </si>
  <si>
    <t>50 X 28 X 26 FLANGE</t>
  </si>
  <si>
    <t xml:space="preserve">93 X 55 - ROSCA 5 -8 </t>
  </si>
  <si>
    <t>50 X 50 - ROSCA 5/8"</t>
  </si>
  <si>
    <t>CONFIRMAR ASSIM QUE PRONTO O DESENHO</t>
  </si>
  <si>
    <t xml:space="preserve">CONFERIR COM O DESENHO </t>
  </si>
  <si>
    <t>MOTORREDUTOR N 07 3 1:61,25 BGA 90L 3HP 4P 60Hz B5D/B14D - DISCO, SAÍDA LADO 1, P1, A1, fs 2,11</t>
  </si>
  <si>
    <t>fs.: 1,6 redução 1 : 91,51 motor 3,7kW, 4P, 60Hz, IP65</t>
  </si>
  <si>
    <t>N08.3</t>
  </si>
  <si>
    <r>
      <t>Te = 0,8 . p1 . N . (</t>
    </r>
    <r>
      <rPr>
        <u/>
        <sz val="10"/>
        <rFont val="Arial"/>
        <family val="2"/>
      </rPr>
      <t>H + Ho</t>
    </r>
    <r>
      <rPr>
        <sz val="10"/>
        <rFont val="Arial"/>
        <family val="2"/>
      </rPr>
      <t>)</t>
    </r>
  </si>
  <si>
    <r>
      <t>Te =(H + 12 . D</t>
    </r>
    <r>
      <rPr>
        <sz val="8"/>
        <rFont val="Arial"/>
        <family val="2"/>
      </rPr>
      <t>2</t>
    </r>
    <r>
      <rPr>
        <sz val="10"/>
        <rFont val="Arial"/>
        <family val="2"/>
      </rPr>
      <t>) . p1 / e</t>
    </r>
  </si>
  <si>
    <r>
      <t xml:space="preserve">N = </t>
    </r>
    <r>
      <rPr>
        <b/>
        <u/>
        <sz val="10"/>
        <rFont val="Arial"/>
        <family val="2"/>
      </rPr>
      <t xml:space="preserve">v . Pm  (H + 10. D) </t>
    </r>
  </si>
  <si>
    <t>N07 3 1:32,4 BGA 112M 7,5HP 4P 60HZ , IP65, P1, B5/B14D, DISCO, SAÍDA LADO A (1),  BRAÇO   fs 1,59</t>
  </si>
  <si>
    <t xml:space="preserve">N07 3 1:32,4 BGA 112M 7,5HP 4P 60HZ , IP65, P1, B5/B14D, DISCO, SAÍDA LADO A (1),  BRAÇO   fs 1,59 </t>
  </si>
  <si>
    <t>1 MOTORREDUTOR RED. 1 :61,25- 2,2kW, 4P, 60Hz, IP65, 220/380/440V</t>
  </si>
  <si>
    <t xml:space="preserve"> N07 3 1:61,25 BGA 90L 3HP 4P 60HZ, IP65, P1, B5/B14E, DISCO, SAÍDA LADO B (2),  BRAÇO   fs 2,11</t>
  </si>
  <si>
    <t xml:space="preserve"> N07 3 1:61,25 BGA 90L 3HP 4P 60HZ, IP65, P1, B5/B14D, DISCO, SAÍDA LADO A (1),  BRAÇO   fs 2,11</t>
  </si>
  <si>
    <t>MOTORREDUTOR 1 : 37,26 - 22kW, 4P, 60Hz, IP65</t>
  </si>
  <si>
    <t>V 10 2 1:37,26 BGA 180M 30HP 4P 60Hz P3 B5  - AH</t>
  </si>
  <si>
    <t>V 10 2 1:37,26 BGA 180M 30HP 4P 60Hz P3 B5  - H</t>
  </si>
  <si>
    <t>MOTORREDUTOR V 10 2 1:37,26 BGA 180M 30HP 4P 60Hz P3, B5, IP65, DISCO, RECUO LIVRE AH, fs1,79</t>
  </si>
  <si>
    <t>CORREIA ELEVADORA 22" 4PN3000, REVEST. 1/8"x1/8" NBR REAÇÃO</t>
  </si>
  <si>
    <t>MOTORREDUTOR V 10 2 1:37,26 BGA 180M 30HP 4P 60Hz P3, B5, IP65, DISCO, RECUO LIVRE H, fs1,79</t>
  </si>
  <si>
    <t>MOTORREDUTOR 1 : 36 - 7,5kW, 4P, 60Hz, IP65</t>
  </si>
  <si>
    <t>MOTORREDUTOR V 12 3 1:58,96 BGA 180 30HP 4P 60Hz P1, B5D, IP65, DISCO, fs 1,84</t>
  </si>
  <si>
    <t>Kit mancal  SNH 516 TSN L, rol Ø70, 22216EK, H316, 2 FRB 12.5/140</t>
  </si>
  <si>
    <t>Ø620mm,  Comprim. 710mm, Ranhurado V 30x5, abaulado 6mm, Borracha Nitilica 13mm</t>
  </si>
  <si>
    <t>Ø620mm,  Comprim. 610mm, Ranhurado V 30x5, abaulado 6mm, Borracha Nitilica 13mm</t>
  </si>
  <si>
    <t>Ø550mm,  Comprim. 610mm, Gaiola com Cone</t>
  </si>
  <si>
    <t>Bibl. Teoria e Prática do Tratamento de Minérios - Vol.3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</si>
</sst>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00"/>
    <numFmt numFmtId="166" formatCode="0.0"/>
    <numFmt numFmtId="167" formatCode="_-* #,##0.00\ _P_t_s_-;\-* #,##0.00\ _P_t_s_-;_-* &quot;-&quot;??\ _P_t_s_-;_-@_-"/>
    <numFmt numFmtId="168" formatCode="_-* #,##0.0000_-;\-* #,##0.0000_-;_-* &quot;-&quot;??_-;_-@_-"/>
    <numFmt numFmtId="169" formatCode="#,##0.0;\-#,##0.0"/>
    <numFmt numFmtId="170" formatCode="0.0000"/>
    <numFmt numFmtId="171" formatCode="_(* #,##0.00_);_(* \(#,##0.00\);_(* &quot;-&quot;??_);_(@_)"/>
    <numFmt numFmtId="172" formatCode="0.000%"/>
    <numFmt numFmtId="173" formatCode="#,##0.000;\-#,##0.000"/>
    <numFmt numFmtId="174" formatCode="0.0%"/>
  </numFmts>
  <fonts count="4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3" tint="0.24997711111789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u/>
      <sz val="12"/>
      <name val="Arial"/>
      <family val="2"/>
    </font>
    <font>
      <vertAlign val="superscript"/>
      <sz val="12"/>
      <name val="Arial"/>
      <family val="2"/>
    </font>
    <font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1D35"/>
      <name val="Arial"/>
      <family val="2"/>
    </font>
    <font>
      <sz val="8"/>
      <color theme="1"/>
      <name val="Aptos Narrow"/>
      <family val="2"/>
      <scheme val="minor"/>
    </font>
    <font>
      <sz val="14"/>
      <color theme="1"/>
      <name val="Arial"/>
      <family val="2"/>
    </font>
    <font>
      <u/>
      <vertAlign val="subscript"/>
      <sz val="10"/>
      <name val="Arial"/>
      <family val="2"/>
    </font>
    <font>
      <vertAlign val="subscript"/>
      <sz val="10"/>
      <name val="Arial"/>
      <family val="2"/>
    </font>
    <font>
      <sz val="10"/>
      <name val="Calibri"/>
      <family val="2"/>
    </font>
    <font>
      <vertAlign val="superscript"/>
      <sz val="10"/>
      <color indexed="10"/>
      <name val="Arial"/>
      <family val="2"/>
    </font>
    <font>
      <vertAlign val="subscript"/>
      <sz val="10"/>
      <color indexed="10"/>
      <name val="Arial"/>
      <family val="2"/>
    </font>
    <font>
      <sz val="14"/>
      <name val="Arial"/>
      <family val="2"/>
    </font>
    <font>
      <sz val="12"/>
      <color rgb="FF0070C0"/>
      <name val="Arial"/>
      <family val="2"/>
    </font>
    <font>
      <u/>
      <sz val="11"/>
      <name val="Calibri"/>
      <family val="2"/>
    </font>
    <font>
      <u/>
      <vertAlign val="superscript"/>
      <sz val="11"/>
      <name val="Calibri"/>
      <family val="2"/>
    </font>
    <font>
      <sz val="12"/>
      <name val="Calibri"/>
      <family val="2"/>
    </font>
    <font>
      <vertAlign val="subscript"/>
      <sz val="12"/>
      <name val="Calibri"/>
      <family val="2"/>
    </font>
    <font>
      <sz val="11"/>
      <name val="Arial"/>
      <family val="2"/>
    </font>
    <font>
      <sz val="10"/>
      <color rgb="FF0070C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6" fillId="2" borderId="1" applyNumberFormat="0" applyAlignment="0" applyProtection="0"/>
    <xf numFmtId="9" fontId="5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171" fontId="7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263">
    <xf numFmtId="0" fontId="0" fillId="0" borderId="0" xfId="0"/>
    <xf numFmtId="0" fontId="0" fillId="3" borderId="0" xfId="0" applyFill="1"/>
    <xf numFmtId="0" fontId="8" fillId="3" borderId="0" xfId="0" applyFont="1" applyFill="1"/>
    <xf numFmtId="0" fontId="9" fillId="3" borderId="0" xfId="0" applyFont="1" applyFill="1"/>
    <xf numFmtId="0" fontId="0" fillId="3" borderId="0" xfId="0" applyFill="1" applyAlignment="1">
      <alignment horizontal="right"/>
    </xf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164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165" fontId="0" fillId="3" borderId="0" xfId="0" applyNumberFormat="1" applyFill="1"/>
    <xf numFmtId="164" fontId="0" fillId="3" borderId="0" xfId="0" applyNumberFormat="1" applyFill="1"/>
    <xf numFmtId="2" fontId="0" fillId="3" borderId="2" xfId="0" applyNumberFormat="1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12" fillId="3" borderId="0" xfId="0" applyFont="1" applyFill="1"/>
    <xf numFmtId="0" fontId="13" fillId="3" borderId="0" xfId="0" applyFont="1" applyFill="1"/>
    <xf numFmtId="2" fontId="0" fillId="5" borderId="2" xfId="0" applyNumberFormat="1" applyFill="1" applyBorder="1"/>
    <xf numFmtId="0" fontId="0" fillId="6" borderId="2" xfId="0" applyFill="1" applyBorder="1"/>
    <xf numFmtId="0" fontId="0" fillId="5" borderId="2" xfId="0" applyFill="1" applyBorder="1"/>
    <xf numFmtId="164" fontId="0" fillId="7" borderId="2" xfId="2" applyNumberFormat="1" applyFont="1" applyFill="1" applyBorder="1"/>
    <xf numFmtId="9" fontId="0" fillId="7" borderId="2" xfId="2" applyFont="1" applyFill="1" applyBorder="1"/>
    <xf numFmtId="9" fontId="0" fillId="5" borderId="2" xfId="2" applyFont="1" applyFill="1" applyBorder="1"/>
    <xf numFmtId="1" fontId="0" fillId="3" borderId="2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9" fillId="3" borderId="0" xfId="0" applyFont="1" applyFill="1" applyAlignment="1">
      <alignment horizontal="right"/>
    </xf>
    <xf numFmtId="164" fontId="9" fillId="3" borderId="0" xfId="0" applyNumberFormat="1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right"/>
    </xf>
    <xf numFmtId="2" fontId="0" fillId="6" borderId="2" xfId="0" applyNumberFormat="1" applyFill="1" applyBorder="1" applyAlignment="1">
      <alignment horizontal="center"/>
    </xf>
    <xf numFmtId="166" fontId="0" fillId="3" borderId="0" xfId="0" applyNumberFormat="1" applyFill="1"/>
    <xf numFmtId="0" fontId="0" fillId="6" borderId="2" xfId="2" applyNumberFormat="1" applyFont="1" applyFill="1" applyBorder="1"/>
    <xf numFmtId="9" fontId="0" fillId="3" borderId="0" xfId="0" applyNumberFormat="1" applyFill="1"/>
    <xf numFmtId="2" fontId="0" fillId="3" borderId="0" xfId="0" applyNumberFormat="1" applyFill="1"/>
    <xf numFmtId="1" fontId="0" fillId="5" borderId="2" xfId="0" applyNumberFormat="1" applyFill="1" applyBorder="1"/>
    <xf numFmtId="2" fontId="0" fillId="6" borderId="2" xfId="0" applyNumberFormat="1" applyFill="1" applyBorder="1"/>
    <xf numFmtId="166" fontId="0" fillId="5" borderId="2" xfId="0" applyNumberForma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6" fontId="8" fillId="3" borderId="2" xfId="0" applyNumberFormat="1" applyFont="1" applyFill="1" applyBorder="1"/>
    <xf numFmtId="0" fontId="0" fillId="8" borderId="2" xfId="0" applyFill="1" applyBorder="1" applyAlignment="1">
      <alignment horizontal="center"/>
    </xf>
    <xf numFmtId="166" fontId="9" fillId="3" borderId="0" xfId="0" applyNumberFormat="1" applyFont="1" applyFill="1"/>
    <xf numFmtId="0" fontId="0" fillId="3" borderId="0" xfId="0" applyFill="1" applyAlignment="1">
      <alignment horizontal="center"/>
    </xf>
    <xf numFmtId="166" fontId="0" fillId="5" borderId="2" xfId="0" applyNumberFormat="1" applyFill="1" applyBorder="1"/>
    <xf numFmtId="164" fontId="0" fillId="5" borderId="2" xfId="0" applyNumberFormat="1" applyFill="1" applyBorder="1"/>
    <xf numFmtId="49" fontId="0" fillId="3" borderId="0" xfId="0" applyNumberFormat="1" applyFill="1"/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left"/>
    </xf>
    <xf numFmtId="0" fontId="7" fillId="7" borderId="2" xfId="0" applyFont="1" applyFill="1" applyBorder="1"/>
    <xf numFmtId="2" fontId="0" fillId="9" borderId="2" xfId="0" applyNumberFormat="1" applyFill="1" applyBorder="1"/>
    <xf numFmtId="0" fontId="0" fillId="7" borderId="2" xfId="0" applyFill="1" applyBorder="1"/>
    <xf numFmtId="0" fontId="1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0" fillId="6" borderId="2" xfId="0" applyFill="1" applyBorder="1" applyAlignment="1">
      <alignment horizontal="center"/>
    </xf>
    <xf numFmtId="0" fontId="17" fillId="3" borderId="0" xfId="0" applyFont="1" applyFill="1" applyAlignment="1">
      <alignment horizontal="right"/>
    </xf>
    <xf numFmtId="0" fontId="0" fillId="3" borderId="2" xfId="0" applyFill="1" applyBorder="1"/>
    <xf numFmtId="166" fontId="6" fillId="2" borderId="1" xfId="1" applyNumberFormat="1"/>
    <xf numFmtId="0" fontId="14" fillId="3" borderId="0" xfId="0" applyFont="1" applyFill="1"/>
    <xf numFmtId="0" fontId="6" fillId="2" borderId="1" xfId="1"/>
    <xf numFmtId="2" fontId="6" fillId="2" borderId="1" xfId="1" applyNumberFormat="1"/>
    <xf numFmtId="11" fontId="0" fillId="5" borderId="2" xfId="0" applyNumberFormat="1" applyFill="1" applyBorder="1"/>
    <xf numFmtId="49" fontId="0" fillId="3" borderId="0" xfId="0" applyNumberFormat="1" applyFill="1" applyAlignment="1">
      <alignment horizontal="right"/>
    </xf>
    <xf numFmtId="0" fontId="0" fillId="10" borderId="2" xfId="0" applyFill="1" applyBorder="1"/>
    <xf numFmtId="168" fontId="7" fillId="3" borderId="0" xfId="3" applyNumberFormat="1" applyFill="1" applyBorder="1"/>
    <xf numFmtId="2" fontId="0" fillId="5" borderId="2" xfId="0" applyNumberForma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/>
    <xf numFmtId="0" fontId="7" fillId="3" borderId="0" xfId="0" applyFont="1" applyFill="1" applyAlignment="1">
      <alignment horizontal="center"/>
    </xf>
    <xf numFmtId="164" fontId="0" fillId="7" borderId="2" xfId="4" applyNumberFormat="1" applyFont="1" applyFill="1" applyBorder="1"/>
    <xf numFmtId="9" fontId="0" fillId="7" borderId="2" xfId="4" applyFont="1" applyFill="1" applyBorder="1"/>
    <xf numFmtId="9" fontId="0" fillId="5" borderId="2" xfId="4" applyFont="1" applyFill="1" applyBorder="1"/>
    <xf numFmtId="0" fontId="0" fillId="6" borderId="2" xfId="4" applyNumberFormat="1" applyFont="1" applyFill="1" applyBorder="1"/>
    <xf numFmtId="0" fontId="0" fillId="8" borderId="0" xfId="0" applyFill="1" applyAlignment="1">
      <alignment horizontal="center"/>
    </xf>
    <xf numFmtId="0" fontId="3" fillId="11" borderId="0" xfId="6" applyFill="1"/>
    <xf numFmtId="0" fontId="23" fillId="11" borderId="0" xfId="6" applyFont="1" applyFill="1"/>
    <xf numFmtId="0" fontId="3" fillId="12" borderId="2" xfId="6" applyFill="1" applyBorder="1" applyAlignment="1">
      <alignment horizontal="center" vertical="center"/>
    </xf>
    <xf numFmtId="0" fontId="3" fillId="11" borderId="2" xfId="6" applyFill="1" applyBorder="1" applyAlignment="1">
      <alignment horizontal="center" vertical="center"/>
    </xf>
    <xf numFmtId="0" fontId="3" fillId="11" borderId="2" xfId="6" applyFill="1" applyBorder="1" applyAlignment="1">
      <alignment vertical="center"/>
    </xf>
    <xf numFmtId="0" fontId="25" fillId="13" borderId="2" xfId="6" applyFont="1" applyFill="1" applyBorder="1" applyAlignment="1">
      <alignment horizontal="center" vertical="center"/>
    </xf>
    <xf numFmtId="0" fontId="25" fillId="11" borderId="2" xfId="6" applyFont="1" applyFill="1" applyBorder="1" applyAlignment="1">
      <alignment horizontal="center" vertical="center"/>
    </xf>
    <xf numFmtId="2" fontId="25" fillId="13" borderId="2" xfId="6" applyNumberFormat="1" applyFont="1" applyFill="1" applyBorder="1" applyAlignment="1">
      <alignment horizontal="center" vertical="center"/>
    </xf>
    <xf numFmtId="2" fontId="3" fillId="13" borderId="2" xfId="6" applyNumberFormat="1" applyFill="1" applyBorder="1" applyAlignment="1">
      <alignment horizontal="center" vertical="center"/>
    </xf>
    <xf numFmtId="2" fontId="3" fillId="11" borderId="2" xfId="6" applyNumberFormat="1" applyFill="1" applyBorder="1" applyAlignment="1">
      <alignment horizontal="center" vertical="center"/>
    </xf>
    <xf numFmtId="0" fontId="3" fillId="11" borderId="2" xfId="6" applyFill="1" applyBorder="1" applyAlignment="1">
      <alignment horizontal="center"/>
    </xf>
    <xf numFmtId="49" fontId="3" fillId="11" borderId="0" xfId="6" applyNumberFormat="1" applyFill="1" applyAlignment="1">
      <alignment horizontal="right"/>
    </xf>
    <xf numFmtId="0" fontId="3" fillId="13" borderId="2" xfId="6" applyFill="1" applyBorder="1" applyAlignment="1">
      <alignment horizontal="center"/>
    </xf>
    <xf numFmtId="164" fontId="3" fillId="13" borderId="2" xfId="6" applyNumberFormat="1" applyFill="1" applyBorder="1" applyAlignment="1">
      <alignment horizontal="center"/>
    </xf>
    <xf numFmtId="1" fontId="3" fillId="13" borderId="2" xfId="6" applyNumberFormat="1" applyFill="1" applyBorder="1" applyAlignment="1">
      <alignment horizontal="center"/>
    </xf>
    <xf numFmtId="0" fontId="3" fillId="13" borderId="2" xfId="6" applyFill="1" applyBorder="1" applyAlignment="1">
      <alignment horizontal="center" vertical="center"/>
    </xf>
    <xf numFmtId="0" fontId="26" fillId="11" borderId="0" xfId="6" applyFont="1" applyFill="1" applyAlignment="1">
      <alignment horizontal="right"/>
    </xf>
    <xf numFmtId="0" fontId="27" fillId="11" borderId="0" xfId="6" applyFont="1" applyFill="1"/>
    <xf numFmtId="0" fontId="3" fillId="11" borderId="0" xfId="6" applyFill="1" applyAlignment="1">
      <alignment horizontal="right"/>
    </xf>
    <xf numFmtId="1" fontId="3" fillId="13" borderId="2" xfId="6" applyNumberFormat="1" applyFill="1" applyBorder="1" applyAlignment="1">
      <alignment horizontal="right"/>
    </xf>
    <xf numFmtId="2" fontId="3" fillId="13" borderId="2" xfId="6" applyNumberFormat="1" applyFill="1" applyBorder="1" applyAlignment="1">
      <alignment horizontal="right"/>
    </xf>
    <xf numFmtId="0" fontId="3" fillId="11" borderId="0" xfId="6" applyFill="1" applyAlignment="1">
      <alignment horizontal="left" vertical="center"/>
    </xf>
    <xf numFmtId="0" fontId="26" fillId="11" borderId="0" xfId="6" applyFont="1" applyFill="1"/>
    <xf numFmtId="0" fontId="3" fillId="12" borderId="2" xfId="6" applyFill="1" applyBorder="1" applyAlignment="1">
      <alignment horizontal="right" vertical="center"/>
    </xf>
    <xf numFmtId="170" fontId="3" fillId="13" borderId="2" xfId="6" applyNumberFormat="1" applyFill="1" applyBorder="1" applyAlignment="1">
      <alignment horizontal="right"/>
    </xf>
    <xf numFmtId="165" fontId="23" fillId="13" borderId="2" xfId="6" applyNumberFormat="1" applyFont="1" applyFill="1" applyBorder="1"/>
    <xf numFmtId="2" fontId="3" fillId="12" borderId="2" xfId="6" applyNumberFormat="1" applyFill="1" applyBorder="1" applyAlignment="1">
      <alignment horizontal="right" vertical="center"/>
    </xf>
    <xf numFmtId="165" fontId="3" fillId="11" borderId="0" xfId="6" applyNumberFormat="1" applyFill="1"/>
    <xf numFmtId="165" fontId="3" fillId="13" borderId="2" xfId="6" applyNumberFormat="1" applyFill="1" applyBorder="1" applyAlignment="1">
      <alignment horizontal="right"/>
    </xf>
    <xf numFmtId="0" fontId="3" fillId="11" borderId="0" xfId="6" applyFill="1" applyAlignment="1">
      <alignment horizontal="left"/>
    </xf>
    <xf numFmtId="0" fontId="28" fillId="11" borderId="0" xfId="6" applyFont="1" applyFill="1"/>
    <xf numFmtId="165" fontId="3" fillId="11" borderId="2" xfId="6" applyNumberFormat="1" applyFill="1" applyBorder="1"/>
    <xf numFmtId="2" fontId="3" fillId="11" borderId="2" xfId="6" applyNumberFormat="1" applyFill="1" applyBorder="1"/>
    <xf numFmtId="0" fontId="3" fillId="11" borderId="2" xfId="6" applyFill="1" applyBorder="1"/>
    <xf numFmtId="166" fontId="3" fillId="11" borderId="2" xfId="6" applyNumberFormat="1" applyFill="1" applyBorder="1"/>
    <xf numFmtId="0" fontId="25" fillId="11" borderId="0" xfId="6" applyFont="1" applyFill="1"/>
    <xf numFmtId="0" fontId="3" fillId="11" borderId="0" xfId="6" applyFill="1" applyAlignment="1">
      <alignment horizontal="center"/>
    </xf>
    <xf numFmtId="2" fontId="3" fillId="11" borderId="0" xfId="6" applyNumberFormat="1" applyFill="1"/>
    <xf numFmtId="0" fontId="0" fillId="11" borderId="0" xfId="0" applyFill="1"/>
    <xf numFmtId="0" fontId="24" fillId="0" borderId="2" xfId="0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166" fontId="0" fillId="0" borderId="0" xfId="0" applyNumberFormat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11" borderId="0" xfId="0" applyFill="1" applyAlignment="1">
      <alignment horizontal="right" indent="1"/>
    </xf>
    <xf numFmtId="0" fontId="7" fillId="3" borderId="0" xfId="0" applyFont="1" applyFill="1" applyAlignment="1">
      <alignment horizontal="left" indent="1"/>
    </xf>
    <xf numFmtId="0" fontId="0" fillId="3" borderId="2" xfId="0" applyFill="1" applyBorder="1" applyAlignment="1">
      <alignment horizontal="left" indent="1"/>
    </xf>
    <xf numFmtId="0" fontId="0" fillId="3" borderId="0" xfId="0" applyFill="1" applyAlignment="1">
      <alignment horizontal="right" indent="1"/>
    </xf>
    <xf numFmtId="166" fontId="0" fillId="5" borderId="2" xfId="0" applyNumberFormat="1" applyFill="1" applyBorder="1" applyAlignment="1">
      <alignment horizontal="left" indent="1"/>
    </xf>
    <xf numFmtId="0" fontId="0" fillId="11" borderId="0" xfId="0" applyFill="1" applyAlignment="1">
      <alignment horizontal="center"/>
    </xf>
    <xf numFmtId="0" fontId="0" fillId="0" borderId="2" xfId="0" applyBorder="1"/>
    <xf numFmtId="0" fontId="0" fillId="9" borderId="2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5" xfId="0" applyFill="1" applyBorder="1"/>
    <xf numFmtId="168" fontId="7" fillId="3" borderId="0" xfId="7" applyNumberFormat="1" applyFill="1" applyBorder="1"/>
    <xf numFmtId="164" fontId="0" fillId="6" borderId="2" xfId="0" applyNumberFormat="1" applyFill="1" applyBorder="1"/>
    <xf numFmtId="0" fontId="0" fillId="5" borderId="8" xfId="0" applyFill="1" applyBorder="1"/>
    <xf numFmtId="0" fontId="0" fillId="0" borderId="4" xfId="0" applyBorder="1"/>
    <xf numFmtId="166" fontId="0" fillId="5" borderId="9" xfId="0" applyNumberFormat="1" applyFill="1" applyBorder="1"/>
    <xf numFmtId="166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65" fontId="0" fillId="5" borderId="2" xfId="0" applyNumberFormat="1" applyFill="1" applyBorder="1"/>
    <xf numFmtId="170" fontId="0" fillId="3" borderId="2" xfId="0" applyNumberFormat="1" applyFill="1" applyBorder="1" applyAlignment="1">
      <alignment horizontal="center"/>
    </xf>
    <xf numFmtId="170" fontId="0" fillId="6" borderId="2" xfId="0" applyNumberFormat="1" applyFill="1" applyBorder="1"/>
    <xf numFmtId="11" fontId="0" fillId="6" borderId="2" xfId="0" applyNumberFormat="1" applyFill="1" applyBorder="1"/>
    <xf numFmtId="166" fontId="0" fillId="5" borderId="8" xfId="0" applyNumberFormat="1" applyFill="1" applyBorder="1"/>
    <xf numFmtId="11" fontId="0" fillId="0" borderId="0" xfId="0" applyNumberFormat="1"/>
    <xf numFmtId="166" fontId="0" fillId="0" borderId="6" xfId="0" applyNumberFormat="1" applyBorder="1"/>
    <xf numFmtId="166" fontId="0" fillId="0" borderId="7" xfId="0" applyNumberFormat="1" applyBorder="1"/>
    <xf numFmtId="1" fontId="0" fillId="3" borderId="0" xfId="0" applyNumberFormat="1" applyFill="1"/>
    <xf numFmtId="2" fontId="0" fillId="11" borderId="0" xfId="0" applyNumberFormat="1" applyFill="1" applyAlignment="1">
      <alignment horizontal="center"/>
    </xf>
    <xf numFmtId="0" fontId="0" fillId="0" borderId="0" xfId="0" applyAlignment="1">
      <alignment vertical="center" wrapText="1"/>
    </xf>
    <xf numFmtId="0" fontId="0" fillId="11" borderId="0" xfId="0" applyFill="1" applyAlignment="1">
      <alignment horizontal="left"/>
    </xf>
    <xf numFmtId="0" fontId="0" fillId="6" borderId="2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/>
    </xf>
    <xf numFmtId="0" fontId="24" fillId="11" borderId="2" xfId="0" applyFont="1" applyFill="1" applyBorder="1" applyAlignment="1">
      <alignment horizontal="left"/>
    </xf>
    <xf numFmtId="0" fontId="24" fillId="11" borderId="0" xfId="0" applyFont="1" applyFill="1" applyAlignment="1">
      <alignment horizontal="center"/>
    </xf>
    <xf numFmtId="0" fontId="17" fillId="5" borderId="2" xfId="0" applyFont="1" applyFill="1" applyBorder="1"/>
    <xf numFmtId="0" fontId="17" fillId="3" borderId="0" xfId="0" applyFont="1" applyFill="1"/>
    <xf numFmtId="0" fontId="17" fillId="6" borderId="2" xfId="0" applyFont="1" applyFill="1" applyBorder="1"/>
    <xf numFmtId="0" fontId="0" fillId="0" borderId="0" xfId="0" applyAlignment="1">
      <alignment horizontal="right"/>
    </xf>
    <xf numFmtId="0" fontId="20" fillId="3" borderId="0" xfId="8" applyFont="1" applyFill="1"/>
    <xf numFmtId="0" fontId="7" fillId="11" borderId="0" xfId="8" applyFill="1"/>
    <xf numFmtId="0" fontId="8" fillId="11" borderId="0" xfId="8" applyFont="1" applyFill="1"/>
    <xf numFmtId="0" fontId="36" fillId="11" borderId="0" xfId="8" applyFont="1" applyFill="1"/>
    <xf numFmtId="0" fontId="7" fillId="3" borderId="0" xfId="8" applyFill="1"/>
    <xf numFmtId="0" fontId="20" fillId="0" borderId="0" xfId="8" applyFont="1"/>
    <xf numFmtId="0" fontId="9" fillId="11" borderId="0" xfId="8" applyFont="1" applyFill="1"/>
    <xf numFmtId="0" fontId="20" fillId="3" borderId="2" xfId="8" applyFont="1" applyFill="1" applyBorder="1"/>
    <xf numFmtId="0" fontId="20" fillId="6" borderId="2" xfId="8" applyFont="1" applyFill="1" applyBorder="1"/>
    <xf numFmtId="166" fontId="20" fillId="5" borderId="2" xfId="8" applyNumberFormat="1" applyFont="1" applyFill="1" applyBorder="1"/>
    <xf numFmtId="9" fontId="20" fillId="6" borderId="2" xfId="8" applyNumberFormat="1" applyFont="1" applyFill="1" applyBorder="1"/>
    <xf numFmtId="0" fontId="7" fillId="11" borderId="0" xfId="8" applyFill="1" applyAlignment="1">
      <alignment horizontal="right"/>
    </xf>
    <xf numFmtId="0" fontId="7" fillId="15" borderId="2" xfId="8" applyFill="1" applyBorder="1"/>
    <xf numFmtId="1" fontId="20" fillId="5" borderId="2" xfId="5" applyNumberFormat="1" applyFont="1" applyFill="1" applyBorder="1"/>
    <xf numFmtId="166" fontId="20" fillId="3" borderId="0" xfId="8" applyNumberFormat="1" applyFont="1" applyFill="1"/>
    <xf numFmtId="166" fontId="20" fillId="6" borderId="2" xfId="8" applyNumberFormat="1" applyFont="1" applyFill="1" applyBorder="1"/>
    <xf numFmtId="0" fontId="20" fillId="3" borderId="2" xfId="8" applyFont="1" applyFill="1" applyBorder="1" applyAlignment="1">
      <alignment wrapText="1"/>
    </xf>
    <xf numFmtId="2" fontId="20" fillId="5" borderId="2" xfId="8" applyNumberFormat="1" applyFont="1" applyFill="1" applyBorder="1"/>
    <xf numFmtId="2" fontId="7" fillId="16" borderId="2" xfId="8" applyNumberFormat="1" applyFill="1" applyBorder="1"/>
    <xf numFmtId="9" fontId="7" fillId="15" borderId="2" xfId="5" applyFont="1" applyFill="1" applyBorder="1"/>
    <xf numFmtId="164" fontId="20" fillId="5" borderId="2" xfId="8" applyNumberFormat="1" applyFont="1" applyFill="1" applyBorder="1"/>
    <xf numFmtId="2" fontId="37" fillId="3" borderId="0" xfId="8" applyNumberFormat="1" applyFont="1" applyFill="1"/>
    <xf numFmtId="0" fontId="7" fillId="0" borderId="0" xfId="8" applyAlignment="1">
      <alignment horizontal="right"/>
    </xf>
    <xf numFmtId="2" fontId="20" fillId="3" borderId="0" xfId="8" applyNumberFormat="1" applyFont="1" applyFill="1"/>
    <xf numFmtId="2" fontId="20" fillId="6" borderId="2" xfId="8" applyNumberFormat="1" applyFont="1" applyFill="1" applyBorder="1"/>
    <xf numFmtId="49" fontId="7" fillId="0" borderId="0" xfId="8" applyNumberFormat="1"/>
    <xf numFmtId="2" fontId="7" fillId="11" borderId="0" xfId="8" applyNumberFormat="1" applyFill="1" applyAlignment="1">
      <alignment horizontal="right"/>
    </xf>
    <xf numFmtId="0" fontId="20" fillId="5" borderId="2" xfId="8" applyFont="1" applyFill="1" applyBorder="1"/>
    <xf numFmtId="0" fontId="20" fillId="3" borderId="0" xfId="8" applyFont="1" applyFill="1" applyAlignment="1">
      <alignment horizontal="right"/>
    </xf>
    <xf numFmtId="0" fontId="20" fillId="11" borderId="0" xfId="8" applyFont="1" applyFill="1" applyAlignment="1">
      <alignment horizontal="right"/>
    </xf>
    <xf numFmtId="0" fontId="20" fillId="11" borderId="0" xfId="8" applyFont="1" applyFill="1"/>
    <xf numFmtId="0" fontId="7" fillId="3" borderId="0" xfId="8" applyFill="1" applyAlignment="1">
      <alignment horizontal="right"/>
    </xf>
    <xf numFmtId="0" fontId="7" fillId="3" borderId="2" xfId="8" applyFill="1" applyBorder="1"/>
    <xf numFmtId="0" fontId="17" fillId="5" borderId="2" xfId="8" applyFont="1" applyFill="1" applyBorder="1"/>
    <xf numFmtId="0" fontId="17" fillId="3" borderId="2" xfId="8" applyFont="1" applyFill="1" applyBorder="1"/>
    <xf numFmtId="0" fontId="7" fillId="11" borderId="0" xfId="8" applyFill="1" applyAlignment="1">
      <alignment horizontal="left"/>
    </xf>
    <xf numFmtId="0" fontId="7" fillId="11" borderId="0" xfId="8" applyFill="1" applyAlignment="1">
      <alignment horizontal="center"/>
    </xf>
    <xf numFmtId="10" fontId="7" fillId="11" borderId="2" xfId="8" applyNumberFormat="1" applyFill="1" applyBorder="1" applyAlignment="1">
      <alignment horizontal="center"/>
    </xf>
    <xf numFmtId="164" fontId="7" fillId="16" borderId="2" xfId="8" applyNumberFormat="1" applyFill="1" applyBorder="1"/>
    <xf numFmtId="166" fontId="7" fillId="11" borderId="0" xfId="8" applyNumberFormat="1" applyFill="1"/>
    <xf numFmtId="1" fontId="7" fillId="16" borderId="2" xfId="8" applyNumberFormat="1" applyFill="1" applyBorder="1"/>
    <xf numFmtId="172" fontId="7" fillId="16" borderId="2" xfId="5" applyNumberFormat="1" applyFont="1" applyFill="1" applyBorder="1"/>
    <xf numFmtId="0" fontId="42" fillId="11" borderId="0" xfId="8" applyFont="1" applyFill="1"/>
    <xf numFmtId="166" fontId="42" fillId="16" borderId="2" xfId="8" applyNumberFormat="1" applyFont="1" applyFill="1" applyBorder="1"/>
    <xf numFmtId="0" fontId="0" fillId="3" borderId="0" xfId="8" applyFont="1" applyFill="1"/>
    <xf numFmtId="0" fontId="7" fillId="0" borderId="0" xfId="8"/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0" fillId="11" borderId="5" xfId="0" applyFill="1" applyBorder="1"/>
    <xf numFmtId="0" fontId="0" fillId="11" borderId="0" xfId="0" applyFill="1" applyAlignment="1">
      <alignment horizontal="center" vertical="center" wrapText="1"/>
    </xf>
    <xf numFmtId="0" fontId="43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6" fontId="0" fillId="3" borderId="2" xfId="0" applyNumberFormat="1" applyFill="1" applyBorder="1"/>
    <xf numFmtId="2" fontId="0" fillId="3" borderId="2" xfId="0" applyNumberFormat="1" applyFill="1" applyBorder="1"/>
    <xf numFmtId="2" fontId="43" fillId="3" borderId="2" xfId="0" applyNumberFormat="1" applyFont="1" applyFill="1" applyBorder="1" applyAlignment="1">
      <alignment horizontal="center"/>
    </xf>
    <xf numFmtId="164" fontId="0" fillId="7" borderId="2" xfId="9" applyNumberFormat="1" applyFont="1" applyFill="1" applyBorder="1"/>
    <xf numFmtId="9" fontId="0" fillId="7" borderId="2" xfId="9" applyFont="1" applyFill="1" applyBorder="1"/>
    <xf numFmtId="9" fontId="0" fillId="5" borderId="2" xfId="9" applyFont="1" applyFill="1" applyBorder="1"/>
    <xf numFmtId="166" fontId="43" fillId="3" borderId="2" xfId="0" applyNumberFormat="1" applyFont="1" applyFill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165" fontId="17" fillId="3" borderId="0" xfId="0" applyNumberFormat="1" applyFont="1" applyFill="1"/>
    <xf numFmtId="164" fontId="17" fillId="3" borderId="0" xfId="0" applyNumberFormat="1" applyFont="1" applyFill="1"/>
    <xf numFmtId="164" fontId="17" fillId="4" borderId="2" xfId="0" applyNumberFormat="1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17" fillId="3" borderId="2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166" fontId="17" fillId="3" borderId="2" xfId="0" applyNumberFormat="1" applyFont="1" applyFill="1" applyBorder="1"/>
    <xf numFmtId="2" fontId="17" fillId="3" borderId="2" xfId="0" applyNumberFormat="1" applyFont="1" applyFill="1" applyBorder="1"/>
    <xf numFmtId="1" fontId="17" fillId="3" borderId="2" xfId="0" applyNumberFormat="1" applyFont="1" applyFill="1" applyBorder="1" applyAlignment="1">
      <alignment horizontal="center"/>
    </xf>
    <xf numFmtId="2" fontId="0" fillId="18" borderId="2" xfId="0" applyNumberFormat="1" applyFill="1" applyBorder="1"/>
    <xf numFmtId="9" fontId="0" fillId="6" borderId="2" xfId="0" applyNumberFormat="1" applyFill="1" applyBorder="1"/>
    <xf numFmtId="166" fontId="0" fillId="6" borderId="2" xfId="0" applyNumberFormat="1" applyFill="1" applyBorder="1" applyAlignment="1">
      <alignment horizontal="right"/>
    </xf>
    <xf numFmtId="173" fontId="0" fillId="5" borderId="2" xfId="0" applyNumberFormat="1" applyFill="1" applyBorder="1"/>
    <xf numFmtId="0" fontId="0" fillId="16" borderId="2" xfId="0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174" fontId="7" fillId="15" borderId="2" xfId="5" applyNumberFormat="1" applyFont="1" applyFill="1" applyBorder="1"/>
    <xf numFmtId="0" fontId="0" fillId="6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7" fillId="3" borderId="7" xfId="8" applyFill="1" applyBorder="1" applyAlignment="1">
      <alignment horizontal="center"/>
    </xf>
    <xf numFmtId="0" fontId="3" fillId="11" borderId="2" xfId="6" applyFill="1" applyBorder="1" applyAlignment="1">
      <alignment horizontal="left" vertical="center"/>
    </xf>
    <xf numFmtId="0" fontId="2" fillId="11" borderId="2" xfId="6" applyFont="1" applyFill="1" applyBorder="1" applyAlignment="1">
      <alignment horizontal="left" vertical="center"/>
    </xf>
    <xf numFmtId="0" fontId="3" fillId="11" borderId="2" xfId="6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left" indent="1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0" xfId="0" applyFill="1" applyAlignment="1">
      <alignment horizontal="center"/>
    </xf>
    <xf numFmtId="0" fontId="0" fillId="11" borderId="2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</cellXfs>
  <cellStyles count="10">
    <cellStyle name="Cálculo" xfId="1" builtinId="22"/>
    <cellStyle name="Normal" xfId="0" builtinId="0"/>
    <cellStyle name="Normal 2" xfId="6" xr:uid="{21E93878-FA55-413B-9A22-2B978B02FCEE}"/>
    <cellStyle name="Normal 2 2" xfId="8" xr:uid="{C212E9E1-377D-4065-98FA-99D2D74D9684}"/>
    <cellStyle name="Porcentagem" xfId="5" builtinId="5"/>
    <cellStyle name="Porcentagem 2" xfId="2" xr:uid="{50C9D2DD-7C6A-49A5-87C2-0AA39BC7E7CF}"/>
    <cellStyle name="Porcentagem 2 2" xfId="4" xr:uid="{13D4DBC5-5BC8-4724-A171-A8659DD13289}"/>
    <cellStyle name="Porcentagem 2 3" xfId="9" xr:uid="{5CE4C3A0-73B2-4914-8EF7-DF0362F3AD34}"/>
    <cellStyle name="Separador de milhares_Memorial EL2 Cargill" xfId="3" xr:uid="{B4C4A080-18BD-4654-A5B2-E4DBDF6E7F19}"/>
    <cellStyle name="Vírgula 2" xfId="7" xr:uid="{C03205D8-5B3A-4201-8231-A9E7C8ACDB4C}"/>
  </cellStyles>
  <dxfs count="5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261</xdr:row>
      <xdr:rowOff>152400</xdr:rowOff>
    </xdr:from>
    <xdr:to>
      <xdr:col>1</xdr:col>
      <xdr:colOff>342900</xdr:colOff>
      <xdr:row>263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2015896-2C14-4EC6-B18D-73C146C5F6D6}"/>
            </a:ext>
          </a:extLst>
        </xdr:cNvPr>
        <xdr:cNvSpPr>
          <a:spLocks noChangeShapeType="1"/>
        </xdr:cNvSpPr>
      </xdr:nvSpPr>
      <xdr:spPr bwMode="auto">
        <a:xfrm>
          <a:off x="838200" y="43100625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1</xdr:col>
      <xdr:colOff>342900</xdr:colOff>
      <xdr:row>263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A9E7E7A4-9BD3-4D09-967B-C494EB02AD81}"/>
            </a:ext>
          </a:extLst>
        </xdr:cNvPr>
        <xdr:cNvSpPr>
          <a:spLocks noChangeShapeType="1"/>
        </xdr:cNvSpPr>
      </xdr:nvSpPr>
      <xdr:spPr bwMode="auto">
        <a:xfrm flipV="1">
          <a:off x="952500" y="42900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3</xdr:col>
      <xdr:colOff>57150</xdr:colOff>
      <xdr:row>260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214707D-CE9F-41F2-AA4D-A8479C703222}"/>
            </a:ext>
          </a:extLst>
        </xdr:cNvPr>
        <xdr:cNvSpPr>
          <a:spLocks noChangeShapeType="1"/>
        </xdr:cNvSpPr>
      </xdr:nvSpPr>
      <xdr:spPr bwMode="auto">
        <a:xfrm>
          <a:off x="952500" y="42900600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104775</xdr:rowOff>
    </xdr:from>
    <xdr:to>
      <xdr:col>2</xdr:col>
      <xdr:colOff>352425</xdr:colOff>
      <xdr:row>250</xdr:row>
      <xdr:rowOff>104775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D5A58F43-9986-4F9D-ADD3-9A2C7D809A9C}"/>
            </a:ext>
          </a:extLst>
        </xdr:cNvPr>
        <xdr:cNvSpPr>
          <a:spLocks noChangeShapeType="1"/>
        </xdr:cNvSpPr>
      </xdr:nvSpPr>
      <xdr:spPr bwMode="auto">
        <a:xfrm>
          <a:off x="952500" y="412146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1</xdr:col>
      <xdr:colOff>457200</xdr:colOff>
      <xdr:row>248</xdr:row>
      <xdr:rowOff>209550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258F4EB-47C0-4D80-8761-201AAC6453F3}"/>
            </a:ext>
          </a:extLst>
        </xdr:cNvPr>
        <xdr:cNvSpPr>
          <a:spLocks noChangeShapeType="1"/>
        </xdr:cNvSpPr>
      </xdr:nvSpPr>
      <xdr:spPr bwMode="auto">
        <a:xfrm flipV="1">
          <a:off x="1066800" y="407289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3</xdr:col>
      <xdr:colOff>476250</xdr:colOff>
      <xdr:row>248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26CC4034-D58E-44E5-AC7E-3142873752B6}"/>
            </a:ext>
          </a:extLst>
        </xdr:cNvPr>
        <xdr:cNvSpPr>
          <a:spLocks noChangeShapeType="1"/>
        </xdr:cNvSpPr>
      </xdr:nvSpPr>
      <xdr:spPr bwMode="auto">
        <a:xfrm flipV="1">
          <a:off x="1066800" y="40728900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261</xdr:row>
      <xdr:rowOff>152400</xdr:rowOff>
    </xdr:from>
    <xdr:to>
      <xdr:col>1</xdr:col>
      <xdr:colOff>342900</xdr:colOff>
      <xdr:row>263</xdr:row>
      <xdr:rowOff>28575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764D4D7-546D-4BAB-860F-224D9D55781B}"/>
            </a:ext>
          </a:extLst>
        </xdr:cNvPr>
        <xdr:cNvSpPr>
          <a:spLocks noChangeShapeType="1"/>
        </xdr:cNvSpPr>
      </xdr:nvSpPr>
      <xdr:spPr bwMode="auto">
        <a:xfrm>
          <a:off x="838200" y="43100625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1</xdr:col>
      <xdr:colOff>342900</xdr:colOff>
      <xdr:row>263</xdr:row>
      <xdr:rowOff>28575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11129F81-B1D1-4768-82BC-B51B21FEC0C7}"/>
            </a:ext>
          </a:extLst>
        </xdr:cNvPr>
        <xdr:cNvSpPr>
          <a:spLocks noChangeShapeType="1"/>
        </xdr:cNvSpPr>
      </xdr:nvSpPr>
      <xdr:spPr bwMode="auto">
        <a:xfrm flipV="1">
          <a:off x="952500" y="42900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3</xdr:col>
      <xdr:colOff>57150</xdr:colOff>
      <xdr:row>260</xdr:row>
      <xdr:rowOff>114300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7D1BD7-443C-47AB-9AA1-C38D8EB6BB48}"/>
            </a:ext>
          </a:extLst>
        </xdr:cNvPr>
        <xdr:cNvSpPr>
          <a:spLocks noChangeShapeType="1"/>
        </xdr:cNvSpPr>
      </xdr:nvSpPr>
      <xdr:spPr bwMode="auto">
        <a:xfrm>
          <a:off x="952500" y="42900600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252</xdr:row>
      <xdr:rowOff>0</xdr:rowOff>
    </xdr:from>
    <xdr:to>
      <xdr:col>1</xdr:col>
      <xdr:colOff>342900</xdr:colOff>
      <xdr:row>252</xdr:row>
      <xdr:rowOff>123825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9AEA9562-6C03-4901-8AB0-75D1F4464F62}"/>
            </a:ext>
          </a:extLst>
        </xdr:cNvPr>
        <xdr:cNvSpPr>
          <a:spLocks noChangeShapeType="1"/>
        </xdr:cNvSpPr>
      </xdr:nvSpPr>
      <xdr:spPr bwMode="auto">
        <a:xfrm>
          <a:off x="838200" y="41462325"/>
          <a:ext cx="114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114300</xdr:rowOff>
    </xdr:from>
    <xdr:to>
      <xdr:col>1</xdr:col>
      <xdr:colOff>342900</xdr:colOff>
      <xdr:row>252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D46C43E9-7DB5-4C97-B048-551CCE334C28}"/>
            </a:ext>
          </a:extLst>
        </xdr:cNvPr>
        <xdr:cNvSpPr>
          <a:spLocks noChangeShapeType="1"/>
        </xdr:cNvSpPr>
      </xdr:nvSpPr>
      <xdr:spPr bwMode="auto">
        <a:xfrm flipV="1">
          <a:off x="952500" y="41224200"/>
          <a:ext cx="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104775</xdr:rowOff>
    </xdr:from>
    <xdr:to>
      <xdr:col>2</xdr:col>
      <xdr:colOff>352425</xdr:colOff>
      <xdr:row>250</xdr:row>
      <xdr:rowOff>104775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A8D9BDB5-F2A3-4C21-B5C7-449FCC3C66CD}"/>
            </a:ext>
          </a:extLst>
        </xdr:cNvPr>
        <xdr:cNvSpPr>
          <a:spLocks noChangeShapeType="1"/>
        </xdr:cNvSpPr>
      </xdr:nvSpPr>
      <xdr:spPr bwMode="auto">
        <a:xfrm>
          <a:off x="952500" y="412146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248</xdr:row>
      <xdr:rowOff>66675</xdr:rowOff>
    </xdr:from>
    <xdr:to>
      <xdr:col>1</xdr:col>
      <xdr:colOff>457200</xdr:colOff>
      <xdr:row>248</xdr:row>
      <xdr:rowOff>219075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8F01F176-9342-4DF3-83A1-FC06956DFD8C}"/>
            </a:ext>
          </a:extLst>
        </xdr:cNvPr>
        <xdr:cNvSpPr>
          <a:spLocks noChangeShapeType="1"/>
        </xdr:cNvSpPr>
      </xdr:nvSpPr>
      <xdr:spPr bwMode="auto">
        <a:xfrm>
          <a:off x="1009650" y="40786050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1</xdr:col>
      <xdr:colOff>457200</xdr:colOff>
      <xdr:row>248</xdr:row>
      <xdr:rowOff>209550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92796511-6BB9-48A8-8E01-CE3E7693E7E7}"/>
            </a:ext>
          </a:extLst>
        </xdr:cNvPr>
        <xdr:cNvSpPr>
          <a:spLocks noChangeShapeType="1"/>
        </xdr:cNvSpPr>
      </xdr:nvSpPr>
      <xdr:spPr bwMode="auto">
        <a:xfrm flipV="1">
          <a:off x="1066800" y="407289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3</xdr:col>
      <xdr:colOff>476250</xdr:colOff>
      <xdr:row>248</xdr:row>
      <xdr:rowOff>9525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17891928-1F72-4965-8561-A85EDCCD865B}"/>
            </a:ext>
          </a:extLst>
        </xdr:cNvPr>
        <xdr:cNvSpPr>
          <a:spLocks noChangeShapeType="1"/>
        </xdr:cNvSpPr>
      </xdr:nvSpPr>
      <xdr:spPr bwMode="auto">
        <a:xfrm flipV="1">
          <a:off x="1066800" y="40728900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448</xdr:row>
      <xdr:rowOff>123825</xdr:rowOff>
    </xdr:from>
    <xdr:to>
      <xdr:col>3</xdr:col>
      <xdr:colOff>409575</xdr:colOff>
      <xdr:row>451</xdr:row>
      <xdr:rowOff>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18D5E009-7652-4C67-AD2E-DD6DBC19591F}"/>
            </a:ext>
          </a:extLst>
        </xdr:cNvPr>
        <xdr:cNvSpPr>
          <a:spLocks noChangeArrowheads="1"/>
        </xdr:cNvSpPr>
      </xdr:nvSpPr>
      <xdr:spPr bwMode="auto">
        <a:xfrm>
          <a:off x="2066925" y="737901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454</xdr:row>
      <xdr:rowOff>76200</xdr:rowOff>
    </xdr:from>
    <xdr:to>
      <xdr:col>2</xdr:col>
      <xdr:colOff>0</xdr:colOff>
      <xdr:row>455</xdr:row>
      <xdr:rowOff>142875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D07E5EBE-C6F5-496A-936F-6E169FDE53BE}"/>
            </a:ext>
          </a:extLst>
        </xdr:cNvPr>
        <xdr:cNvSpPr>
          <a:spLocks noChangeShapeType="1"/>
        </xdr:cNvSpPr>
      </xdr:nvSpPr>
      <xdr:spPr bwMode="auto">
        <a:xfrm>
          <a:off x="1104900" y="74714100"/>
          <a:ext cx="20002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2</xdr:col>
      <xdr:colOff>0</xdr:colOff>
      <xdr:row>455</xdr:row>
      <xdr:rowOff>142875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B8E51615-3359-4F0E-B0D6-CC88EB7D98F9}"/>
            </a:ext>
          </a:extLst>
        </xdr:cNvPr>
        <xdr:cNvSpPr>
          <a:spLocks noChangeShapeType="1"/>
        </xdr:cNvSpPr>
      </xdr:nvSpPr>
      <xdr:spPr bwMode="auto">
        <a:xfrm flipV="1">
          <a:off x="1304925" y="745140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3</xdr:col>
      <xdr:colOff>209550</xdr:colOff>
      <xdr:row>453</xdr:row>
      <xdr:rowOff>38100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DB64337E-BC6F-4293-A701-633573122E10}"/>
            </a:ext>
          </a:extLst>
        </xdr:cNvPr>
        <xdr:cNvSpPr>
          <a:spLocks noChangeShapeType="1"/>
        </xdr:cNvSpPr>
      </xdr:nvSpPr>
      <xdr:spPr bwMode="auto">
        <a:xfrm>
          <a:off x="1304925" y="74514075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448</xdr:row>
      <xdr:rowOff>123825</xdr:rowOff>
    </xdr:from>
    <xdr:to>
      <xdr:col>3</xdr:col>
      <xdr:colOff>409575</xdr:colOff>
      <xdr:row>451</xdr:row>
      <xdr:rowOff>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B2031427-1D05-4377-BB95-9DC88C2781CC}"/>
            </a:ext>
          </a:extLst>
        </xdr:cNvPr>
        <xdr:cNvSpPr>
          <a:spLocks noChangeArrowheads="1"/>
        </xdr:cNvSpPr>
      </xdr:nvSpPr>
      <xdr:spPr bwMode="auto">
        <a:xfrm>
          <a:off x="2066925" y="737901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454</xdr:row>
      <xdr:rowOff>76200</xdr:rowOff>
    </xdr:from>
    <xdr:to>
      <xdr:col>2</xdr:col>
      <xdr:colOff>0</xdr:colOff>
      <xdr:row>455</xdr:row>
      <xdr:rowOff>142875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396ADAE-B84C-4D93-9F20-ECBE025B73DB}"/>
            </a:ext>
          </a:extLst>
        </xdr:cNvPr>
        <xdr:cNvSpPr>
          <a:spLocks noChangeShapeType="1"/>
        </xdr:cNvSpPr>
      </xdr:nvSpPr>
      <xdr:spPr bwMode="auto">
        <a:xfrm>
          <a:off x="1104900" y="74714100"/>
          <a:ext cx="20002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2</xdr:col>
      <xdr:colOff>0</xdr:colOff>
      <xdr:row>455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F07008D-617E-4846-A08B-CB6231DEC086}"/>
            </a:ext>
          </a:extLst>
        </xdr:cNvPr>
        <xdr:cNvSpPr>
          <a:spLocks noChangeShapeType="1"/>
        </xdr:cNvSpPr>
      </xdr:nvSpPr>
      <xdr:spPr bwMode="auto">
        <a:xfrm flipV="1">
          <a:off x="1304925" y="745140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3</xdr:col>
      <xdr:colOff>209550</xdr:colOff>
      <xdr:row>453</xdr:row>
      <xdr:rowOff>38100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BBBDC75A-4B8F-4CEE-BFB5-979809CEDB6A}"/>
            </a:ext>
          </a:extLst>
        </xdr:cNvPr>
        <xdr:cNvSpPr>
          <a:spLocks noChangeShapeType="1"/>
        </xdr:cNvSpPr>
      </xdr:nvSpPr>
      <xdr:spPr bwMode="auto">
        <a:xfrm>
          <a:off x="1304925" y="74514075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462</xdr:row>
      <xdr:rowOff>0</xdr:rowOff>
    </xdr:from>
    <xdr:to>
      <xdr:col>1</xdr:col>
      <xdr:colOff>323850</xdr:colOff>
      <xdr:row>462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CD632CB-0A55-4481-B06A-1827DCCDD962}"/>
            </a:ext>
          </a:extLst>
        </xdr:cNvPr>
        <xdr:cNvSpPr>
          <a:spLocks noChangeShapeType="1"/>
        </xdr:cNvSpPr>
      </xdr:nvSpPr>
      <xdr:spPr bwMode="auto">
        <a:xfrm flipV="1">
          <a:off x="933450" y="75933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462</xdr:row>
      <xdr:rowOff>0</xdr:rowOff>
    </xdr:from>
    <xdr:to>
      <xdr:col>1</xdr:col>
      <xdr:colOff>323850</xdr:colOff>
      <xdr:row>462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E762477F-3748-4D50-8C46-A4275C0B0F18}"/>
            </a:ext>
          </a:extLst>
        </xdr:cNvPr>
        <xdr:cNvSpPr>
          <a:spLocks noChangeShapeType="1"/>
        </xdr:cNvSpPr>
      </xdr:nvSpPr>
      <xdr:spPr bwMode="auto">
        <a:xfrm flipV="1">
          <a:off x="933450" y="759333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251460</xdr:colOff>
      <xdr:row>68</xdr:row>
      <xdr:rowOff>104775</xdr:rowOff>
    </xdr:from>
    <xdr:to>
      <xdr:col>6</xdr:col>
      <xdr:colOff>38056</xdr:colOff>
      <xdr:row>70</xdr:row>
      <xdr:rowOff>57150</xdr:rowOff>
    </xdr:to>
    <xdr:sp macro="" textlink="">
      <xdr:nvSpPr>
        <xdr:cNvPr id="27" name="AutoShape 28">
          <a:extLst>
            <a:ext uri="{FF2B5EF4-FFF2-40B4-BE49-F238E27FC236}">
              <a16:creationId xmlns:a16="http://schemas.microsoft.com/office/drawing/2014/main" id="{E6C92469-8A03-41BE-9E06-B9860770D0E6}"/>
            </a:ext>
          </a:extLst>
        </xdr:cNvPr>
        <xdr:cNvSpPr>
          <a:spLocks noChangeArrowheads="1"/>
        </xdr:cNvSpPr>
      </xdr:nvSpPr>
      <xdr:spPr bwMode="auto">
        <a:xfrm>
          <a:off x="2213610" y="11620500"/>
          <a:ext cx="1691596" cy="276225"/>
        </a:xfrm>
        <a:prstGeom prst="wedgeRectCallout">
          <a:avLst>
            <a:gd name="adj1" fmla="val -89884"/>
            <a:gd name="adj2" fmla="val 6724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altura de centro a centro</a:t>
          </a:r>
        </a:p>
      </xdr:txBody>
    </xdr:sp>
    <xdr:clientData/>
  </xdr:twoCellAnchor>
  <xdr:twoCellAnchor>
    <xdr:from>
      <xdr:col>3</xdr:col>
      <xdr:colOff>220980</xdr:colOff>
      <xdr:row>72</xdr:row>
      <xdr:rowOff>19050</xdr:rowOff>
    </xdr:from>
    <xdr:to>
      <xdr:col>6</xdr:col>
      <xdr:colOff>19156</xdr:colOff>
      <xdr:row>73</xdr:row>
      <xdr:rowOff>133350</xdr:rowOff>
    </xdr:to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BE4448C0-1071-4370-9528-5761B5AB649B}"/>
            </a:ext>
          </a:extLst>
        </xdr:cNvPr>
        <xdr:cNvSpPr>
          <a:spLocks noChangeArrowheads="1"/>
        </xdr:cNvSpPr>
      </xdr:nvSpPr>
      <xdr:spPr bwMode="auto">
        <a:xfrm>
          <a:off x="2183130" y="12182475"/>
          <a:ext cx="1703176" cy="276225"/>
        </a:xfrm>
        <a:prstGeom prst="wedgeRectCallout">
          <a:avLst>
            <a:gd name="adj1" fmla="val -88148"/>
            <a:gd name="adj2" fmla="val -7758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Diâmetro do Rolo</a:t>
          </a:r>
        </a:p>
      </xdr:txBody>
    </xdr:sp>
    <xdr:clientData/>
  </xdr:twoCellAnchor>
  <xdr:twoCellAnchor>
    <xdr:from>
      <xdr:col>3</xdr:col>
      <xdr:colOff>325755</xdr:colOff>
      <xdr:row>107</xdr:row>
      <xdr:rowOff>146685</xdr:rowOff>
    </xdr:from>
    <xdr:to>
      <xdr:col>6</xdr:col>
      <xdr:colOff>118104</xdr:colOff>
      <xdr:row>109</xdr:row>
      <xdr:rowOff>105186</xdr:rowOff>
    </xdr:to>
    <xdr:sp macro="" textlink="">
      <xdr:nvSpPr>
        <xdr:cNvPr id="29" name="AutoShape 32">
          <a:extLst>
            <a:ext uri="{FF2B5EF4-FFF2-40B4-BE49-F238E27FC236}">
              <a16:creationId xmlns:a16="http://schemas.microsoft.com/office/drawing/2014/main" id="{B2CB315B-C089-45E8-9A64-96B6E4103A67}"/>
            </a:ext>
          </a:extLst>
        </xdr:cNvPr>
        <xdr:cNvSpPr>
          <a:spLocks noChangeArrowheads="1"/>
        </xdr:cNvSpPr>
      </xdr:nvSpPr>
      <xdr:spPr bwMode="auto">
        <a:xfrm>
          <a:off x="2287905" y="17977485"/>
          <a:ext cx="1697349" cy="282351"/>
        </a:xfrm>
        <a:prstGeom prst="wedgeRectCallout">
          <a:avLst>
            <a:gd name="adj1" fmla="val -92194"/>
            <a:gd name="adj2" fmla="val -862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de cada caneca</a:t>
          </a:r>
        </a:p>
      </xdr:txBody>
    </xdr:sp>
    <xdr:clientData/>
  </xdr:twoCellAnchor>
  <xdr:twoCellAnchor>
    <xdr:from>
      <xdr:col>3</xdr:col>
      <xdr:colOff>306705</xdr:colOff>
      <xdr:row>112</xdr:row>
      <xdr:rowOff>38100</xdr:rowOff>
    </xdr:from>
    <xdr:to>
      <xdr:col>6</xdr:col>
      <xdr:colOff>104934</xdr:colOff>
      <xdr:row>113</xdr:row>
      <xdr:rowOff>146916</xdr:rowOff>
    </xdr:to>
    <xdr:sp macro="" textlink="">
      <xdr:nvSpPr>
        <xdr:cNvPr id="30" name="AutoShape 33">
          <a:extLst>
            <a:ext uri="{FF2B5EF4-FFF2-40B4-BE49-F238E27FC236}">
              <a16:creationId xmlns:a16="http://schemas.microsoft.com/office/drawing/2014/main" id="{FEC50BF4-5E45-420D-897C-A87F19E29327}"/>
            </a:ext>
          </a:extLst>
        </xdr:cNvPr>
        <xdr:cNvSpPr>
          <a:spLocks noChangeArrowheads="1"/>
        </xdr:cNvSpPr>
      </xdr:nvSpPr>
      <xdr:spPr bwMode="auto">
        <a:xfrm>
          <a:off x="2268855" y="18678525"/>
          <a:ext cx="1703229" cy="270741"/>
        </a:xfrm>
        <a:prstGeom prst="wedgeRectCallout">
          <a:avLst>
            <a:gd name="adj1" fmla="val -83528"/>
            <a:gd name="adj2" fmla="val -14310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da correia ou corrente</a:t>
          </a:r>
        </a:p>
      </xdr:txBody>
    </xdr:sp>
    <xdr:clientData/>
  </xdr:twoCellAnchor>
  <xdr:twoCellAnchor>
    <xdr:from>
      <xdr:col>4</xdr:col>
      <xdr:colOff>363855</xdr:colOff>
      <xdr:row>142</xdr:row>
      <xdr:rowOff>104775</xdr:rowOff>
    </xdr:from>
    <xdr:to>
      <xdr:col>7</xdr:col>
      <xdr:colOff>325806</xdr:colOff>
      <xdr:row>144</xdr:row>
      <xdr:rowOff>142875</xdr:rowOff>
    </xdr:to>
    <xdr:sp macro="" textlink="">
      <xdr:nvSpPr>
        <xdr:cNvPr id="31" name="AutoShape 34">
          <a:extLst>
            <a:ext uri="{FF2B5EF4-FFF2-40B4-BE49-F238E27FC236}">
              <a16:creationId xmlns:a16="http://schemas.microsoft.com/office/drawing/2014/main" id="{A446946F-FEFF-492E-8906-1D6D9194369B}"/>
            </a:ext>
          </a:extLst>
        </xdr:cNvPr>
        <xdr:cNvSpPr>
          <a:spLocks noChangeArrowheads="1"/>
        </xdr:cNvSpPr>
      </xdr:nvSpPr>
      <xdr:spPr bwMode="auto">
        <a:xfrm>
          <a:off x="2954655" y="23602950"/>
          <a:ext cx="1847901" cy="361950"/>
        </a:xfrm>
        <a:prstGeom prst="wedgeRectCallout">
          <a:avLst>
            <a:gd name="adj1" fmla="val -92245"/>
            <a:gd name="adj2" fmla="val 8157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Entra no calculo da potência do motor</a:t>
          </a:r>
        </a:p>
      </xdr:txBody>
    </xdr:sp>
    <xdr:clientData/>
  </xdr:twoCellAnchor>
  <xdr:twoCellAnchor>
    <xdr:from>
      <xdr:col>3</xdr:col>
      <xdr:colOff>474345</xdr:colOff>
      <xdr:row>207</xdr:row>
      <xdr:rowOff>38100</xdr:rowOff>
    </xdr:from>
    <xdr:to>
      <xdr:col>6</xdr:col>
      <xdr:colOff>588645</xdr:colOff>
      <xdr:row>209</xdr:row>
      <xdr:rowOff>95250</xdr:rowOff>
    </xdr:to>
    <xdr:sp macro="" textlink="">
      <xdr:nvSpPr>
        <xdr:cNvPr id="32" name="AutoShape 35">
          <a:extLst>
            <a:ext uri="{FF2B5EF4-FFF2-40B4-BE49-F238E27FC236}">
              <a16:creationId xmlns:a16="http://schemas.microsoft.com/office/drawing/2014/main" id="{696C5723-E905-4962-9F2B-A488C78127EE}"/>
            </a:ext>
          </a:extLst>
        </xdr:cNvPr>
        <xdr:cNvSpPr>
          <a:spLocks noChangeArrowheads="1"/>
        </xdr:cNvSpPr>
      </xdr:nvSpPr>
      <xdr:spPr bwMode="auto">
        <a:xfrm>
          <a:off x="2436495" y="34061400"/>
          <a:ext cx="2019300" cy="381000"/>
        </a:xfrm>
        <a:prstGeom prst="wedgeRectCallout">
          <a:avLst>
            <a:gd name="adj1" fmla="val -92028"/>
            <a:gd name="adj2" fmla="val 4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largura da correia em cm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para corrente não precisa mudar</a:t>
          </a:r>
        </a:p>
      </xdr:txBody>
    </xdr:sp>
    <xdr:clientData/>
  </xdr:twoCellAnchor>
  <xdr:twoCellAnchor>
    <xdr:from>
      <xdr:col>4</xdr:col>
      <xdr:colOff>26669</xdr:colOff>
      <xdr:row>210</xdr:row>
      <xdr:rowOff>99060</xdr:rowOff>
    </xdr:from>
    <xdr:to>
      <xdr:col>6</xdr:col>
      <xdr:colOff>520074</xdr:colOff>
      <xdr:row>213</xdr:row>
      <xdr:rowOff>38571</xdr:rowOff>
    </xdr:to>
    <xdr:sp macro="" textlink="">
      <xdr:nvSpPr>
        <xdr:cNvPr id="33" name="AutoShape 36">
          <a:extLst>
            <a:ext uri="{FF2B5EF4-FFF2-40B4-BE49-F238E27FC236}">
              <a16:creationId xmlns:a16="http://schemas.microsoft.com/office/drawing/2014/main" id="{EAF76AA5-6025-4A2B-AEA0-C7C4E6C23BEC}"/>
            </a:ext>
          </a:extLst>
        </xdr:cNvPr>
        <xdr:cNvSpPr>
          <a:spLocks noChangeArrowheads="1"/>
        </xdr:cNvSpPr>
      </xdr:nvSpPr>
      <xdr:spPr bwMode="auto">
        <a:xfrm>
          <a:off x="2617469" y="34608135"/>
          <a:ext cx="1769755" cy="425286"/>
        </a:xfrm>
        <a:prstGeom prst="wedgeRectCallout">
          <a:avLst>
            <a:gd name="adj1" fmla="val -80245"/>
            <a:gd name="adj2" fmla="val 2692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Depende do tipo da correia</a:t>
          </a:r>
        </a:p>
      </xdr:txBody>
    </xdr:sp>
    <xdr:clientData/>
  </xdr:twoCellAnchor>
  <xdr:twoCellAnchor>
    <xdr:from>
      <xdr:col>3</xdr:col>
      <xdr:colOff>95250</xdr:colOff>
      <xdr:row>216</xdr:row>
      <xdr:rowOff>104775</xdr:rowOff>
    </xdr:from>
    <xdr:to>
      <xdr:col>5</xdr:col>
      <xdr:colOff>398227</xdr:colOff>
      <xdr:row>218</xdr:row>
      <xdr:rowOff>28575</xdr:rowOff>
    </xdr:to>
    <xdr:sp macro="" textlink="">
      <xdr:nvSpPr>
        <xdr:cNvPr id="34" name="AutoShape 37">
          <a:extLst>
            <a:ext uri="{FF2B5EF4-FFF2-40B4-BE49-F238E27FC236}">
              <a16:creationId xmlns:a16="http://schemas.microsoft.com/office/drawing/2014/main" id="{9633FD3F-0814-4343-BA52-75ED135973DF}"/>
            </a:ext>
          </a:extLst>
        </xdr:cNvPr>
        <xdr:cNvSpPr>
          <a:spLocks noChangeArrowheads="1"/>
        </xdr:cNvSpPr>
      </xdr:nvSpPr>
      <xdr:spPr bwMode="auto">
        <a:xfrm>
          <a:off x="2057400" y="35585400"/>
          <a:ext cx="1598377" cy="247650"/>
        </a:xfrm>
        <a:prstGeom prst="wedgeRectCallout">
          <a:avLst>
            <a:gd name="adj1" fmla="val -64199"/>
            <a:gd name="adj2" fmla="val 14615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arredondar para cima</a:t>
          </a:r>
        </a:p>
      </xdr:txBody>
    </xdr:sp>
    <xdr:clientData/>
  </xdr:twoCellAnchor>
  <xdr:twoCellAnchor>
    <xdr:from>
      <xdr:col>10</xdr:col>
      <xdr:colOff>342900</xdr:colOff>
      <xdr:row>326</xdr:row>
      <xdr:rowOff>114300</xdr:rowOff>
    </xdr:from>
    <xdr:to>
      <xdr:col>10</xdr:col>
      <xdr:colOff>342900</xdr:colOff>
      <xdr:row>329</xdr:row>
      <xdr:rowOff>28575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3E6797B7-20BC-4E59-82EA-0FCBA9BEC1D0}"/>
            </a:ext>
          </a:extLst>
        </xdr:cNvPr>
        <xdr:cNvSpPr>
          <a:spLocks noChangeShapeType="1"/>
        </xdr:cNvSpPr>
      </xdr:nvSpPr>
      <xdr:spPr bwMode="auto">
        <a:xfrm flipV="1">
          <a:off x="6905625" y="53806725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12</xdr:col>
      <xdr:colOff>57150</xdr:colOff>
      <xdr:row>326</xdr:row>
      <xdr:rowOff>114300</xdr:rowOff>
    </xdr:to>
    <xdr:sp macro="" textlink="">
      <xdr:nvSpPr>
        <xdr:cNvPr id="36" name="Line 3">
          <a:extLst>
            <a:ext uri="{FF2B5EF4-FFF2-40B4-BE49-F238E27FC236}">
              <a16:creationId xmlns:a16="http://schemas.microsoft.com/office/drawing/2014/main" id="{8BF8406B-F09B-4A12-B062-541FEFF9ED6B}"/>
            </a:ext>
          </a:extLst>
        </xdr:cNvPr>
        <xdr:cNvSpPr>
          <a:spLocks noChangeShapeType="1"/>
        </xdr:cNvSpPr>
      </xdr:nvSpPr>
      <xdr:spPr bwMode="auto">
        <a:xfrm>
          <a:off x="6905625" y="53806725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219075</xdr:colOff>
      <xdr:row>328</xdr:row>
      <xdr:rowOff>19050</xdr:rowOff>
    </xdr:from>
    <xdr:to>
      <xdr:col>10</xdr:col>
      <xdr:colOff>342900</xdr:colOff>
      <xdr:row>329</xdr:row>
      <xdr:rowOff>28575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BB9D489C-512F-4170-97CC-CEA051DF7BDF}"/>
            </a:ext>
          </a:extLst>
        </xdr:cNvPr>
        <xdr:cNvSpPr>
          <a:spLocks noChangeShapeType="1"/>
        </xdr:cNvSpPr>
      </xdr:nvSpPr>
      <xdr:spPr bwMode="auto">
        <a:xfrm>
          <a:off x="6781800" y="54063900"/>
          <a:ext cx="123825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10</xdr:col>
      <xdr:colOff>342900</xdr:colOff>
      <xdr:row>329</xdr:row>
      <xdr:rowOff>28575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98CA481E-1458-4445-8154-AE06BA1E0A97}"/>
            </a:ext>
          </a:extLst>
        </xdr:cNvPr>
        <xdr:cNvSpPr>
          <a:spLocks noChangeShapeType="1"/>
        </xdr:cNvSpPr>
      </xdr:nvSpPr>
      <xdr:spPr bwMode="auto">
        <a:xfrm flipV="1">
          <a:off x="6905625" y="53806725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12</xdr:col>
      <xdr:colOff>57150</xdr:colOff>
      <xdr:row>326</xdr:row>
      <xdr:rowOff>114300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id="{90DD7512-571E-4B97-98DF-DF80D0BE6893}"/>
            </a:ext>
          </a:extLst>
        </xdr:cNvPr>
        <xdr:cNvSpPr>
          <a:spLocks noChangeShapeType="1"/>
        </xdr:cNvSpPr>
      </xdr:nvSpPr>
      <xdr:spPr bwMode="auto">
        <a:xfrm>
          <a:off x="6905625" y="53806725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285751</xdr:colOff>
      <xdr:row>344</xdr:row>
      <xdr:rowOff>76200</xdr:rowOff>
    </xdr:from>
    <xdr:to>
      <xdr:col>10</xdr:col>
      <xdr:colOff>342901</xdr:colOff>
      <xdr:row>346</xdr:row>
      <xdr:rowOff>123825</xdr:rowOff>
    </xdr:to>
    <xdr:sp macro="" textlink="">
      <xdr:nvSpPr>
        <xdr:cNvPr id="40" name="Colchete Esquerdo 39">
          <a:extLst>
            <a:ext uri="{FF2B5EF4-FFF2-40B4-BE49-F238E27FC236}">
              <a16:creationId xmlns:a16="http://schemas.microsoft.com/office/drawing/2014/main" id="{CEF957FC-F1E0-4DC4-A74B-6DE88D6C3869}"/>
            </a:ext>
          </a:extLst>
        </xdr:cNvPr>
        <xdr:cNvSpPr/>
      </xdr:nvSpPr>
      <xdr:spPr>
        <a:xfrm>
          <a:off x="6848476" y="56826150"/>
          <a:ext cx="57150" cy="3714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295275</xdr:colOff>
      <xdr:row>344</xdr:row>
      <xdr:rowOff>85726</xdr:rowOff>
    </xdr:from>
    <xdr:to>
      <xdr:col>11</xdr:col>
      <xdr:colOff>352425</xdr:colOff>
      <xdr:row>346</xdr:row>
      <xdr:rowOff>133350</xdr:rowOff>
    </xdr:to>
    <xdr:sp macro="" textlink="">
      <xdr:nvSpPr>
        <xdr:cNvPr id="41" name="Colchete Direito 40">
          <a:extLst>
            <a:ext uri="{FF2B5EF4-FFF2-40B4-BE49-F238E27FC236}">
              <a16:creationId xmlns:a16="http://schemas.microsoft.com/office/drawing/2014/main" id="{57BB9766-C533-4492-845C-677DFC644B4F}"/>
            </a:ext>
          </a:extLst>
        </xdr:cNvPr>
        <xdr:cNvSpPr/>
      </xdr:nvSpPr>
      <xdr:spPr>
        <a:xfrm>
          <a:off x="7705725" y="56835676"/>
          <a:ext cx="57150" cy="3714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72</xdr:row>
      <xdr:rowOff>47625</xdr:rowOff>
    </xdr:from>
    <xdr:ext cx="5133975" cy="4057650"/>
    <xdr:pic>
      <xdr:nvPicPr>
        <xdr:cNvPr id="2" name="Imagem 4">
          <a:extLst>
            <a:ext uri="{FF2B5EF4-FFF2-40B4-BE49-F238E27FC236}">
              <a16:creationId xmlns:a16="http://schemas.microsoft.com/office/drawing/2014/main" id="{29803076-B350-4286-8D2C-CCC7ECC3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525625"/>
          <a:ext cx="5133975" cy="405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114300</xdr:colOff>
      <xdr:row>72</xdr:row>
      <xdr:rowOff>28575</xdr:rowOff>
    </xdr:from>
    <xdr:to>
      <xdr:col>10</xdr:col>
      <xdr:colOff>66675</xdr:colOff>
      <xdr:row>77</xdr:row>
      <xdr:rowOff>0</xdr:rowOff>
    </xdr:to>
    <xdr:grpSp>
      <xdr:nvGrpSpPr>
        <xdr:cNvPr id="3" name="Agrupar 14">
          <a:extLst>
            <a:ext uri="{FF2B5EF4-FFF2-40B4-BE49-F238E27FC236}">
              <a16:creationId xmlns:a16="http://schemas.microsoft.com/office/drawing/2014/main" id="{249FA7A6-5ACD-4961-AB34-0DA6E050B540}"/>
            </a:ext>
          </a:extLst>
        </xdr:cNvPr>
        <xdr:cNvGrpSpPr>
          <a:grpSpLocks/>
        </xdr:cNvGrpSpPr>
      </xdr:nvGrpSpPr>
      <xdr:grpSpPr bwMode="auto">
        <a:xfrm>
          <a:off x="8702040" y="14643735"/>
          <a:ext cx="1247775" cy="809625"/>
          <a:chOff x="685800" y="15754350"/>
          <a:chExt cx="1204913" cy="790888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6DD4CA09-B213-D0ED-790A-FD9074B76AB8}"/>
              </a:ext>
            </a:extLst>
          </xdr:cNvPr>
          <xdr:cNvGrpSpPr>
            <a:grpSpLocks/>
          </xdr:cNvGrpSpPr>
        </xdr:nvGrpSpPr>
        <xdr:grpSpPr bwMode="auto">
          <a:xfrm rot="-2778485">
            <a:off x="1104900" y="15754350"/>
            <a:ext cx="771525" cy="800100"/>
            <a:chOff x="1104900" y="15706725"/>
            <a:chExt cx="771525" cy="800100"/>
          </a:xfrm>
        </xdr:grpSpPr>
        <xdr:sp macro="" textlink="">
          <xdr:nvSpPr>
            <xdr:cNvPr id="9" name="Fluxograma: Conector 8">
              <a:extLst>
                <a:ext uri="{FF2B5EF4-FFF2-40B4-BE49-F238E27FC236}">
                  <a16:creationId xmlns:a16="http://schemas.microsoft.com/office/drawing/2014/main" id="{FF936D9F-81EB-6F46-5820-A2BA9DFB2FF6}"/>
                </a:ext>
              </a:extLst>
            </xdr:cNvPr>
            <xdr:cNvSpPr/>
          </xdr:nvSpPr>
          <xdr:spPr>
            <a:xfrm>
              <a:off x="1107399" y="15677752"/>
              <a:ext cx="771598" cy="822401"/>
            </a:xfrm>
            <a:prstGeom prst="flowChartConnector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pt-BR"/>
            </a:p>
          </xdr:txBody>
        </xdr:sp>
        <xdr:sp macro="" textlink="">
          <xdr:nvSpPr>
            <xdr:cNvPr id="10" name="Corda 9">
              <a:extLst>
                <a:ext uri="{FF2B5EF4-FFF2-40B4-BE49-F238E27FC236}">
                  <a16:creationId xmlns:a16="http://schemas.microsoft.com/office/drawing/2014/main" id="{C6B89E71-B981-4F9E-EC68-E72F99E8592B}"/>
                </a:ext>
              </a:extLst>
            </xdr:cNvPr>
            <xdr:cNvSpPr/>
          </xdr:nvSpPr>
          <xdr:spPr>
            <a:xfrm rot="17477383">
              <a:off x="1150422" y="15706501"/>
              <a:ext cx="726773" cy="752308"/>
            </a:xfrm>
            <a:prstGeom prst="chord">
              <a:avLst>
                <a:gd name="adj1" fmla="val 9212954"/>
                <a:gd name="adj2" fmla="val 15558096"/>
              </a:avLst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pt-BR"/>
            </a:p>
          </xdr:txBody>
        </xdr: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19A275F3-F36D-F4C7-C628-95B38C6ECACD}"/>
              </a:ext>
            </a:extLst>
          </xdr:cNvPr>
          <xdr:cNvCxnSpPr/>
        </xdr:nvCxnSpPr>
        <xdr:spPr>
          <a:xfrm flipH="1" flipV="1">
            <a:off x="848368" y="16381273"/>
            <a:ext cx="631145" cy="964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EF8EF52F-2BB9-C3F4-40D4-94758476422F}"/>
              </a:ext>
            </a:extLst>
          </xdr:cNvPr>
          <xdr:cNvCxnSpPr/>
        </xdr:nvCxnSpPr>
        <xdr:spPr>
          <a:xfrm flipH="1" flipV="1">
            <a:off x="685800" y="16545238"/>
            <a:ext cx="8032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EB2F2708-34BF-9890-273C-115A758D8B07}"/>
              </a:ext>
            </a:extLst>
          </xdr:cNvPr>
          <xdr:cNvCxnSpPr/>
        </xdr:nvCxnSpPr>
        <xdr:spPr>
          <a:xfrm flipH="1" flipV="1">
            <a:off x="704926" y="15754350"/>
            <a:ext cx="79371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Conector de Seta Reta 7">
            <a:extLst>
              <a:ext uri="{FF2B5EF4-FFF2-40B4-BE49-F238E27FC236}">
                <a16:creationId xmlns:a16="http://schemas.microsoft.com/office/drawing/2014/main" id="{70DDA49F-D9E2-3894-5735-DC33682B1F55}"/>
              </a:ext>
            </a:extLst>
          </xdr:cNvPr>
          <xdr:cNvCxnSpPr/>
        </xdr:nvCxnSpPr>
        <xdr:spPr>
          <a:xfrm>
            <a:off x="752740" y="15754350"/>
            <a:ext cx="9563" cy="781243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400050</xdr:colOff>
      <xdr:row>74</xdr:row>
      <xdr:rowOff>95250</xdr:rowOff>
    </xdr:from>
    <xdr:to>
      <xdr:col>11</xdr:col>
      <xdr:colOff>123825</xdr:colOff>
      <xdr:row>74</xdr:row>
      <xdr:rowOff>95250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A2D20275-B55A-4D11-A287-92242991616C}"/>
            </a:ext>
          </a:extLst>
        </xdr:cNvPr>
        <xdr:cNvCxnSpPr/>
      </xdr:nvCxnSpPr>
      <xdr:spPr>
        <a:xfrm>
          <a:off x="10048875" y="148971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66</xdr:row>
      <xdr:rowOff>47625</xdr:rowOff>
    </xdr:from>
    <xdr:to>
      <xdr:col>3</xdr:col>
      <xdr:colOff>466502</xdr:colOff>
      <xdr:row>67</xdr:row>
      <xdr:rowOff>190458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EA2F40-400E-48AD-9BC3-5F4E49CC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2639675"/>
          <a:ext cx="1780952" cy="3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34</xdr:row>
      <xdr:rowOff>76200</xdr:rowOff>
    </xdr:from>
    <xdr:to>
      <xdr:col>2</xdr:col>
      <xdr:colOff>37980</xdr:colOff>
      <xdr:row>36</xdr:row>
      <xdr:rowOff>133295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09BC50-38CD-4700-9180-CC2CEC45F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6572250"/>
          <a:ext cx="961905" cy="438095"/>
        </a:xfrm>
        <a:prstGeom prst="rect">
          <a:avLst/>
        </a:prstGeom>
      </xdr:spPr>
    </xdr:pic>
    <xdr:clientData/>
  </xdr:twoCellAnchor>
  <xdr:twoCellAnchor>
    <xdr:from>
      <xdr:col>1</xdr:col>
      <xdr:colOff>232370</xdr:colOff>
      <xdr:row>79</xdr:row>
      <xdr:rowOff>37096</xdr:rowOff>
    </xdr:from>
    <xdr:to>
      <xdr:col>2</xdr:col>
      <xdr:colOff>167378</xdr:colOff>
      <xdr:row>85</xdr:row>
      <xdr:rowOff>141871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0651DBD-9AD4-42DD-A660-9E7FAECBD72E}"/>
            </a:ext>
          </a:extLst>
        </xdr:cNvPr>
        <xdr:cNvSpPr/>
      </xdr:nvSpPr>
      <xdr:spPr>
        <a:xfrm rot="1526113">
          <a:off x="841970" y="15105646"/>
          <a:ext cx="668433" cy="1285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466725</xdr:colOff>
      <xdr:row>82</xdr:row>
      <xdr:rowOff>28576</xdr:rowOff>
    </xdr:from>
    <xdr:to>
      <xdr:col>1</xdr:col>
      <xdr:colOff>581025</xdr:colOff>
      <xdr:row>82</xdr:row>
      <xdr:rowOff>142876</xdr:rowOff>
    </xdr:to>
    <xdr:sp macro="" textlink="">
      <xdr:nvSpPr>
        <xdr:cNvPr id="5" name="Fluxograma: Conector 4">
          <a:extLst>
            <a:ext uri="{FF2B5EF4-FFF2-40B4-BE49-F238E27FC236}">
              <a16:creationId xmlns:a16="http://schemas.microsoft.com/office/drawing/2014/main" id="{15B7E036-EB4B-406F-898A-287A4AAB015B}"/>
            </a:ext>
          </a:extLst>
        </xdr:cNvPr>
        <xdr:cNvSpPr/>
      </xdr:nvSpPr>
      <xdr:spPr>
        <a:xfrm>
          <a:off x="1076325" y="15706726"/>
          <a:ext cx="114300" cy="11430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628651</xdr:colOff>
      <xdr:row>80</xdr:row>
      <xdr:rowOff>38100</xdr:rowOff>
    </xdr:from>
    <xdr:to>
      <xdr:col>2</xdr:col>
      <xdr:colOff>85726</xdr:colOff>
      <xdr:row>81</xdr:row>
      <xdr:rowOff>0</xdr:rowOff>
    </xdr:to>
    <xdr:sp macro="" textlink="">
      <xdr:nvSpPr>
        <xdr:cNvPr id="6" name="Fluxograma: Conector 5">
          <a:extLst>
            <a:ext uri="{FF2B5EF4-FFF2-40B4-BE49-F238E27FC236}">
              <a16:creationId xmlns:a16="http://schemas.microsoft.com/office/drawing/2014/main" id="{F6089CBD-CA03-4B5B-A196-24C329CEF10B}"/>
            </a:ext>
          </a:extLst>
        </xdr:cNvPr>
        <xdr:cNvSpPr/>
      </xdr:nvSpPr>
      <xdr:spPr>
        <a:xfrm>
          <a:off x="1238251" y="15297150"/>
          <a:ext cx="190500" cy="19050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636778</xdr:colOff>
      <xdr:row>85</xdr:row>
      <xdr:rowOff>186241</xdr:rowOff>
    </xdr:from>
    <xdr:to>
      <xdr:col>2</xdr:col>
      <xdr:colOff>153364</xdr:colOff>
      <xdr:row>87</xdr:row>
      <xdr:rowOff>20363</xdr:rowOff>
    </xdr:to>
    <xdr:sp macro="" textlink="">
      <xdr:nvSpPr>
        <xdr:cNvPr id="7" name="Triângulo isósceles 6">
          <a:extLst>
            <a:ext uri="{FF2B5EF4-FFF2-40B4-BE49-F238E27FC236}">
              <a16:creationId xmlns:a16="http://schemas.microsoft.com/office/drawing/2014/main" id="{BD663A13-C5D2-46BF-B6EF-2EF26513AF21}"/>
            </a:ext>
          </a:extLst>
        </xdr:cNvPr>
        <xdr:cNvSpPr/>
      </xdr:nvSpPr>
      <xdr:spPr>
        <a:xfrm rot="17731434">
          <a:off x="1263823" y="16418446"/>
          <a:ext cx="215122" cy="250011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438150</xdr:colOff>
      <xdr:row>82</xdr:row>
      <xdr:rowOff>123825</xdr:rowOff>
    </xdr:from>
    <xdr:to>
      <xdr:col>1</xdr:col>
      <xdr:colOff>609600</xdr:colOff>
      <xdr:row>84</xdr:row>
      <xdr:rowOff>9525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1A30160C-8F8E-4E21-A0C1-E6A109F934E0}"/>
            </a:ext>
          </a:extLst>
        </xdr:cNvPr>
        <xdr:cNvSpPr/>
      </xdr:nvSpPr>
      <xdr:spPr>
        <a:xfrm>
          <a:off x="1047750" y="15801975"/>
          <a:ext cx="171450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28575</xdr:colOff>
      <xdr:row>40</xdr:row>
      <xdr:rowOff>38100</xdr:rowOff>
    </xdr:from>
    <xdr:to>
      <xdr:col>3</xdr:col>
      <xdr:colOff>257175</xdr:colOff>
      <xdr:row>42</xdr:row>
      <xdr:rowOff>76200</xdr:rowOff>
    </xdr:to>
    <xdr:sp macro="" textlink="">
      <xdr:nvSpPr>
        <xdr:cNvPr id="9" name="Chave Direita 8">
          <a:extLst>
            <a:ext uri="{FF2B5EF4-FFF2-40B4-BE49-F238E27FC236}">
              <a16:creationId xmlns:a16="http://schemas.microsoft.com/office/drawing/2014/main" id="{9E0A01DA-EF69-4AE5-8BAD-F6BA6DC3C75D}"/>
            </a:ext>
          </a:extLst>
        </xdr:cNvPr>
        <xdr:cNvSpPr/>
      </xdr:nvSpPr>
      <xdr:spPr>
        <a:xfrm>
          <a:off x="1962150" y="7677150"/>
          <a:ext cx="228600" cy="419100"/>
        </a:xfrm>
        <a:prstGeom prst="rightBrace">
          <a:avLst>
            <a:gd name="adj1" fmla="val 8333"/>
            <a:gd name="adj2" fmla="val 25926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171450</xdr:colOff>
      <xdr:row>30</xdr:row>
      <xdr:rowOff>38100</xdr:rowOff>
    </xdr:from>
    <xdr:to>
      <xdr:col>12</xdr:col>
      <xdr:colOff>428625</xdr:colOff>
      <xdr:row>38</xdr:row>
      <xdr:rowOff>38100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0B6933BD-2C21-4679-B7E7-22410246C794}"/>
            </a:ext>
          </a:extLst>
        </xdr:cNvPr>
        <xdr:cNvGrpSpPr/>
      </xdr:nvGrpSpPr>
      <xdr:grpSpPr>
        <a:xfrm rot="19027531">
          <a:off x="6633210" y="5539740"/>
          <a:ext cx="1522095" cy="1478280"/>
          <a:chOff x="5419725" y="6000750"/>
          <a:chExt cx="1476375" cy="1524000"/>
        </a:xfrm>
      </xdr:grpSpPr>
      <xdr:sp macro="" textlink="">
        <xdr:nvSpPr>
          <xdr:cNvPr id="11" name="Fluxograma: Conector 10">
            <a:extLst>
              <a:ext uri="{FF2B5EF4-FFF2-40B4-BE49-F238E27FC236}">
                <a16:creationId xmlns:a16="http://schemas.microsoft.com/office/drawing/2014/main" id="{EA7E051F-CA08-79E1-88DE-39E01C0A2EA2}"/>
              </a:ext>
            </a:extLst>
          </xdr:cNvPr>
          <xdr:cNvSpPr/>
        </xdr:nvSpPr>
        <xdr:spPr>
          <a:xfrm>
            <a:off x="5419725" y="6000750"/>
            <a:ext cx="1476375" cy="1524000"/>
          </a:xfrm>
          <a:prstGeom prst="flowChartConnector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Placa 11">
            <a:extLst>
              <a:ext uri="{FF2B5EF4-FFF2-40B4-BE49-F238E27FC236}">
                <a16:creationId xmlns:a16="http://schemas.microsoft.com/office/drawing/2014/main" id="{89B9F02D-C9EE-8F8B-5130-16046D285147}"/>
              </a:ext>
            </a:extLst>
          </xdr:cNvPr>
          <xdr:cNvSpPr/>
        </xdr:nvSpPr>
        <xdr:spPr>
          <a:xfrm>
            <a:off x="5934075" y="6515100"/>
            <a:ext cx="447675" cy="438150"/>
          </a:xfrm>
          <a:prstGeom prst="plaqu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 </a:t>
            </a:r>
          </a:p>
        </xdr:txBody>
      </xdr:sp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60E90279-76B8-129E-D24F-62E7115E7EF4}"/>
              </a:ext>
            </a:extLst>
          </xdr:cNvPr>
          <xdr:cNvSpPr/>
        </xdr:nvSpPr>
        <xdr:spPr>
          <a:xfrm rot="18900841">
            <a:off x="6200775" y="6334125"/>
            <a:ext cx="561975" cy="142875"/>
          </a:xfrm>
          <a:prstGeom prst="round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4FAC8A04-0C59-BFFA-BFF2-F165C9FFEF27}"/>
              </a:ext>
            </a:extLst>
          </xdr:cNvPr>
          <xdr:cNvSpPr/>
        </xdr:nvSpPr>
        <xdr:spPr>
          <a:xfrm rot="2572469">
            <a:off x="6225912" y="6995699"/>
            <a:ext cx="561975" cy="142875"/>
          </a:xfrm>
          <a:prstGeom prst="round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2D879B6F-8814-61C2-2C6C-71EECEC25B38}"/>
              </a:ext>
            </a:extLst>
          </xdr:cNvPr>
          <xdr:cNvSpPr/>
        </xdr:nvSpPr>
        <xdr:spPr>
          <a:xfrm rot="18900841">
            <a:off x="5534026" y="7000875"/>
            <a:ext cx="561975" cy="142875"/>
          </a:xfrm>
          <a:prstGeom prst="round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344DF71D-9B1F-27A3-A248-E5BD97ADFAD6}"/>
              </a:ext>
            </a:extLst>
          </xdr:cNvPr>
          <xdr:cNvSpPr/>
        </xdr:nvSpPr>
        <xdr:spPr>
          <a:xfrm rot="2572469">
            <a:off x="5553074" y="6353174"/>
            <a:ext cx="561975" cy="142875"/>
          </a:xfrm>
          <a:prstGeom prst="round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11</xdr:col>
      <xdr:colOff>47625</xdr:colOff>
      <xdr:row>26</xdr:row>
      <xdr:rowOff>161925</xdr:rowOff>
    </xdr:from>
    <xdr:to>
      <xdr:col>11</xdr:col>
      <xdr:colOff>47625</xdr:colOff>
      <xdr:row>30</xdr:row>
      <xdr:rowOff>9525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00483CA6-4749-4D52-9592-0FF7847605DA}"/>
            </a:ext>
          </a:extLst>
        </xdr:cNvPr>
        <xdr:cNvCxnSpPr/>
      </xdr:nvCxnSpPr>
      <xdr:spPr>
        <a:xfrm>
          <a:off x="6943725" y="5114925"/>
          <a:ext cx="0" cy="619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26</xdr:row>
      <xdr:rowOff>142875</xdr:rowOff>
    </xdr:from>
    <xdr:to>
      <xdr:col>11</xdr:col>
      <xdr:colOff>523875</xdr:colOff>
      <xdr:row>30</xdr:row>
      <xdr:rowOff>19050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01422F02-79DB-4CA7-A2A7-43B7C3CC0800}"/>
            </a:ext>
          </a:extLst>
        </xdr:cNvPr>
        <xdr:cNvCxnSpPr/>
      </xdr:nvCxnSpPr>
      <xdr:spPr>
        <a:xfrm flipH="1">
          <a:off x="7410450" y="5095875"/>
          <a:ext cx="9525" cy="64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26</xdr:row>
      <xdr:rowOff>133350</xdr:rowOff>
    </xdr:from>
    <xdr:to>
      <xdr:col>11</xdr:col>
      <xdr:colOff>352425</xdr:colOff>
      <xdr:row>29</xdr:row>
      <xdr:rowOff>180975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1879CE5E-563F-4588-B81D-D605550D577F}"/>
            </a:ext>
          </a:extLst>
        </xdr:cNvPr>
        <xdr:cNvCxnSpPr/>
      </xdr:nvCxnSpPr>
      <xdr:spPr>
        <a:xfrm>
          <a:off x="7248525" y="5086350"/>
          <a:ext cx="0" cy="628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26</xdr:row>
      <xdr:rowOff>152400</xdr:rowOff>
    </xdr:from>
    <xdr:to>
      <xdr:col>11</xdr:col>
      <xdr:colOff>200025</xdr:colOff>
      <xdr:row>29</xdr:row>
      <xdr:rowOff>180975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3C36A96D-AF67-4A43-BCD5-6078598A9AB4}"/>
            </a:ext>
          </a:extLst>
        </xdr:cNvPr>
        <xdr:cNvCxnSpPr/>
      </xdr:nvCxnSpPr>
      <xdr:spPr>
        <a:xfrm>
          <a:off x="7086600" y="5105400"/>
          <a:ext cx="9525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26</xdr:row>
      <xdr:rowOff>152400</xdr:rowOff>
    </xdr:from>
    <xdr:to>
      <xdr:col>12</xdr:col>
      <xdr:colOff>66675</xdr:colOff>
      <xdr:row>30</xdr:row>
      <xdr:rowOff>66675</xdr:rowOff>
    </xdr:to>
    <xdr:cxnSp macro="">
      <xdr:nvCxnSpPr>
        <xdr:cNvPr id="21" name="Conector de Seta Reta 20">
          <a:extLst>
            <a:ext uri="{FF2B5EF4-FFF2-40B4-BE49-F238E27FC236}">
              <a16:creationId xmlns:a16="http://schemas.microsoft.com/office/drawing/2014/main" id="{26A7D491-8181-4EF5-BE52-865B70CEC2B6}"/>
            </a:ext>
          </a:extLst>
        </xdr:cNvPr>
        <xdr:cNvCxnSpPr/>
      </xdr:nvCxnSpPr>
      <xdr:spPr>
        <a:xfrm flipH="1">
          <a:off x="7562850" y="5105400"/>
          <a:ext cx="9525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457144</xdr:colOff>
      <xdr:row>28</xdr:row>
      <xdr:rowOff>57220</xdr:rowOff>
    </xdr:from>
    <xdr:to>
      <xdr:col>13</xdr:col>
      <xdr:colOff>104719</xdr:colOff>
      <xdr:row>39</xdr:row>
      <xdr:rowOff>9518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ADF2760-4CA2-441E-9D91-B4531A77D0E9}"/>
            </a:ext>
          </a:extLst>
        </xdr:cNvPr>
        <xdr:cNvGrpSpPr/>
      </xdr:nvGrpSpPr>
      <xdr:grpSpPr>
        <a:xfrm>
          <a:off x="6286444" y="5193100"/>
          <a:ext cx="2177415" cy="1979218"/>
          <a:chOff x="6596921" y="5628679"/>
          <a:chExt cx="2089879" cy="2048736"/>
        </a:xfrm>
      </xdr:grpSpPr>
      <xdr:sp macro="" textlink="">
        <xdr:nvSpPr>
          <xdr:cNvPr id="23" name="Arco 22">
            <a:extLst>
              <a:ext uri="{FF2B5EF4-FFF2-40B4-BE49-F238E27FC236}">
                <a16:creationId xmlns:a16="http://schemas.microsoft.com/office/drawing/2014/main" id="{7F959B72-1B2D-C144-D663-20C409A9995A}"/>
              </a:ext>
            </a:extLst>
          </xdr:cNvPr>
          <xdr:cNvSpPr/>
        </xdr:nvSpPr>
        <xdr:spPr>
          <a:xfrm>
            <a:off x="6657975" y="5800884"/>
            <a:ext cx="1905000" cy="1819275"/>
          </a:xfrm>
          <a:prstGeom prst="arc">
            <a:avLst>
              <a:gd name="adj1" fmla="val 18272509"/>
              <a:gd name="adj2" fmla="val 8992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Arco 23">
            <a:extLst>
              <a:ext uri="{FF2B5EF4-FFF2-40B4-BE49-F238E27FC236}">
                <a16:creationId xmlns:a16="http://schemas.microsoft.com/office/drawing/2014/main" id="{AAD9323A-3E44-92FB-8B94-BF3387C8F86C}"/>
              </a:ext>
            </a:extLst>
          </xdr:cNvPr>
          <xdr:cNvSpPr/>
        </xdr:nvSpPr>
        <xdr:spPr>
          <a:xfrm rot="16200000">
            <a:off x="6682410" y="5910075"/>
            <a:ext cx="1824384" cy="1710296"/>
          </a:xfrm>
          <a:prstGeom prst="arc">
            <a:avLst>
              <a:gd name="adj1" fmla="val 16200000"/>
              <a:gd name="adj2" fmla="val 20362794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56B04395-F887-9F6E-5F70-EC1686BC9E13}"/>
              </a:ext>
            </a:extLst>
          </xdr:cNvPr>
          <xdr:cNvCxnSpPr/>
        </xdr:nvCxnSpPr>
        <xdr:spPr>
          <a:xfrm flipV="1">
            <a:off x="7276245" y="5638091"/>
            <a:ext cx="4673" cy="29082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588C060E-4ED8-5E41-D3FF-7F7A707B8014}"/>
              </a:ext>
            </a:extLst>
          </xdr:cNvPr>
          <xdr:cNvCxnSpPr>
            <a:stCxn id="23" idx="0"/>
          </xdr:cNvCxnSpPr>
        </xdr:nvCxnSpPr>
        <xdr:spPr>
          <a:xfrm flipH="1" flipV="1">
            <a:off x="8132942" y="5628679"/>
            <a:ext cx="1303" cy="32208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26">
            <a:extLst>
              <a:ext uri="{FF2B5EF4-FFF2-40B4-BE49-F238E27FC236}">
                <a16:creationId xmlns:a16="http://schemas.microsoft.com/office/drawing/2014/main" id="{5706CBE0-9116-8B05-9AD9-B6A81CC5B79B}"/>
              </a:ext>
            </a:extLst>
          </xdr:cNvPr>
          <xdr:cNvCxnSpPr/>
        </xdr:nvCxnSpPr>
        <xdr:spPr>
          <a:xfrm flipH="1">
            <a:off x="8132942" y="5638204"/>
            <a:ext cx="14287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56A2B3EC-C720-F8AD-E67A-5ACB6FC94E1C}"/>
              </a:ext>
            </a:extLst>
          </xdr:cNvPr>
          <xdr:cNvCxnSpPr/>
        </xdr:nvCxnSpPr>
        <xdr:spPr>
          <a:xfrm flipH="1">
            <a:off x="7140754" y="5638080"/>
            <a:ext cx="14287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to 28">
            <a:extLst>
              <a:ext uri="{FF2B5EF4-FFF2-40B4-BE49-F238E27FC236}">
                <a16:creationId xmlns:a16="http://schemas.microsoft.com/office/drawing/2014/main" id="{FB1B1C09-63DD-AD4D-FFBC-9607DA451E0E}"/>
              </a:ext>
            </a:extLst>
          </xdr:cNvPr>
          <xdr:cNvCxnSpPr>
            <a:stCxn id="23" idx="2"/>
          </xdr:cNvCxnSpPr>
        </xdr:nvCxnSpPr>
        <xdr:spPr>
          <a:xfrm flipH="1">
            <a:off x="8553864" y="6713009"/>
            <a:ext cx="9108" cy="784193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ector reto 29">
            <a:extLst>
              <a:ext uri="{FF2B5EF4-FFF2-40B4-BE49-F238E27FC236}">
                <a16:creationId xmlns:a16="http://schemas.microsoft.com/office/drawing/2014/main" id="{EE9E52F5-2553-BA40-314D-0DA15361E23C}"/>
              </a:ext>
            </a:extLst>
          </xdr:cNvPr>
          <xdr:cNvCxnSpPr/>
        </xdr:nvCxnSpPr>
        <xdr:spPr>
          <a:xfrm>
            <a:off x="6734945" y="6777078"/>
            <a:ext cx="13979" cy="672693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30">
            <a:extLst>
              <a:ext uri="{FF2B5EF4-FFF2-40B4-BE49-F238E27FC236}">
                <a16:creationId xmlns:a16="http://schemas.microsoft.com/office/drawing/2014/main" id="{4692BCB8-2FB8-58D2-6F4E-ED888EE4C45E}"/>
              </a:ext>
            </a:extLst>
          </xdr:cNvPr>
          <xdr:cNvCxnSpPr/>
        </xdr:nvCxnSpPr>
        <xdr:spPr>
          <a:xfrm flipH="1">
            <a:off x="8543925" y="7486650"/>
            <a:ext cx="14287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29963277-7C1C-CF24-AC70-6F864A566A63}"/>
              </a:ext>
            </a:extLst>
          </xdr:cNvPr>
          <xdr:cNvCxnSpPr/>
        </xdr:nvCxnSpPr>
        <xdr:spPr>
          <a:xfrm flipH="1">
            <a:off x="6596921" y="7429460"/>
            <a:ext cx="142875" cy="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261</xdr:row>
      <xdr:rowOff>152400</xdr:rowOff>
    </xdr:from>
    <xdr:to>
      <xdr:col>1</xdr:col>
      <xdr:colOff>342900</xdr:colOff>
      <xdr:row>263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476F405-C9A0-46F9-85E8-91214025B7D3}"/>
            </a:ext>
          </a:extLst>
        </xdr:cNvPr>
        <xdr:cNvSpPr>
          <a:spLocks noChangeShapeType="1"/>
        </xdr:cNvSpPr>
      </xdr:nvSpPr>
      <xdr:spPr bwMode="auto">
        <a:xfrm>
          <a:off x="838200" y="4307205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1</xdr:col>
      <xdr:colOff>342900</xdr:colOff>
      <xdr:row>263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E740B7C-4A73-4E22-96C6-8C48698F9024}"/>
            </a:ext>
          </a:extLst>
        </xdr:cNvPr>
        <xdr:cNvSpPr>
          <a:spLocks noChangeShapeType="1"/>
        </xdr:cNvSpPr>
      </xdr:nvSpPr>
      <xdr:spPr bwMode="auto">
        <a:xfrm flipV="1">
          <a:off x="952500" y="428720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3</xdr:col>
      <xdr:colOff>57150</xdr:colOff>
      <xdr:row>260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824820D-D66E-46F0-B7D7-0FF8AF05B6E1}"/>
            </a:ext>
          </a:extLst>
        </xdr:cNvPr>
        <xdr:cNvSpPr>
          <a:spLocks noChangeShapeType="1"/>
        </xdr:cNvSpPr>
      </xdr:nvSpPr>
      <xdr:spPr bwMode="auto">
        <a:xfrm>
          <a:off x="952500" y="42872025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104775</xdr:rowOff>
    </xdr:from>
    <xdr:to>
      <xdr:col>2</xdr:col>
      <xdr:colOff>352425</xdr:colOff>
      <xdr:row>250</xdr:row>
      <xdr:rowOff>104775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FF24E9D-FA89-49DD-9FE9-7905E8B8E1E9}"/>
            </a:ext>
          </a:extLst>
        </xdr:cNvPr>
        <xdr:cNvSpPr>
          <a:spLocks noChangeShapeType="1"/>
        </xdr:cNvSpPr>
      </xdr:nvSpPr>
      <xdr:spPr bwMode="auto">
        <a:xfrm>
          <a:off x="952500" y="41186100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1</xdr:col>
      <xdr:colOff>457200</xdr:colOff>
      <xdr:row>248</xdr:row>
      <xdr:rowOff>209550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9B4A6A8-4493-428B-8E68-10EADB3EA554}"/>
            </a:ext>
          </a:extLst>
        </xdr:cNvPr>
        <xdr:cNvSpPr>
          <a:spLocks noChangeShapeType="1"/>
        </xdr:cNvSpPr>
      </xdr:nvSpPr>
      <xdr:spPr bwMode="auto">
        <a:xfrm flipV="1">
          <a:off x="1066800" y="407003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3</xdr:col>
      <xdr:colOff>476250</xdr:colOff>
      <xdr:row>248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DEA7D496-28F9-476F-9279-9F906B7222CF}"/>
            </a:ext>
          </a:extLst>
        </xdr:cNvPr>
        <xdr:cNvSpPr>
          <a:spLocks noChangeShapeType="1"/>
        </xdr:cNvSpPr>
      </xdr:nvSpPr>
      <xdr:spPr bwMode="auto">
        <a:xfrm flipV="1">
          <a:off x="1066800" y="4070032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261</xdr:row>
      <xdr:rowOff>152400</xdr:rowOff>
    </xdr:from>
    <xdr:to>
      <xdr:col>1</xdr:col>
      <xdr:colOff>342900</xdr:colOff>
      <xdr:row>263</xdr:row>
      <xdr:rowOff>28575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7D8CD853-2E0C-4D65-BB97-62A0ECB76866}"/>
            </a:ext>
          </a:extLst>
        </xdr:cNvPr>
        <xdr:cNvSpPr>
          <a:spLocks noChangeShapeType="1"/>
        </xdr:cNvSpPr>
      </xdr:nvSpPr>
      <xdr:spPr bwMode="auto">
        <a:xfrm>
          <a:off x="838200" y="4307205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1</xdr:col>
      <xdr:colOff>342900</xdr:colOff>
      <xdr:row>263</xdr:row>
      <xdr:rowOff>28575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AC47716E-C8D5-422D-B010-5332DB498202}"/>
            </a:ext>
          </a:extLst>
        </xdr:cNvPr>
        <xdr:cNvSpPr>
          <a:spLocks noChangeShapeType="1"/>
        </xdr:cNvSpPr>
      </xdr:nvSpPr>
      <xdr:spPr bwMode="auto">
        <a:xfrm flipV="1">
          <a:off x="952500" y="428720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260</xdr:row>
      <xdr:rowOff>114300</xdr:rowOff>
    </xdr:from>
    <xdr:to>
      <xdr:col>3</xdr:col>
      <xdr:colOff>57150</xdr:colOff>
      <xdr:row>260</xdr:row>
      <xdr:rowOff>114300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D3B5BFB4-76B6-4310-8F2E-9F5C585E4ADE}"/>
            </a:ext>
          </a:extLst>
        </xdr:cNvPr>
        <xdr:cNvSpPr>
          <a:spLocks noChangeShapeType="1"/>
        </xdr:cNvSpPr>
      </xdr:nvSpPr>
      <xdr:spPr bwMode="auto">
        <a:xfrm>
          <a:off x="952500" y="42872025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252</xdr:row>
      <xdr:rowOff>0</xdr:rowOff>
    </xdr:from>
    <xdr:to>
      <xdr:col>1</xdr:col>
      <xdr:colOff>342900</xdr:colOff>
      <xdr:row>252</xdr:row>
      <xdr:rowOff>123825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74F48C3C-86A6-4A81-A91A-5E18BF72F9A1}"/>
            </a:ext>
          </a:extLst>
        </xdr:cNvPr>
        <xdr:cNvSpPr>
          <a:spLocks noChangeShapeType="1"/>
        </xdr:cNvSpPr>
      </xdr:nvSpPr>
      <xdr:spPr bwMode="auto">
        <a:xfrm>
          <a:off x="838200" y="41433750"/>
          <a:ext cx="114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114300</xdr:rowOff>
    </xdr:from>
    <xdr:to>
      <xdr:col>1</xdr:col>
      <xdr:colOff>342900</xdr:colOff>
      <xdr:row>252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FB26A8E-AF30-4517-B1F4-751ED706F39B}"/>
            </a:ext>
          </a:extLst>
        </xdr:cNvPr>
        <xdr:cNvSpPr>
          <a:spLocks noChangeShapeType="1"/>
        </xdr:cNvSpPr>
      </xdr:nvSpPr>
      <xdr:spPr bwMode="auto">
        <a:xfrm flipV="1">
          <a:off x="952500" y="41195625"/>
          <a:ext cx="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250</xdr:row>
      <xdr:rowOff>104775</xdr:rowOff>
    </xdr:from>
    <xdr:to>
      <xdr:col>2</xdr:col>
      <xdr:colOff>352425</xdr:colOff>
      <xdr:row>250</xdr:row>
      <xdr:rowOff>104775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25443AA2-9630-4A56-B28D-84A4C9350212}"/>
            </a:ext>
          </a:extLst>
        </xdr:cNvPr>
        <xdr:cNvSpPr>
          <a:spLocks noChangeShapeType="1"/>
        </xdr:cNvSpPr>
      </xdr:nvSpPr>
      <xdr:spPr bwMode="auto">
        <a:xfrm>
          <a:off x="952500" y="41186100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248</xdr:row>
      <xdr:rowOff>66675</xdr:rowOff>
    </xdr:from>
    <xdr:to>
      <xdr:col>1</xdr:col>
      <xdr:colOff>457200</xdr:colOff>
      <xdr:row>248</xdr:row>
      <xdr:rowOff>219075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1E2F8524-428E-49FA-8D58-EB6484735BC0}"/>
            </a:ext>
          </a:extLst>
        </xdr:cNvPr>
        <xdr:cNvSpPr>
          <a:spLocks noChangeShapeType="1"/>
        </xdr:cNvSpPr>
      </xdr:nvSpPr>
      <xdr:spPr bwMode="auto">
        <a:xfrm>
          <a:off x="1009650" y="40757475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1</xdr:col>
      <xdr:colOff>457200</xdr:colOff>
      <xdr:row>248</xdr:row>
      <xdr:rowOff>209550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9AA9900C-7DA1-484B-890B-5C486F1E3617}"/>
            </a:ext>
          </a:extLst>
        </xdr:cNvPr>
        <xdr:cNvSpPr>
          <a:spLocks noChangeShapeType="1"/>
        </xdr:cNvSpPr>
      </xdr:nvSpPr>
      <xdr:spPr bwMode="auto">
        <a:xfrm flipV="1">
          <a:off x="1066800" y="407003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248</xdr:row>
      <xdr:rowOff>9525</xdr:rowOff>
    </xdr:from>
    <xdr:to>
      <xdr:col>3</xdr:col>
      <xdr:colOff>476250</xdr:colOff>
      <xdr:row>248</xdr:row>
      <xdr:rowOff>9525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A05312E4-2340-41D6-B621-E0006827FC0B}"/>
            </a:ext>
          </a:extLst>
        </xdr:cNvPr>
        <xdr:cNvSpPr>
          <a:spLocks noChangeShapeType="1"/>
        </xdr:cNvSpPr>
      </xdr:nvSpPr>
      <xdr:spPr bwMode="auto">
        <a:xfrm flipV="1">
          <a:off x="1066800" y="40700325"/>
          <a:ext cx="1371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447</xdr:row>
      <xdr:rowOff>123825</xdr:rowOff>
    </xdr:from>
    <xdr:to>
      <xdr:col>3</xdr:col>
      <xdr:colOff>409575</xdr:colOff>
      <xdr:row>450</xdr:row>
      <xdr:rowOff>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B0CBD77D-20FA-44A6-8962-12EF1803C0F9}"/>
            </a:ext>
          </a:extLst>
        </xdr:cNvPr>
        <xdr:cNvSpPr>
          <a:spLocks noChangeArrowheads="1"/>
        </xdr:cNvSpPr>
      </xdr:nvSpPr>
      <xdr:spPr bwMode="auto">
        <a:xfrm>
          <a:off x="2066925" y="7392352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453</xdr:row>
      <xdr:rowOff>76200</xdr:rowOff>
    </xdr:from>
    <xdr:to>
      <xdr:col>2</xdr:col>
      <xdr:colOff>0</xdr:colOff>
      <xdr:row>454</xdr:row>
      <xdr:rowOff>142875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A8635A3D-B41B-4A33-ACDA-A1001DE0F080}"/>
            </a:ext>
          </a:extLst>
        </xdr:cNvPr>
        <xdr:cNvSpPr>
          <a:spLocks noChangeShapeType="1"/>
        </xdr:cNvSpPr>
      </xdr:nvSpPr>
      <xdr:spPr bwMode="auto">
        <a:xfrm>
          <a:off x="1104900" y="74847450"/>
          <a:ext cx="20002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452</xdr:row>
      <xdr:rowOff>38100</xdr:rowOff>
    </xdr:from>
    <xdr:to>
      <xdr:col>2</xdr:col>
      <xdr:colOff>0</xdr:colOff>
      <xdr:row>454</xdr:row>
      <xdr:rowOff>142875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5EF54BD0-73D6-4968-9973-6B315F1EC31C}"/>
            </a:ext>
          </a:extLst>
        </xdr:cNvPr>
        <xdr:cNvSpPr>
          <a:spLocks noChangeShapeType="1"/>
        </xdr:cNvSpPr>
      </xdr:nvSpPr>
      <xdr:spPr bwMode="auto">
        <a:xfrm flipV="1">
          <a:off x="1304925" y="746474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452</xdr:row>
      <xdr:rowOff>38100</xdr:rowOff>
    </xdr:from>
    <xdr:to>
      <xdr:col>3</xdr:col>
      <xdr:colOff>209550</xdr:colOff>
      <xdr:row>452</xdr:row>
      <xdr:rowOff>38100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667D3536-0E77-4DD7-972B-A14573BEA3B9}"/>
            </a:ext>
          </a:extLst>
        </xdr:cNvPr>
        <xdr:cNvSpPr>
          <a:spLocks noChangeShapeType="1"/>
        </xdr:cNvSpPr>
      </xdr:nvSpPr>
      <xdr:spPr bwMode="auto">
        <a:xfrm>
          <a:off x="1304925" y="74647425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447</xdr:row>
      <xdr:rowOff>123825</xdr:rowOff>
    </xdr:from>
    <xdr:to>
      <xdr:col>3</xdr:col>
      <xdr:colOff>409575</xdr:colOff>
      <xdr:row>450</xdr:row>
      <xdr:rowOff>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A9D18BE8-0A64-4B29-927F-81BBA0FC44A7}"/>
            </a:ext>
          </a:extLst>
        </xdr:cNvPr>
        <xdr:cNvSpPr>
          <a:spLocks noChangeArrowheads="1"/>
        </xdr:cNvSpPr>
      </xdr:nvSpPr>
      <xdr:spPr bwMode="auto">
        <a:xfrm>
          <a:off x="2066925" y="7392352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453</xdr:row>
      <xdr:rowOff>76200</xdr:rowOff>
    </xdr:from>
    <xdr:to>
      <xdr:col>2</xdr:col>
      <xdr:colOff>0</xdr:colOff>
      <xdr:row>454</xdr:row>
      <xdr:rowOff>142875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ED0DC10D-F95C-4A65-9B6E-E48101B90E11}"/>
            </a:ext>
          </a:extLst>
        </xdr:cNvPr>
        <xdr:cNvSpPr>
          <a:spLocks noChangeShapeType="1"/>
        </xdr:cNvSpPr>
      </xdr:nvSpPr>
      <xdr:spPr bwMode="auto">
        <a:xfrm>
          <a:off x="1104900" y="74847450"/>
          <a:ext cx="20002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452</xdr:row>
      <xdr:rowOff>38100</xdr:rowOff>
    </xdr:from>
    <xdr:to>
      <xdr:col>2</xdr:col>
      <xdr:colOff>0</xdr:colOff>
      <xdr:row>454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D4F81178-9B98-4A05-A1C9-8D4172C81752}"/>
            </a:ext>
          </a:extLst>
        </xdr:cNvPr>
        <xdr:cNvSpPr>
          <a:spLocks noChangeShapeType="1"/>
        </xdr:cNvSpPr>
      </xdr:nvSpPr>
      <xdr:spPr bwMode="auto">
        <a:xfrm flipV="1">
          <a:off x="1304925" y="746474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452</xdr:row>
      <xdr:rowOff>38100</xdr:rowOff>
    </xdr:from>
    <xdr:to>
      <xdr:col>3</xdr:col>
      <xdr:colOff>209550</xdr:colOff>
      <xdr:row>452</xdr:row>
      <xdr:rowOff>38100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C8042A6-D6F2-4013-94EB-C1D68B15CFF8}"/>
            </a:ext>
          </a:extLst>
        </xdr:cNvPr>
        <xdr:cNvSpPr>
          <a:spLocks noChangeShapeType="1"/>
        </xdr:cNvSpPr>
      </xdr:nvSpPr>
      <xdr:spPr bwMode="auto">
        <a:xfrm>
          <a:off x="1304925" y="74647425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461</xdr:row>
      <xdr:rowOff>0</xdr:rowOff>
    </xdr:from>
    <xdr:to>
      <xdr:col>1</xdr:col>
      <xdr:colOff>323850</xdr:colOff>
      <xdr:row>461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E66CDD95-4D5F-41B7-9C39-A4496655E76A}"/>
            </a:ext>
          </a:extLst>
        </xdr:cNvPr>
        <xdr:cNvSpPr>
          <a:spLocks noChangeShapeType="1"/>
        </xdr:cNvSpPr>
      </xdr:nvSpPr>
      <xdr:spPr bwMode="auto">
        <a:xfrm flipV="1">
          <a:off x="933450" y="76066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461</xdr:row>
      <xdr:rowOff>0</xdr:rowOff>
    </xdr:from>
    <xdr:to>
      <xdr:col>1</xdr:col>
      <xdr:colOff>323850</xdr:colOff>
      <xdr:row>461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82DF6CAD-D12F-4E40-9DBC-C1E86D7B19E9}"/>
            </a:ext>
          </a:extLst>
        </xdr:cNvPr>
        <xdr:cNvSpPr>
          <a:spLocks noChangeShapeType="1"/>
        </xdr:cNvSpPr>
      </xdr:nvSpPr>
      <xdr:spPr bwMode="auto">
        <a:xfrm flipV="1">
          <a:off x="933450" y="76066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251460</xdr:colOff>
      <xdr:row>68</xdr:row>
      <xdr:rowOff>104775</xdr:rowOff>
    </xdr:from>
    <xdr:to>
      <xdr:col>6</xdr:col>
      <xdr:colOff>38056</xdr:colOff>
      <xdr:row>70</xdr:row>
      <xdr:rowOff>57150</xdr:rowOff>
    </xdr:to>
    <xdr:sp macro="" textlink="">
      <xdr:nvSpPr>
        <xdr:cNvPr id="27" name="AutoShape 28">
          <a:extLst>
            <a:ext uri="{FF2B5EF4-FFF2-40B4-BE49-F238E27FC236}">
              <a16:creationId xmlns:a16="http://schemas.microsoft.com/office/drawing/2014/main" id="{DDE517BE-0083-42BD-AF6C-FA3081534FD7}"/>
            </a:ext>
          </a:extLst>
        </xdr:cNvPr>
        <xdr:cNvSpPr>
          <a:spLocks noChangeArrowheads="1"/>
        </xdr:cNvSpPr>
      </xdr:nvSpPr>
      <xdr:spPr bwMode="auto">
        <a:xfrm>
          <a:off x="2213610" y="11591925"/>
          <a:ext cx="1691596" cy="276225"/>
        </a:xfrm>
        <a:prstGeom prst="wedgeRectCallout">
          <a:avLst>
            <a:gd name="adj1" fmla="val -89884"/>
            <a:gd name="adj2" fmla="val 6724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altura de centro a centro</a:t>
          </a:r>
        </a:p>
      </xdr:txBody>
    </xdr:sp>
    <xdr:clientData/>
  </xdr:twoCellAnchor>
  <xdr:twoCellAnchor>
    <xdr:from>
      <xdr:col>3</xdr:col>
      <xdr:colOff>220980</xdr:colOff>
      <xdr:row>72</xdr:row>
      <xdr:rowOff>19050</xdr:rowOff>
    </xdr:from>
    <xdr:to>
      <xdr:col>6</xdr:col>
      <xdr:colOff>19156</xdr:colOff>
      <xdr:row>73</xdr:row>
      <xdr:rowOff>133350</xdr:rowOff>
    </xdr:to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D46391EA-5133-4183-872A-57A10A01BDBB}"/>
            </a:ext>
          </a:extLst>
        </xdr:cNvPr>
        <xdr:cNvSpPr>
          <a:spLocks noChangeArrowheads="1"/>
        </xdr:cNvSpPr>
      </xdr:nvSpPr>
      <xdr:spPr bwMode="auto">
        <a:xfrm>
          <a:off x="2183130" y="12153900"/>
          <a:ext cx="1703176" cy="276225"/>
        </a:xfrm>
        <a:prstGeom prst="wedgeRectCallout">
          <a:avLst>
            <a:gd name="adj1" fmla="val -88148"/>
            <a:gd name="adj2" fmla="val -7758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Diâmetro do Rolo</a:t>
          </a:r>
        </a:p>
      </xdr:txBody>
    </xdr:sp>
    <xdr:clientData/>
  </xdr:twoCellAnchor>
  <xdr:twoCellAnchor>
    <xdr:from>
      <xdr:col>3</xdr:col>
      <xdr:colOff>325755</xdr:colOff>
      <xdr:row>107</xdr:row>
      <xdr:rowOff>146685</xdr:rowOff>
    </xdr:from>
    <xdr:to>
      <xdr:col>6</xdr:col>
      <xdr:colOff>118104</xdr:colOff>
      <xdr:row>109</xdr:row>
      <xdr:rowOff>105186</xdr:rowOff>
    </xdr:to>
    <xdr:sp macro="" textlink="">
      <xdr:nvSpPr>
        <xdr:cNvPr id="29" name="AutoShape 32">
          <a:extLst>
            <a:ext uri="{FF2B5EF4-FFF2-40B4-BE49-F238E27FC236}">
              <a16:creationId xmlns:a16="http://schemas.microsoft.com/office/drawing/2014/main" id="{F386BC8B-DC2B-4BBA-B860-C332FB36D660}"/>
            </a:ext>
          </a:extLst>
        </xdr:cNvPr>
        <xdr:cNvSpPr>
          <a:spLocks noChangeArrowheads="1"/>
        </xdr:cNvSpPr>
      </xdr:nvSpPr>
      <xdr:spPr bwMode="auto">
        <a:xfrm>
          <a:off x="2287905" y="17948910"/>
          <a:ext cx="1697349" cy="282351"/>
        </a:xfrm>
        <a:prstGeom prst="wedgeRectCallout">
          <a:avLst>
            <a:gd name="adj1" fmla="val -92194"/>
            <a:gd name="adj2" fmla="val -862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de cada caneca</a:t>
          </a:r>
        </a:p>
      </xdr:txBody>
    </xdr:sp>
    <xdr:clientData/>
  </xdr:twoCellAnchor>
  <xdr:twoCellAnchor>
    <xdr:from>
      <xdr:col>3</xdr:col>
      <xdr:colOff>306705</xdr:colOff>
      <xdr:row>112</xdr:row>
      <xdr:rowOff>38100</xdr:rowOff>
    </xdr:from>
    <xdr:to>
      <xdr:col>6</xdr:col>
      <xdr:colOff>104934</xdr:colOff>
      <xdr:row>113</xdr:row>
      <xdr:rowOff>146916</xdr:rowOff>
    </xdr:to>
    <xdr:sp macro="" textlink="">
      <xdr:nvSpPr>
        <xdr:cNvPr id="30" name="AutoShape 33">
          <a:extLst>
            <a:ext uri="{FF2B5EF4-FFF2-40B4-BE49-F238E27FC236}">
              <a16:creationId xmlns:a16="http://schemas.microsoft.com/office/drawing/2014/main" id="{A2FFD6CB-3C28-4FAC-AF4D-02897EC20AB4}"/>
            </a:ext>
          </a:extLst>
        </xdr:cNvPr>
        <xdr:cNvSpPr>
          <a:spLocks noChangeArrowheads="1"/>
        </xdr:cNvSpPr>
      </xdr:nvSpPr>
      <xdr:spPr bwMode="auto">
        <a:xfrm>
          <a:off x="2268855" y="18649950"/>
          <a:ext cx="1703229" cy="270741"/>
        </a:xfrm>
        <a:prstGeom prst="wedgeRectCallout">
          <a:avLst>
            <a:gd name="adj1" fmla="val -83528"/>
            <a:gd name="adj2" fmla="val -14310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da correia ou corrente</a:t>
          </a:r>
        </a:p>
      </xdr:txBody>
    </xdr:sp>
    <xdr:clientData/>
  </xdr:twoCellAnchor>
  <xdr:twoCellAnchor>
    <xdr:from>
      <xdr:col>4</xdr:col>
      <xdr:colOff>363855</xdr:colOff>
      <xdr:row>142</xdr:row>
      <xdr:rowOff>104775</xdr:rowOff>
    </xdr:from>
    <xdr:to>
      <xdr:col>7</xdr:col>
      <xdr:colOff>325806</xdr:colOff>
      <xdr:row>144</xdr:row>
      <xdr:rowOff>142875</xdr:rowOff>
    </xdr:to>
    <xdr:sp macro="" textlink="">
      <xdr:nvSpPr>
        <xdr:cNvPr id="31" name="AutoShape 34">
          <a:extLst>
            <a:ext uri="{FF2B5EF4-FFF2-40B4-BE49-F238E27FC236}">
              <a16:creationId xmlns:a16="http://schemas.microsoft.com/office/drawing/2014/main" id="{F1E55FA8-6FDF-492E-A034-8D279F1AA356}"/>
            </a:ext>
          </a:extLst>
        </xdr:cNvPr>
        <xdr:cNvSpPr>
          <a:spLocks noChangeArrowheads="1"/>
        </xdr:cNvSpPr>
      </xdr:nvSpPr>
      <xdr:spPr bwMode="auto">
        <a:xfrm>
          <a:off x="2954655" y="23574375"/>
          <a:ext cx="1847901" cy="361950"/>
        </a:xfrm>
        <a:prstGeom prst="wedgeRectCallout">
          <a:avLst>
            <a:gd name="adj1" fmla="val -92245"/>
            <a:gd name="adj2" fmla="val 8157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Entra no calculo da potência do motor</a:t>
          </a:r>
        </a:p>
      </xdr:txBody>
    </xdr:sp>
    <xdr:clientData/>
  </xdr:twoCellAnchor>
  <xdr:twoCellAnchor>
    <xdr:from>
      <xdr:col>3</xdr:col>
      <xdr:colOff>474345</xdr:colOff>
      <xdr:row>207</xdr:row>
      <xdr:rowOff>38100</xdr:rowOff>
    </xdr:from>
    <xdr:to>
      <xdr:col>6</xdr:col>
      <xdr:colOff>588645</xdr:colOff>
      <xdr:row>209</xdr:row>
      <xdr:rowOff>95250</xdr:rowOff>
    </xdr:to>
    <xdr:sp macro="" textlink="">
      <xdr:nvSpPr>
        <xdr:cNvPr id="32" name="AutoShape 35">
          <a:extLst>
            <a:ext uri="{FF2B5EF4-FFF2-40B4-BE49-F238E27FC236}">
              <a16:creationId xmlns:a16="http://schemas.microsoft.com/office/drawing/2014/main" id="{7DA3F893-BBBC-4699-B16E-032CC0FB93A2}"/>
            </a:ext>
          </a:extLst>
        </xdr:cNvPr>
        <xdr:cNvSpPr>
          <a:spLocks noChangeArrowheads="1"/>
        </xdr:cNvSpPr>
      </xdr:nvSpPr>
      <xdr:spPr bwMode="auto">
        <a:xfrm>
          <a:off x="2436495" y="34032825"/>
          <a:ext cx="2019300" cy="381000"/>
        </a:xfrm>
        <a:prstGeom prst="wedgeRectCallout">
          <a:avLst>
            <a:gd name="adj1" fmla="val -92028"/>
            <a:gd name="adj2" fmla="val 4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largura da correia em cm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para corrente não precisa mudar</a:t>
          </a:r>
        </a:p>
      </xdr:txBody>
    </xdr:sp>
    <xdr:clientData/>
  </xdr:twoCellAnchor>
  <xdr:twoCellAnchor>
    <xdr:from>
      <xdr:col>4</xdr:col>
      <xdr:colOff>26669</xdr:colOff>
      <xdr:row>210</xdr:row>
      <xdr:rowOff>99060</xdr:rowOff>
    </xdr:from>
    <xdr:to>
      <xdr:col>6</xdr:col>
      <xdr:colOff>520074</xdr:colOff>
      <xdr:row>213</xdr:row>
      <xdr:rowOff>38571</xdr:rowOff>
    </xdr:to>
    <xdr:sp macro="" textlink="">
      <xdr:nvSpPr>
        <xdr:cNvPr id="33" name="AutoShape 36">
          <a:extLst>
            <a:ext uri="{FF2B5EF4-FFF2-40B4-BE49-F238E27FC236}">
              <a16:creationId xmlns:a16="http://schemas.microsoft.com/office/drawing/2014/main" id="{31B53AEC-D9B6-4DE8-A12D-2580DE6936C6}"/>
            </a:ext>
          </a:extLst>
        </xdr:cNvPr>
        <xdr:cNvSpPr>
          <a:spLocks noChangeArrowheads="1"/>
        </xdr:cNvSpPr>
      </xdr:nvSpPr>
      <xdr:spPr bwMode="auto">
        <a:xfrm>
          <a:off x="2617469" y="34579560"/>
          <a:ext cx="1769755" cy="425286"/>
        </a:xfrm>
        <a:prstGeom prst="wedgeRectCallout">
          <a:avLst>
            <a:gd name="adj1" fmla="val -80245"/>
            <a:gd name="adj2" fmla="val 2692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Depende do tipo da correia</a:t>
          </a:r>
        </a:p>
      </xdr:txBody>
    </xdr:sp>
    <xdr:clientData/>
  </xdr:twoCellAnchor>
  <xdr:twoCellAnchor>
    <xdr:from>
      <xdr:col>3</xdr:col>
      <xdr:colOff>95250</xdr:colOff>
      <xdr:row>216</xdr:row>
      <xdr:rowOff>104775</xdr:rowOff>
    </xdr:from>
    <xdr:to>
      <xdr:col>5</xdr:col>
      <xdr:colOff>398227</xdr:colOff>
      <xdr:row>218</xdr:row>
      <xdr:rowOff>28575</xdr:rowOff>
    </xdr:to>
    <xdr:sp macro="" textlink="">
      <xdr:nvSpPr>
        <xdr:cNvPr id="34" name="AutoShape 37">
          <a:extLst>
            <a:ext uri="{FF2B5EF4-FFF2-40B4-BE49-F238E27FC236}">
              <a16:creationId xmlns:a16="http://schemas.microsoft.com/office/drawing/2014/main" id="{25F34ED4-D65C-4977-82D8-68DC776CC848}"/>
            </a:ext>
          </a:extLst>
        </xdr:cNvPr>
        <xdr:cNvSpPr>
          <a:spLocks noChangeArrowheads="1"/>
        </xdr:cNvSpPr>
      </xdr:nvSpPr>
      <xdr:spPr bwMode="auto">
        <a:xfrm>
          <a:off x="2057400" y="35556825"/>
          <a:ext cx="1598377" cy="247650"/>
        </a:xfrm>
        <a:prstGeom prst="wedgeRectCallout">
          <a:avLst>
            <a:gd name="adj1" fmla="val -64199"/>
            <a:gd name="adj2" fmla="val 14615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arredondar para cima</a:t>
          </a:r>
        </a:p>
      </xdr:txBody>
    </xdr:sp>
    <xdr:clientData/>
  </xdr:twoCellAnchor>
  <xdr:twoCellAnchor>
    <xdr:from>
      <xdr:col>10</xdr:col>
      <xdr:colOff>342900</xdr:colOff>
      <xdr:row>326</xdr:row>
      <xdr:rowOff>114300</xdr:rowOff>
    </xdr:from>
    <xdr:to>
      <xdr:col>10</xdr:col>
      <xdr:colOff>342900</xdr:colOff>
      <xdr:row>329</xdr:row>
      <xdr:rowOff>28575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9F719878-3180-47EB-B4C0-E0CC0046C30A}"/>
            </a:ext>
          </a:extLst>
        </xdr:cNvPr>
        <xdr:cNvSpPr>
          <a:spLocks noChangeShapeType="1"/>
        </xdr:cNvSpPr>
      </xdr:nvSpPr>
      <xdr:spPr bwMode="auto">
        <a:xfrm flipV="1">
          <a:off x="6905625" y="53778150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12</xdr:col>
      <xdr:colOff>57150</xdr:colOff>
      <xdr:row>326</xdr:row>
      <xdr:rowOff>114300</xdr:rowOff>
    </xdr:to>
    <xdr:sp macro="" textlink="">
      <xdr:nvSpPr>
        <xdr:cNvPr id="36" name="Line 3">
          <a:extLst>
            <a:ext uri="{FF2B5EF4-FFF2-40B4-BE49-F238E27FC236}">
              <a16:creationId xmlns:a16="http://schemas.microsoft.com/office/drawing/2014/main" id="{90688813-5D3B-4DFB-9F46-376F43EC251B}"/>
            </a:ext>
          </a:extLst>
        </xdr:cNvPr>
        <xdr:cNvSpPr>
          <a:spLocks noChangeShapeType="1"/>
        </xdr:cNvSpPr>
      </xdr:nvSpPr>
      <xdr:spPr bwMode="auto">
        <a:xfrm>
          <a:off x="6905625" y="53778150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219075</xdr:colOff>
      <xdr:row>328</xdr:row>
      <xdr:rowOff>19050</xdr:rowOff>
    </xdr:from>
    <xdr:to>
      <xdr:col>10</xdr:col>
      <xdr:colOff>342900</xdr:colOff>
      <xdr:row>329</xdr:row>
      <xdr:rowOff>28575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F63D032D-C180-42F2-84C7-262846B714B9}"/>
            </a:ext>
          </a:extLst>
        </xdr:cNvPr>
        <xdr:cNvSpPr>
          <a:spLocks noChangeShapeType="1"/>
        </xdr:cNvSpPr>
      </xdr:nvSpPr>
      <xdr:spPr bwMode="auto">
        <a:xfrm>
          <a:off x="6781800" y="54035325"/>
          <a:ext cx="123825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10</xdr:col>
      <xdr:colOff>342900</xdr:colOff>
      <xdr:row>329</xdr:row>
      <xdr:rowOff>28575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62001CA1-A89E-4F22-B3B2-A537C0CB4CBD}"/>
            </a:ext>
          </a:extLst>
        </xdr:cNvPr>
        <xdr:cNvSpPr>
          <a:spLocks noChangeShapeType="1"/>
        </xdr:cNvSpPr>
      </xdr:nvSpPr>
      <xdr:spPr bwMode="auto">
        <a:xfrm flipV="1">
          <a:off x="6905625" y="53778150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326</xdr:row>
      <xdr:rowOff>114300</xdr:rowOff>
    </xdr:from>
    <xdr:to>
      <xdr:col>12</xdr:col>
      <xdr:colOff>57150</xdr:colOff>
      <xdr:row>326</xdr:row>
      <xdr:rowOff>114300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id="{EEF9EDC6-32B1-40D8-8261-B5577EECF17D}"/>
            </a:ext>
          </a:extLst>
        </xdr:cNvPr>
        <xdr:cNvSpPr>
          <a:spLocks noChangeShapeType="1"/>
        </xdr:cNvSpPr>
      </xdr:nvSpPr>
      <xdr:spPr bwMode="auto">
        <a:xfrm>
          <a:off x="6905625" y="53778150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285751</xdr:colOff>
      <xdr:row>344</xdr:row>
      <xdr:rowOff>76200</xdr:rowOff>
    </xdr:from>
    <xdr:to>
      <xdr:col>10</xdr:col>
      <xdr:colOff>342901</xdr:colOff>
      <xdr:row>346</xdr:row>
      <xdr:rowOff>123825</xdr:rowOff>
    </xdr:to>
    <xdr:sp macro="" textlink="">
      <xdr:nvSpPr>
        <xdr:cNvPr id="40" name="Colchete Esquerdo 39">
          <a:extLst>
            <a:ext uri="{FF2B5EF4-FFF2-40B4-BE49-F238E27FC236}">
              <a16:creationId xmlns:a16="http://schemas.microsoft.com/office/drawing/2014/main" id="{225F3719-23D9-4573-8C97-EAC3052B4A2D}"/>
            </a:ext>
          </a:extLst>
        </xdr:cNvPr>
        <xdr:cNvSpPr/>
      </xdr:nvSpPr>
      <xdr:spPr>
        <a:xfrm>
          <a:off x="6848476" y="56797575"/>
          <a:ext cx="57150" cy="3714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228600</xdr:colOff>
      <xdr:row>344</xdr:row>
      <xdr:rowOff>85726</xdr:rowOff>
    </xdr:from>
    <xdr:to>
      <xdr:col>11</xdr:col>
      <xdr:colOff>285750</xdr:colOff>
      <xdr:row>346</xdr:row>
      <xdr:rowOff>133350</xdr:rowOff>
    </xdr:to>
    <xdr:sp macro="" textlink="">
      <xdr:nvSpPr>
        <xdr:cNvPr id="41" name="Colchete Direito 40">
          <a:extLst>
            <a:ext uri="{FF2B5EF4-FFF2-40B4-BE49-F238E27FC236}">
              <a16:creationId xmlns:a16="http://schemas.microsoft.com/office/drawing/2014/main" id="{1C322880-E0C1-4E22-A868-B23161E54231}"/>
            </a:ext>
          </a:extLst>
        </xdr:cNvPr>
        <xdr:cNvSpPr/>
      </xdr:nvSpPr>
      <xdr:spPr>
        <a:xfrm>
          <a:off x="7639050" y="56807101"/>
          <a:ext cx="57150" cy="3714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</xdr:colOff>
      <xdr:row>72</xdr:row>
      <xdr:rowOff>47625</xdr:rowOff>
    </xdr:from>
    <xdr:ext cx="5133975" cy="4057650"/>
    <xdr:pic>
      <xdr:nvPicPr>
        <xdr:cNvPr id="2" name="Imagem 4">
          <a:extLst>
            <a:ext uri="{FF2B5EF4-FFF2-40B4-BE49-F238E27FC236}">
              <a16:creationId xmlns:a16="http://schemas.microsoft.com/office/drawing/2014/main" id="{EE691652-2EF7-4456-BE96-CA396C5C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525625"/>
          <a:ext cx="5133975" cy="405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114300</xdr:colOff>
      <xdr:row>72</xdr:row>
      <xdr:rowOff>28575</xdr:rowOff>
    </xdr:from>
    <xdr:to>
      <xdr:col>10</xdr:col>
      <xdr:colOff>66675</xdr:colOff>
      <xdr:row>77</xdr:row>
      <xdr:rowOff>0</xdr:rowOff>
    </xdr:to>
    <xdr:grpSp>
      <xdr:nvGrpSpPr>
        <xdr:cNvPr id="3" name="Agrupar 14">
          <a:extLst>
            <a:ext uri="{FF2B5EF4-FFF2-40B4-BE49-F238E27FC236}">
              <a16:creationId xmlns:a16="http://schemas.microsoft.com/office/drawing/2014/main" id="{784B3150-AF5C-4290-B9B3-F7E4616F7B4D}"/>
            </a:ext>
          </a:extLst>
        </xdr:cNvPr>
        <xdr:cNvGrpSpPr>
          <a:grpSpLocks/>
        </xdr:cNvGrpSpPr>
      </xdr:nvGrpSpPr>
      <xdr:grpSpPr bwMode="auto">
        <a:xfrm>
          <a:off x="8702040" y="14643735"/>
          <a:ext cx="1247775" cy="809625"/>
          <a:chOff x="685800" y="15754350"/>
          <a:chExt cx="1204913" cy="790888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C2CEA4FA-70E7-B52C-B8FA-A489D55236E9}"/>
              </a:ext>
            </a:extLst>
          </xdr:cNvPr>
          <xdr:cNvGrpSpPr>
            <a:grpSpLocks/>
          </xdr:cNvGrpSpPr>
        </xdr:nvGrpSpPr>
        <xdr:grpSpPr bwMode="auto">
          <a:xfrm rot="-2778485">
            <a:off x="1104900" y="15754350"/>
            <a:ext cx="771525" cy="800100"/>
            <a:chOff x="1104900" y="15706725"/>
            <a:chExt cx="771525" cy="800100"/>
          </a:xfrm>
        </xdr:grpSpPr>
        <xdr:sp macro="" textlink="">
          <xdr:nvSpPr>
            <xdr:cNvPr id="9" name="Fluxograma: Conector 8">
              <a:extLst>
                <a:ext uri="{FF2B5EF4-FFF2-40B4-BE49-F238E27FC236}">
                  <a16:creationId xmlns:a16="http://schemas.microsoft.com/office/drawing/2014/main" id="{333CB3DD-1E3F-DD5B-BAC4-4BE53996997F}"/>
                </a:ext>
              </a:extLst>
            </xdr:cNvPr>
            <xdr:cNvSpPr/>
          </xdr:nvSpPr>
          <xdr:spPr>
            <a:xfrm>
              <a:off x="1107399" y="15677752"/>
              <a:ext cx="771598" cy="822401"/>
            </a:xfrm>
            <a:prstGeom prst="flowChartConnector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pt-BR"/>
            </a:p>
          </xdr:txBody>
        </xdr:sp>
        <xdr:sp macro="" textlink="">
          <xdr:nvSpPr>
            <xdr:cNvPr id="10" name="Corda 9">
              <a:extLst>
                <a:ext uri="{FF2B5EF4-FFF2-40B4-BE49-F238E27FC236}">
                  <a16:creationId xmlns:a16="http://schemas.microsoft.com/office/drawing/2014/main" id="{98438470-5145-74E7-51B0-FD7E0546D885}"/>
                </a:ext>
              </a:extLst>
            </xdr:cNvPr>
            <xdr:cNvSpPr/>
          </xdr:nvSpPr>
          <xdr:spPr>
            <a:xfrm rot="17477383">
              <a:off x="1150422" y="15706501"/>
              <a:ext cx="726773" cy="752308"/>
            </a:xfrm>
            <a:prstGeom prst="chord">
              <a:avLst>
                <a:gd name="adj1" fmla="val 9212954"/>
                <a:gd name="adj2" fmla="val 15558096"/>
              </a:avLst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pt-BR"/>
            </a:p>
          </xdr:txBody>
        </xdr: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BA8646D9-4117-B327-E813-070296454E5F}"/>
              </a:ext>
            </a:extLst>
          </xdr:cNvPr>
          <xdr:cNvCxnSpPr/>
        </xdr:nvCxnSpPr>
        <xdr:spPr>
          <a:xfrm flipH="1" flipV="1">
            <a:off x="848368" y="16381273"/>
            <a:ext cx="631145" cy="964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E0420D99-53FA-BF9C-5087-8FD3C4B9D391}"/>
              </a:ext>
            </a:extLst>
          </xdr:cNvPr>
          <xdr:cNvCxnSpPr/>
        </xdr:nvCxnSpPr>
        <xdr:spPr>
          <a:xfrm flipH="1" flipV="1">
            <a:off x="685800" y="16545238"/>
            <a:ext cx="803275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BC6308AA-A342-C9FC-510E-9715C449A459}"/>
              </a:ext>
            </a:extLst>
          </xdr:cNvPr>
          <xdr:cNvCxnSpPr/>
        </xdr:nvCxnSpPr>
        <xdr:spPr>
          <a:xfrm flipH="1" flipV="1">
            <a:off x="704926" y="15754350"/>
            <a:ext cx="79371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Conector de Seta Reta 7">
            <a:extLst>
              <a:ext uri="{FF2B5EF4-FFF2-40B4-BE49-F238E27FC236}">
                <a16:creationId xmlns:a16="http://schemas.microsoft.com/office/drawing/2014/main" id="{89A10C33-E2AF-FCD1-A1E5-59C8C4DDA51C}"/>
              </a:ext>
            </a:extLst>
          </xdr:cNvPr>
          <xdr:cNvCxnSpPr/>
        </xdr:nvCxnSpPr>
        <xdr:spPr>
          <a:xfrm>
            <a:off x="752740" y="15754350"/>
            <a:ext cx="9563" cy="781243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400050</xdr:colOff>
      <xdr:row>74</xdr:row>
      <xdr:rowOff>95250</xdr:rowOff>
    </xdr:from>
    <xdr:to>
      <xdr:col>11</xdr:col>
      <xdr:colOff>123825</xdr:colOff>
      <xdr:row>74</xdr:row>
      <xdr:rowOff>95250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7C71225C-0F60-4E12-ABFA-BCE19DFD62FF}"/>
            </a:ext>
          </a:extLst>
        </xdr:cNvPr>
        <xdr:cNvCxnSpPr/>
      </xdr:nvCxnSpPr>
      <xdr:spPr>
        <a:xfrm>
          <a:off x="10048875" y="148971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DD0D24E-C02F-44DB-BFDF-C48D7C08B121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82F16B21-AE00-4FF4-83EF-9A9BD59C1FE9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665D90D-84DA-44E7-9B83-D371AAA49A68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CEEACDD6-049A-4A62-8D22-36865F1D0C05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B7047E4B-CED8-4BD8-9044-55555DDE37AD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35384F97-9E02-4FD5-8FD4-FE087E96FBE6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C2631E4-59D8-49BB-9E39-531A517E883F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E3D660D6-A754-4BDC-9C07-DD79EA511994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FBD9DF8C-2998-4AA8-A4F8-D69ACB2BF58B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79FE6F11-8C5A-419A-BC7D-E2A23A7AF81C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4ACCB36D-E1C9-4015-BAA7-FC8D3121DF76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34DB65D4-9161-4EBB-A4AD-DE6C77B557B5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AC5653B6-4E8A-420B-8BE7-FD8138BE4197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B1D0B34-E5C8-41EB-95C9-B097928EE565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491</xdr:row>
      <xdr:rowOff>66675</xdr:rowOff>
    </xdr:from>
    <xdr:to>
      <xdr:col>1</xdr:col>
      <xdr:colOff>457200</xdr:colOff>
      <xdr:row>491</xdr:row>
      <xdr:rowOff>219075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B75C7908-3A8C-4F74-BD1E-F4ACDB5CCF65}"/>
            </a:ext>
          </a:extLst>
        </xdr:cNvPr>
        <xdr:cNvSpPr>
          <a:spLocks noChangeShapeType="1"/>
        </xdr:cNvSpPr>
      </xdr:nvSpPr>
      <xdr:spPr bwMode="auto">
        <a:xfrm>
          <a:off x="1057275" y="79895700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2FC1445-60D6-4D05-AA64-B219A6CAA806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4D859339-42C8-461E-BB8A-D9958AA638FC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483</xdr:row>
      <xdr:rowOff>38100</xdr:rowOff>
    </xdr:from>
    <xdr:to>
      <xdr:col>1</xdr:col>
      <xdr:colOff>323850</xdr:colOff>
      <xdr:row>483</xdr:row>
      <xdr:rowOff>152400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DAB2AC17-C824-4F04-B372-14CD88236375}"/>
            </a:ext>
          </a:extLst>
        </xdr:cNvPr>
        <xdr:cNvSpPr>
          <a:spLocks noChangeShapeType="1"/>
        </xdr:cNvSpPr>
      </xdr:nvSpPr>
      <xdr:spPr bwMode="auto">
        <a:xfrm>
          <a:off x="914400" y="78514575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1</xdr:col>
      <xdr:colOff>323850</xdr:colOff>
      <xdr:row>483</xdr:row>
      <xdr:rowOff>142875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7B1936F1-D3AE-4982-88A6-B5B2F582F0D1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2</xdr:col>
      <xdr:colOff>533400</xdr:colOff>
      <xdr:row>482</xdr:row>
      <xdr:rowOff>104775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32782023-D31F-4130-910C-3046844B6F2F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500</xdr:row>
      <xdr:rowOff>38100</xdr:rowOff>
    </xdr:from>
    <xdr:to>
      <xdr:col>1</xdr:col>
      <xdr:colOff>323850</xdr:colOff>
      <xdr:row>500</xdr:row>
      <xdr:rowOff>152400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4A73378C-DE5A-4082-B606-FB3B66C52FAE}"/>
            </a:ext>
          </a:extLst>
        </xdr:cNvPr>
        <xdr:cNvSpPr>
          <a:spLocks noChangeShapeType="1"/>
        </xdr:cNvSpPr>
      </xdr:nvSpPr>
      <xdr:spPr bwMode="auto">
        <a:xfrm>
          <a:off x="914400" y="81419700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1</xdr:col>
      <xdr:colOff>323850</xdr:colOff>
      <xdr:row>500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ADF9A3D8-3006-4A88-B2A3-F4403EBCE907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2</xdr:col>
      <xdr:colOff>533400</xdr:colOff>
      <xdr:row>499</xdr:row>
      <xdr:rowOff>104775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F5910E14-432B-4D45-ACFC-4415DEFB2EB1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EE2986DE-8F7E-468D-8182-CB8375C95B37}"/>
            </a:ext>
          </a:extLst>
        </xdr:cNvPr>
        <xdr:cNvSpPr>
          <a:spLocks noChangeArrowheads="1"/>
        </xdr:cNvSpPr>
      </xdr:nvSpPr>
      <xdr:spPr bwMode="auto">
        <a:xfrm>
          <a:off x="1962150" y="1124997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FF372ECC-459D-4B44-A961-1CE63A774435}"/>
            </a:ext>
          </a:extLst>
        </xdr:cNvPr>
        <xdr:cNvSpPr>
          <a:spLocks noChangeShapeType="1"/>
        </xdr:cNvSpPr>
      </xdr:nvSpPr>
      <xdr:spPr bwMode="auto">
        <a:xfrm>
          <a:off x="1152525" y="113423700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BA0B306F-9082-48CB-9B48-5232DE8F0261}"/>
            </a:ext>
          </a:extLst>
        </xdr:cNvPr>
        <xdr:cNvSpPr>
          <a:spLocks noChangeShapeType="1"/>
        </xdr:cNvSpPr>
      </xdr:nvSpPr>
      <xdr:spPr bwMode="auto">
        <a:xfrm flipV="1">
          <a:off x="1295400" y="1132236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BDFB8133-30F6-4D1A-AC7F-82B74AADB140}"/>
            </a:ext>
          </a:extLst>
        </xdr:cNvPr>
        <xdr:cNvSpPr>
          <a:spLocks noChangeShapeType="1"/>
        </xdr:cNvSpPr>
      </xdr:nvSpPr>
      <xdr:spPr bwMode="auto">
        <a:xfrm>
          <a:off x="1295400" y="113223675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89DA10D8-CB5D-42B4-A1E4-0284D11AAD2F}"/>
            </a:ext>
          </a:extLst>
        </xdr:cNvPr>
        <xdr:cNvSpPr>
          <a:spLocks noChangeArrowheads="1"/>
        </xdr:cNvSpPr>
      </xdr:nvSpPr>
      <xdr:spPr bwMode="auto">
        <a:xfrm>
          <a:off x="1962150" y="1124997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49C8B3E1-9206-4885-B905-3A302423C1E4}"/>
            </a:ext>
          </a:extLst>
        </xdr:cNvPr>
        <xdr:cNvSpPr>
          <a:spLocks noChangeShapeType="1"/>
        </xdr:cNvSpPr>
      </xdr:nvSpPr>
      <xdr:spPr bwMode="auto">
        <a:xfrm>
          <a:off x="1152525" y="113423700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D6C3D4DC-559F-468A-9496-C170C38C37BE}"/>
            </a:ext>
          </a:extLst>
        </xdr:cNvPr>
        <xdr:cNvSpPr>
          <a:spLocks noChangeShapeType="1"/>
        </xdr:cNvSpPr>
      </xdr:nvSpPr>
      <xdr:spPr bwMode="auto">
        <a:xfrm flipV="1">
          <a:off x="1295400" y="1132236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ECC86609-DF53-4652-A537-EC3DCAF579E5}"/>
            </a:ext>
          </a:extLst>
        </xdr:cNvPr>
        <xdr:cNvSpPr>
          <a:spLocks noChangeShapeType="1"/>
        </xdr:cNvSpPr>
      </xdr:nvSpPr>
      <xdr:spPr bwMode="auto">
        <a:xfrm>
          <a:off x="1295400" y="113223675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2180D25F-F334-415D-BF93-E0A142114FC1}"/>
            </a:ext>
          </a:extLst>
        </xdr:cNvPr>
        <xdr:cNvSpPr>
          <a:spLocks noChangeShapeType="1"/>
        </xdr:cNvSpPr>
      </xdr:nvSpPr>
      <xdr:spPr bwMode="auto">
        <a:xfrm flipV="1">
          <a:off x="981075" y="114642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1276BAB6-24D9-476E-B85A-C933070F49CE}"/>
            </a:ext>
          </a:extLst>
        </xdr:cNvPr>
        <xdr:cNvSpPr>
          <a:spLocks noChangeShapeType="1"/>
        </xdr:cNvSpPr>
      </xdr:nvSpPr>
      <xdr:spPr bwMode="auto">
        <a:xfrm flipV="1">
          <a:off x="981075" y="114642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10A48A5C-C51A-4BE2-A9DB-FE095450117A}"/>
            </a:ext>
          </a:extLst>
        </xdr:cNvPr>
        <xdr:cNvSpPr>
          <a:spLocks noChangeShapeType="1"/>
        </xdr:cNvSpPr>
      </xdr:nvSpPr>
      <xdr:spPr bwMode="auto">
        <a:xfrm flipV="1">
          <a:off x="6924675" y="53806725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6" name="Line 3">
          <a:extLst>
            <a:ext uri="{FF2B5EF4-FFF2-40B4-BE49-F238E27FC236}">
              <a16:creationId xmlns:a16="http://schemas.microsoft.com/office/drawing/2014/main" id="{A7CB85C0-B778-471D-89F0-9597F9C5B023}"/>
            </a:ext>
          </a:extLst>
        </xdr:cNvPr>
        <xdr:cNvSpPr>
          <a:spLocks noChangeShapeType="1"/>
        </xdr:cNvSpPr>
      </xdr:nvSpPr>
      <xdr:spPr bwMode="auto">
        <a:xfrm>
          <a:off x="6924675" y="53806725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219075</xdr:colOff>
      <xdr:row>531</xdr:row>
      <xdr:rowOff>19050</xdr:rowOff>
    </xdr:from>
    <xdr:to>
      <xdr:col>15</xdr:col>
      <xdr:colOff>342900</xdr:colOff>
      <xdr:row>532</xdr:row>
      <xdr:rowOff>28575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CC90CC6C-41A5-4174-9E6E-E0B85BE840F8}"/>
            </a:ext>
          </a:extLst>
        </xdr:cNvPr>
        <xdr:cNvSpPr>
          <a:spLocks noChangeShapeType="1"/>
        </xdr:cNvSpPr>
      </xdr:nvSpPr>
      <xdr:spPr bwMode="auto">
        <a:xfrm>
          <a:off x="6800850" y="54063900"/>
          <a:ext cx="123825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E058983B-DBCF-490C-B301-EEAB947CE969}"/>
            </a:ext>
          </a:extLst>
        </xdr:cNvPr>
        <xdr:cNvSpPr>
          <a:spLocks noChangeShapeType="1"/>
        </xdr:cNvSpPr>
      </xdr:nvSpPr>
      <xdr:spPr bwMode="auto">
        <a:xfrm flipV="1">
          <a:off x="6924675" y="53806725"/>
          <a:ext cx="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id="{ECBB4040-BA36-4EBA-A294-6B11A7675314}"/>
            </a:ext>
          </a:extLst>
        </xdr:cNvPr>
        <xdr:cNvSpPr>
          <a:spLocks noChangeShapeType="1"/>
        </xdr:cNvSpPr>
      </xdr:nvSpPr>
      <xdr:spPr bwMode="auto">
        <a:xfrm>
          <a:off x="6924675" y="53806725"/>
          <a:ext cx="1171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285751</xdr:colOff>
      <xdr:row>547</xdr:row>
      <xdr:rowOff>76200</xdr:rowOff>
    </xdr:from>
    <xdr:to>
      <xdr:col>15</xdr:col>
      <xdr:colOff>342901</xdr:colOff>
      <xdr:row>549</xdr:row>
      <xdr:rowOff>123825</xdr:rowOff>
    </xdr:to>
    <xdr:sp macro="" textlink="">
      <xdr:nvSpPr>
        <xdr:cNvPr id="40" name="Colchete Esquerdo 39">
          <a:extLst>
            <a:ext uri="{FF2B5EF4-FFF2-40B4-BE49-F238E27FC236}">
              <a16:creationId xmlns:a16="http://schemas.microsoft.com/office/drawing/2014/main" id="{C5026032-B65B-4F37-B5F7-39B483AD7BED}"/>
            </a:ext>
          </a:extLst>
        </xdr:cNvPr>
        <xdr:cNvSpPr/>
      </xdr:nvSpPr>
      <xdr:spPr>
        <a:xfrm>
          <a:off x="6867526" y="56826150"/>
          <a:ext cx="57150" cy="3714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537727</xdr:colOff>
      <xdr:row>547</xdr:row>
      <xdr:rowOff>85726</xdr:rowOff>
    </xdr:from>
    <xdr:to>
      <xdr:col>16</xdr:col>
      <xdr:colOff>594877</xdr:colOff>
      <xdr:row>549</xdr:row>
      <xdr:rowOff>133350</xdr:rowOff>
    </xdr:to>
    <xdr:sp macro="" textlink="">
      <xdr:nvSpPr>
        <xdr:cNvPr id="41" name="Colchete Direito 40">
          <a:extLst>
            <a:ext uri="{FF2B5EF4-FFF2-40B4-BE49-F238E27FC236}">
              <a16:creationId xmlns:a16="http://schemas.microsoft.com/office/drawing/2014/main" id="{68C4902B-A425-40D9-A504-5E9C6E8E81E4}"/>
            </a:ext>
          </a:extLst>
        </xdr:cNvPr>
        <xdr:cNvSpPr/>
      </xdr:nvSpPr>
      <xdr:spPr>
        <a:xfrm>
          <a:off x="10377052" y="89249251"/>
          <a:ext cx="57150" cy="4095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D11402F-1174-44C6-A2CC-1B93BDF94674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EA41DBC-A76F-44E1-B60B-12950BAD16E5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BA5970F7-7A8F-4E0D-B879-19AAB844B992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7772C19A-8051-4F57-A6DE-EF1B4BD8C34E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6945A191-470D-466A-BE41-D860D4CC0FF9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1176C7A3-0EEB-40E0-B455-7BC99E1BFBEC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E7E603C0-A6FB-4A19-AD15-E4E37D6259CA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8CE7E1C7-27D2-4935-A7ED-3ED2D09D0CCA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9752AE17-EC37-4D37-B93E-5A04EA6C312E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581BF71F-164B-414C-949A-D37392B0F346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A6E54F6-6C57-44D3-AB28-D4D031A98A09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3205DD8-C5B5-4C64-AEA2-43EC3B81128E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3C68A17B-B8F8-47AA-9F3D-44AA0248B5C0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D29CFA0-99D2-44E8-8328-AA9687B63D54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491</xdr:row>
      <xdr:rowOff>66675</xdr:rowOff>
    </xdr:from>
    <xdr:to>
      <xdr:col>1</xdr:col>
      <xdr:colOff>457200</xdr:colOff>
      <xdr:row>491</xdr:row>
      <xdr:rowOff>219075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FB57B18C-7E6D-4AB6-9CFB-57A1B6FC914A}"/>
            </a:ext>
          </a:extLst>
        </xdr:cNvPr>
        <xdr:cNvSpPr>
          <a:spLocks noChangeShapeType="1"/>
        </xdr:cNvSpPr>
      </xdr:nvSpPr>
      <xdr:spPr bwMode="auto">
        <a:xfrm>
          <a:off x="1057275" y="79895700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36D68899-DB8B-43E4-ABA4-A41D6C83CC68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B7ABCBE2-1705-43E6-9769-E3430D5392EA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483</xdr:row>
      <xdr:rowOff>38100</xdr:rowOff>
    </xdr:from>
    <xdr:to>
      <xdr:col>1</xdr:col>
      <xdr:colOff>323850</xdr:colOff>
      <xdr:row>483</xdr:row>
      <xdr:rowOff>152400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2AC9A60F-CCAA-43C7-871E-E216CE3D7967}"/>
            </a:ext>
          </a:extLst>
        </xdr:cNvPr>
        <xdr:cNvSpPr>
          <a:spLocks noChangeShapeType="1"/>
        </xdr:cNvSpPr>
      </xdr:nvSpPr>
      <xdr:spPr bwMode="auto">
        <a:xfrm>
          <a:off x="914400" y="78514575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1</xdr:col>
      <xdr:colOff>323850</xdr:colOff>
      <xdr:row>483</xdr:row>
      <xdr:rowOff>142875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4589C1F7-E8AC-4684-9AAE-C20094FCD114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2</xdr:col>
      <xdr:colOff>533400</xdr:colOff>
      <xdr:row>482</xdr:row>
      <xdr:rowOff>104775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854EF816-93FF-4221-ADB3-765D54575C74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500</xdr:row>
      <xdr:rowOff>38100</xdr:rowOff>
    </xdr:from>
    <xdr:to>
      <xdr:col>1</xdr:col>
      <xdr:colOff>323850</xdr:colOff>
      <xdr:row>500</xdr:row>
      <xdr:rowOff>152400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6D7C9B00-4749-4D90-8706-D0A55EB964F9}"/>
            </a:ext>
          </a:extLst>
        </xdr:cNvPr>
        <xdr:cNvSpPr>
          <a:spLocks noChangeShapeType="1"/>
        </xdr:cNvSpPr>
      </xdr:nvSpPr>
      <xdr:spPr bwMode="auto">
        <a:xfrm>
          <a:off x="914400" y="81419700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1</xdr:col>
      <xdr:colOff>323850</xdr:colOff>
      <xdr:row>500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95049730-68E7-4D86-87DC-1D3B7C085E9A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2</xdr:col>
      <xdr:colOff>533400</xdr:colOff>
      <xdr:row>499</xdr:row>
      <xdr:rowOff>104775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F71E6850-7F9C-4BF7-B407-BC3E65E063EA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3C7678D2-32C0-4111-A901-E24C3C18880E}"/>
            </a:ext>
          </a:extLst>
        </xdr:cNvPr>
        <xdr:cNvSpPr>
          <a:spLocks noChangeArrowheads="1"/>
        </xdr:cNvSpPr>
      </xdr:nvSpPr>
      <xdr:spPr bwMode="auto">
        <a:xfrm>
          <a:off x="1962150" y="11260455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6D0F96D-2F59-4095-88A1-CA914BF8E140}"/>
            </a:ext>
          </a:extLst>
        </xdr:cNvPr>
        <xdr:cNvSpPr>
          <a:spLocks noChangeShapeType="1"/>
        </xdr:cNvSpPr>
      </xdr:nvSpPr>
      <xdr:spPr bwMode="auto">
        <a:xfrm>
          <a:off x="1152525" y="113528475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8E1BEAE9-745F-4647-8746-936D77D3738A}"/>
            </a:ext>
          </a:extLst>
        </xdr:cNvPr>
        <xdr:cNvSpPr>
          <a:spLocks noChangeShapeType="1"/>
        </xdr:cNvSpPr>
      </xdr:nvSpPr>
      <xdr:spPr bwMode="auto">
        <a:xfrm flipV="1">
          <a:off x="1295400" y="1133284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CF81240D-FFF9-4365-8EAD-488E422ECF4A}"/>
            </a:ext>
          </a:extLst>
        </xdr:cNvPr>
        <xdr:cNvSpPr>
          <a:spLocks noChangeShapeType="1"/>
        </xdr:cNvSpPr>
      </xdr:nvSpPr>
      <xdr:spPr bwMode="auto">
        <a:xfrm>
          <a:off x="1295400" y="11332845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6DC0D9ED-7DA7-4F6D-866A-370A430D2DDB}"/>
            </a:ext>
          </a:extLst>
        </xdr:cNvPr>
        <xdr:cNvSpPr>
          <a:spLocks noChangeArrowheads="1"/>
        </xdr:cNvSpPr>
      </xdr:nvSpPr>
      <xdr:spPr bwMode="auto">
        <a:xfrm>
          <a:off x="1962150" y="11260455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30396912-E9F8-4D6E-9CFD-F2374FCA249F}"/>
            </a:ext>
          </a:extLst>
        </xdr:cNvPr>
        <xdr:cNvSpPr>
          <a:spLocks noChangeShapeType="1"/>
        </xdr:cNvSpPr>
      </xdr:nvSpPr>
      <xdr:spPr bwMode="auto">
        <a:xfrm>
          <a:off x="1152525" y="113528475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D98A699E-DC27-4665-9AEC-BBE72444020B}"/>
            </a:ext>
          </a:extLst>
        </xdr:cNvPr>
        <xdr:cNvSpPr>
          <a:spLocks noChangeShapeType="1"/>
        </xdr:cNvSpPr>
      </xdr:nvSpPr>
      <xdr:spPr bwMode="auto">
        <a:xfrm flipV="1">
          <a:off x="1295400" y="1133284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C4D221F-C3BB-4A14-80F8-D85D2A58852A}"/>
            </a:ext>
          </a:extLst>
        </xdr:cNvPr>
        <xdr:cNvSpPr>
          <a:spLocks noChangeShapeType="1"/>
        </xdr:cNvSpPr>
      </xdr:nvSpPr>
      <xdr:spPr bwMode="auto">
        <a:xfrm>
          <a:off x="1295400" y="11332845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17BF94A-7FB4-4FE9-9B71-D7F7084F6FFB}"/>
            </a:ext>
          </a:extLst>
        </xdr:cNvPr>
        <xdr:cNvSpPr>
          <a:spLocks noChangeShapeType="1"/>
        </xdr:cNvSpPr>
      </xdr:nvSpPr>
      <xdr:spPr bwMode="auto">
        <a:xfrm flipV="1">
          <a:off x="981075" y="114747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29267E14-6EB2-4E9D-9B76-F97736BAB21C}"/>
            </a:ext>
          </a:extLst>
        </xdr:cNvPr>
        <xdr:cNvSpPr>
          <a:spLocks noChangeShapeType="1"/>
        </xdr:cNvSpPr>
      </xdr:nvSpPr>
      <xdr:spPr bwMode="auto">
        <a:xfrm flipV="1">
          <a:off x="981075" y="114747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BF1DADCB-B139-46B1-B0B9-74669BBB1B6D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6" name="Line 3">
          <a:extLst>
            <a:ext uri="{FF2B5EF4-FFF2-40B4-BE49-F238E27FC236}">
              <a16:creationId xmlns:a16="http://schemas.microsoft.com/office/drawing/2014/main" id="{09555FFC-9222-4641-A589-1F1B243E9A83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219075</xdr:colOff>
      <xdr:row>531</xdr:row>
      <xdr:rowOff>19050</xdr:rowOff>
    </xdr:from>
    <xdr:to>
      <xdr:col>15</xdr:col>
      <xdr:colOff>342900</xdr:colOff>
      <xdr:row>532</xdr:row>
      <xdr:rowOff>28575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271E1A7D-43EB-43F3-B484-193B69781E0A}"/>
            </a:ext>
          </a:extLst>
        </xdr:cNvPr>
        <xdr:cNvSpPr>
          <a:spLocks noChangeShapeType="1"/>
        </xdr:cNvSpPr>
      </xdr:nvSpPr>
      <xdr:spPr bwMode="auto">
        <a:xfrm>
          <a:off x="9448800" y="86591775"/>
          <a:ext cx="1238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A7E87923-6A68-4B4B-9AA7-CE2C05531261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id="{7B0F140F-5208-4156-9FA4-CBFFDD27F62E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285751</xdr:colOff>
      <xdr:row>547</xdr:row>
      <xdr:rowOff>76200</xdr:rowOff>
    </xdr:from>
    <xdr:to>
      <xdr:col>15</xdr:col>
      <xdr:colOff>342901</xdr:colOff>
      <xdr:row>549</xdr:row>
      <xdr:rowOff>123825</xdr:rowOff>
    </xdr:to>
    <xdr:sp macro="" textlink="">
      <xdr:nvSpPr>
        <xdr:cNvPr id="40" name="Colchete Esquerdo 39">
          <a:extLst>
            <a:ext uri="{FF2B5EF4-FFF2-40B4-BE49-F238E27FC236}">
              <a16:creationId xmlns:a16="http://schemas.microsoft.com/office/drawing/2014/main" id="{CEA28527-29D2-4522-B2D5-AE4E96CFB7A7}"/>
            </a:ext>
          </a:extLst>
        </xdr:cNvPr>
        <xdr:cNvSpPr/>
      </xdr:nvSpPr>
      <xdr:spPr>
        <a:xfrm>
          <a:off x="9515476" y="89239725"/>
          <a:ext cx="57150" cy="4095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471052</xdr:colOff>
      <xdr:row>547</xdr:row>
      <xdr:rowOff>85726</xdr:rowOff>
    </xdr:from>
    <xdr:to>
      <xdr:col>16</xdr:col>
      <xdr:colOff>528202</xdr:colOff>
      <xdr:row>549</xdr:row>
      <xdr:rowOff>133350</xdr:rowOff>
    </xdr:to>
    <xdr:sp macro="" textlink="">
      <xdr:nvSpPr>
        <xdr:cNvPr id="41" name="Colchete Direito 40">
          <a:extLst>
            <a:ext uri="{FF2B5EF4-FFF2-40B4-BE49-F238E27FC236}">
              <a16:creationId xmlns:a16="http://schemas.microsoft.com/office/drawing/2014/main" id="{BF1804E6-C68F-47A2-B028-E4C23AC619FC}"/>
            </a:ext>
          </a:extLst>
        </xdr:cNvPr>
        <xdr:cNvSpPr/>
      </xdr:nvSpPr>
      <xdr:spPr>
        <a:xfrm>
          <a:off x="10310377" y="89249251"/>
          <a:ext cx="57150" cy="4095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9204792-D7C3-4FD2-9BCA-B52F5E25DE5C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9334701-CAEE-4B6E-9ED3-1CFA40720A9A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D28B5E54-5880-41F3-952D-CCB4C1B8EC5B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5DF604E-B7DA-45A5-BFD6-675C918713C0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17C683DC-9F7C-45F3-8D13-E04B27206D19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577A97BC-A43A-477D-B1AC-9595DC685A98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47D03251-7E7A-4C66-98C2-CE50E1A8163C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B18ADFD6-DE9D-40A4-BF42-033CDE602047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505</xdr:row>
      <xdr:rowOff>152400</xdr:rowOff>
    </xdr:from>
    <xdr:to>
      <xdr:col>1</xdr:col>
      <xdr:colOff>342900</xdr:colOff>
      <xdr:row>507</xdr:row>
      <xdr:rowOff>28575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33676E1D-2229-4D2C-A89C-8B993B7EF149}"/>
            </a:ext>
          </a:extLst>
        </xdr:cNvPr>
        <xdr:cNvSpPr>
          <a:spLocks noChangeShapeType="1"/>
        </xdr:cNvSpPr>
      </xdr:nvSpPr>
      <xdr:spPr bwMode="auto">
        <a:xfrm>
          <a:off x="885825" y="823722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1</xdr:col>
      <xdr:colOff>342900</xdr:colOff>
      <xdr:row>507</xdr:row>
      <xdr:rowOff>28575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1F9C9D3A-76EE-4BA7-A090-3D57F22DB81B}"/>
            </a:ext>
          </a:extLst>
        </xdr:cNvPr>
        <xdr:cNvSpPr>
          <a:spLocks noChangeShapeType="1"/>
        </xdr:cNvSpPr>
      </xdr:nvSpPr>
      <xdr:spPr bwMode="auto">
        <a:xfrm flipV="1">
          <a:off x="1000125" y="821721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504</xdr:row>
      <xdr:rowOff>114300</xdr:rowOff>
    </xdr:from>
    <xdr:to>
      <xdr:col>3</xdr:col>
      <xdr:colOff>57150</xdr:colOff>
      <xdr:row>504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DE3480B9-B67E-429A-8C89-56C2ED3B9CDF}"/>
            </a:ext>
          </a:extLst>
        </xdr:cNvPr>
        <xdr:cNvSpPr>
          <a:spLocks noChangeShapeType="1"/>
        </xdr:cNvSpPr>
      </xdr:nvSpPr>
      <xdr:spPr bwMode="auto">
        <a:xfrm>
          <a:off x="1000125" y="82172175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495</xdr:row>
      <xdr:rowOff>0</xdr:rowOff>
    </xdr:from>
    <xdr:to>
      <xdr:col>1</xdr:col>
      <xdr:colOff>342900</xdr:colOff>
      <xdr:row>496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994E4015-9D66-42E6-A9D3-F0EC7C84E21D}"/>
            </a:ext>
          </a:extLst>
        </xdr:cNvPr>
        <xdr:cNvSpPr>
          <a:spLocks noChangeShapeType="1"/>
        </xdr:cNvSpPr>
      </xdr:nvSpPr>
      <xdr:spPr bwMode="auto">
        <a:xfrm>
          <a:off x="885825" y="80571975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114300</xdr:rowOff>
    </xdr:from>
    <xdr:to>
      <xdr:col>1</xdr:col>
      <xdr:colOff>342900</xdr:colOff>
      <xdr:row>496</xdr:row>
      <xdr:rowOff>28575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249C7378-A4B8-4856-BDF4-4BB48ACB0420}"/>
            </a:ext>
          </a:extLst>
        </xdr:cNvPr>
        <xdr:cNvSpPr>
          <a:spLocks noChangeShapeType="1"/>
        </xdr:cNvSpPr>
      </xdr:nvSpPr>
      <xdr:spPr bwMode="auto">
        <a:xfrm flipV="1">
          <a:off x="1000125" y="803338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493</xdr:row>
      <xdr:rowOff>104775</xdr:rowOff>
    </xdr:from>
    <xdr:to>
      <xdr:col>2</xdr:col>
      <xdr:colOff>352425</xdr:colOff>
      <xdr:row>493</xdr:row>
      <xdr:rowOff>104775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A3DA31AB-1D4B-4DEF-8F54-1AB5E28838AD}"/>
            </a:ext>
          </a:extLst>
        </xdr:cNvPr>
        <xdr:cNvSpPr>
          <a:spLocks noChangeShapeType="1"/>
        </xdr:cNvSpPr>
      </xdr:nvSpPr>
      <xdr:spPr bwMode="auto">
        <a:xfrm>
          <a:off x="1000125" y="80324325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491</xdr:row>
      <xdr:rowOff>66675</xdr:rowOff>
    </xdr:from>
    <xdr:to>
      <xdr:col>1</xdr:col>
      <xdr:colOff>457200</xdr:colOff>
      <xdr:row>491</xdr:row>
      <xdr:rowOff>219075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D286C092-8D03-42EB-A4D1-ED7AEBB43470}"/>
            </a:ext>
          </a:extLst>
        </xdr:cNvPr>
        <xdr:cNvSpPr>
          <a:spLocks noChangeShapeType="1"/>
        </xdr:cNvSpPr>
      </xdr:nvSpPr>
      <xdr:spPr bwMode="auto">
        <a:xfrm>
          <a:off x="1057275" y="79895700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1</xdr:col>
      <xdr:colOff>457200</xdr:colOff>
      <xdr:row>491</xdr:row>
      <xdr:rowOff>209550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119A73F8-F300-4CF6-8779-34C198D5ADE1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491</xdr:row>
      <xdr:rowOff>9525</xdr:rowOff>
    </xdr:from>
    <xdr:to>
      <xdr:col>3</xdr:col>
      <xdr:colOff>476250</xdr:colOff>
      <xdr:row>491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DC97F1CF-126B-4775-BEB8-37296D62E0E5}"/>
            </a:ext>
          </a:extLst>
        </xdr:cNvPr>
        <xdr:cNvSpPr>
          <a:spLocks noChangeShapeType="1"/>
        </xdr:cNvSpPr>
      </xdr:nvSpPr>
      <xdr:spPr bwMode="auto">
        <a:xfrm flipV="1">
          <a:off x="1114425" y="7983855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483</xdr:row>
      <xdr:rowOff>38100</xdr:rowOff>
    </xdr:from>
    <xdr:to>
      <xdr:col>1</xdr:col>
      <xdr:colOff>323850</xdr:colOff>
      <xdr:row>483</xdr:row>
      <xdr:rowOff>152400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D9ABB2CC-E263-4A3F-A60F-205F03DC1B31}"/>
            </a:ext>
          </a:extLst>
        </xdr:cNvPr>
        <xdr:cNvSpPr>
          <a:spLocks noChangeShapeType="1"/>
        </xdr:cNvSpPr>
      </xdr:nvSpPr>
      <xdr:spPr bwMode="auto">
        <a:xfrm>
          <a:off x="914400" y="78514575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1</xdr:col>
      <xdr:colOff>323850</xdr:colOff>
      <xdr:row>483</xdr:row>
      <xdr:rowOff>142875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8ED933D8-F04F-4925-97C1-BA721D4614E2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482</xdr:row>
      <xdr:rowOff>104775</xdr:rowOff>
    </xdr:from>
    <xdr:to>
      <xdr:col>2</xdr:col>
      <xdr:colOff>533400</xdr:colOff>
      <xdr:row>482</xdr:row>
      <xdr:rowOff>104775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C5E4623D-3E7F-4C81-AD73-99A516EBE797}"/>
            </a:ext>
          </a:extLst>
        </xdr:cNvPr>
        <xdr:cNvSpPr>
          <a:spLocks noChangeShapeType="1"/>
        </xdr:cNvSpPr>
      </xdr:nvSpPr>
      <xdr:spPr bwMode="auto">
        <a:xfrm flipV="1">
          <a:off x="981075" y="78419325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500</xdr:row>
      <xdr:rowOff>38100</xdr:rowOff>
    </xdr:from>
    <xdr:to>
      <xdr:col>1</xdr:col>
      <xdr:colOff>323850</xdr:colOff>
      <xdr:row>500</xdr:row>
      <xdr:rowOff>152400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25711E37-3F32-4336-A851-7083190192EB}"/>
            </a:ext>
          </a:extLst>
        </xdr:cNvPr>
        <xdr:cNvSpPr>
          <a:spLocks noChangeShapeType="1"/>
        </xdr:cNvSpPr>
      </xdr:nvSpPr>
      <xdr:spPr bwMode="auto">
        <a:xfrm>
          <a:off x="914400" y="81419700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1</xdr:col>
      <xdr:colOff>323850</xdr:colOff>
      <xdr:row>500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5540E643-B606-405C-A8D4-6E5B88710C9A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499</xdr:row>
      <xdr:rowOff>104775</xdr:rowOff>
    </xdr:from>
    <xdr:to>
      <xdr:col>2</xdr:col>
      <xdr:colOff>533400</xdr:colOff>
      <xdr:row>499</xdr:row>
      <xdr:rowOff>104775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6B9FAA76-7A76-4776-A223-A250333B23F2}"/>
            </a:ext>
          </a:extLst>
        </xdr:cNvPr>
        <xdr:cNvSpPr>
          <a:spLocks noChangeShapeType="1"/>
        </xdr:cNvSpPr>
      </xdr:nvSpPr>
      <xdr:spPr bwMode="auto">
        <a:xfrm flipV="1">
          <a:off x="981075" y="8132445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E843EA6E-E239-40D9-9E5A-78BC16B92631}"/>
            </a:ext>
          </a:extLst>
        </xdr:cNvPr>
        <xdr:cNvSpPr>
          <a:spLocks noChangeArrowheads="1"/>
        </xdr:cNvSpPr>
      </xdr:nvSpPr>
      <xdr:spPr bwMode="auto">
        <a:xfrm>
          <a:off x="1962150" y="11260455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54F04C7E-719F-4230-A142-67095DE8E00F}"/>
            </a:ext>
          </a:extLst>
        </xdr:cNvPr>
        <xdr:cNvSpPr>
          <a:spLocks noChangeShapeType="1"/>
        </xdr:cNvSpPr>
      </xdr:nvSpPr>
      <xdr:spPr bwMode="auto">
        <a:xfrm>
          <a:off x="1152525" y="113528475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78E3D752-7654-4529-BD59-9BB5A295B0A0}"/>
            </a:ext>
          </a:extLst>
        </xdr:cNvPr>
        <xdr:cNvSpPr>
          <a:spLocks noChangeShapeType="1"/>
        </xdr:cNvSpPr>
      </xdr:nvSpPr>
      <xdr:spPr bwMode="auto">
        <a:xfrm flipV="1">
          <a:off x="1295400" y="1133284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3EAFA575-A717-483E-8EFF-724387D20F9E}"/>
            </a:ext>
          </a:extLst>
        </xdr:cNvPr>
        <xdr:cNvSpPr>
          <a:spLocks noChangeShapeType="1"/>
        </xdr:cNvSpPr>
      </xdr:nvSpPr>
      <xdr:spPr bwMode="auto">
        <a:xfrm>
          <a:off x="1295400" y="11332845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690</xdr:row>
      <xdr:rowOff>123825</xdr:rowOff>
    </xdr:from>
    <xdr:to>
      <xdr:col>3</xdr:col>
      <xdr:colOff>409575</xdr:colOff>
      <xdr:row>693</xdr:row>
      <xdr:rowOff>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B6B71D53-0262-4A3C-A976-8A178C051CA0}"/>
            </a:ext>
          </a:extLst>
        </xdr:cNvPr>
        <xdr:cNvSpPr>
          <a:spLocks noChangeArrowheads="1"/>
        </xdr:cNvSpPr>
      </xdr:nvSpPr>
      <xdr:spPr bwMode="auto">
        <a:xfrm>
          <a:off x="1962150" y="11260455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696</xdr:row>
      <xdr:rowOff>76200</xdr:rowOff>
    </xdr:from>
    <xdr:to>
      <xdr:col>2</xdr:col>
      <xdr:colOff>0</xdr:colOff>
      <xdr:row>697</xdr:row>
      <xdr:rowOff>142875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55B05B07-4EF9-43D7-B167-6215A9FC6A08}"/>
            </a:ext>
          </a:extLst>
        </xdr:cNvPr>
        <xdr:cNvSpPr>
          <a:spLocks noChangeShapeType="1"/>
        </xdr:cNvSpPr>
      </xdr:nvSpPr>
      <xdr:spPr bwMode="auto">
        <a:xfrm>
          <a:off x="1152525" y="113528475"/>
          <a:ext cx="1428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2</xdr:col>
      <xdr:colOff>0</xdr:colOff>
      <xdr:row>697</xdr:row>
      <xdr:rowOff>142875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8E706D01-AE6F-459F-A210-52E342C86404}"/>
            </a:ext>
          </a:extLst>
        </xdr:cNvPr>
        <xdr:cNvSpPr>
          <a:spLocks noChangeShapeType="1"/>
        </xdr:cNvSpPr>
      </xdr:nvSpPr>
      <xdr:spPr bwMode="auto">
        <a:xfrm flipV="1">
          <a:off x="1295400" y="1133284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695</xdr:row>
      <xdr:rowOff>38100</xdr:rowOff>
    </xdr:from>
    <xdr:to>
      <xdr:col>3</xdr:col>
      <xdr:colOff>209550</xdr:colOff>
      <xdr:row>695</xdr:row>
      <xdr:rowOff>38100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CF33C880-402A-4DF7-835A-C29AB2317C61}"/>
            </a:ext>
          </a:extLst>
        </xdr:cNvPr>
        <xdr:cNvSpPr>
          <a:spLocks noChangeShapeType="1"/>
        </xdr:cNvSpPr>
      </xdr:nvSpPr>
      <xdr:spPr bwMode="auto">
        <a:xfrm>
          <a:off x="1295400" y="11332845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378C5888-2D74-40FB-B241-C7A9A23C3C85}"/>
            </a:ext>
          </a:extLst>
        </xdr:cNvPr>
        <xdr:cNvSpPr>
          <a:spLocks noChangeShapeType="1"/>
        </xdr:cNvSpPr>
      </xdr:nvSpPr>
      <xdr:spPr bwMode="auto">
        <a:xfrm flipV="1">
          <a:off x="981075" y="114747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704</xdr:row>
      <xdr:rowOff>0</xdr:rowOff>
    </xdr:from>
    <xdr:to>
      <xdr:col>1</xdr:col>
      <xdr:colOff>323850</xdr:colOff>
      <xdr:row>704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96C93758-4C7D-4096-AEB5-C4EE6A6E86F0}"/>
            </a:ext>
          </a:extLst>
        </xdr:cNvPr>
        <xdr:cNvSpPr>
          <a:spLocks noChangeShapeType="1"/>
        </xdr:cNvSpPr>
      </xdr:nvSpPr>
      <xdr:spPr bwMode="auto">
        <a:xfrm flipV="1">
          <a:off x="981075" y="1147476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BEF87BBB-377C-4DDD-AEE1-597CB94936A3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6" name="Line 3">
          <a:extLst>
            <a:ext uri="{FF2B5EF4-FFF2-40B4-BE49-F238E27FC236}">
              <a16:creationId xmlns:a16="http://schemas.microsoft.com/office/drawing/2014/main" id="{A6157E91-39B3-497B-A4BA-2F5BF20D1D29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219075</xdr:colOff>
      <xdr:row>531</xdr:row>
      <xdr:rowOff>19050</xdr:rowOff>
    </xdr:from>
    <xdr:to>
      <xdr:col>15</xdr:col>
      <xdr:colOff>342900</xdr:colOff>
      <xdr:row>532</xdr:row>
      <xdr:rowOff>28575</xdr:rowOff>
    </xdr:to>
    <xdr:sp macro="" textlink="">
      <xdr:nvSpPr>
        <xdr:cNvPr id="37" name="Line 7">
          <a:extLst>
            <a:ext uri="{FF2B5EF4-FFF2-40B4-BE49-F238E27FC236}">
              <a16:creationId xmlns:a16="http://schemas.microsoft.com/office/drawing/2014/main" id="{D587C505-92DD-48C7-A4EF-3B49E707F414}"/>
            </a:ext>
          </a:extLst>
        </xdr:cNvPr>
        <xdr:cNvSpPr>
          <a:spLocks noChangeShapeType="1"/>
        </xdr:cNvSpPr>
      </xdr:nvSpPr>
      <xdr:spPr bwMode="auto">
        <a:xfrm>
          <a:off x="9448800" y="86591775"/>
          <a:ext cx="1238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15</xdr:col>
      <xdr:colOff>342900</xdr:colOff>
      <xdr:row>532</xdr:row>
      <xdr:rowOff>28575</xdr:rowOff>
    </xdr:to>
    <xdr:sp macro="" textlink="">
      <xdr:nvSpPr>
        <xdr:cNvPr id="38" name="Line 8">
          <a:extLst>
            <a:ext uri="{FF2B5EF4-FFF2-40B4-BE49-F238E27FC236}">
              <a16:creationId xmlns:a16="http://schemas.microsoft.com/office/drawing/2014/main" id="{4E7C0495-D305-42EB-8EB8-D73262C0F46E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529</xdr:row>
      <xdr:rowOff>114300</xdr:rowOff>
    </xdr:from>
    <xdr:to>
      <xdr:col>17</xdr:col>
      <xdr:colOff>57150</xdr:colOff>
      <xdr:row>529</xdr:row>
      <xdr:rowOff>114300</xdr:rowOff>
    </xdr:to>
    <xdr:sp macro="" textlink="">
      <xdr:nvSpPr>
        <xdr:cNvPr id="39" name="Line 9">
          <a:extLst>
            <a:ext uri="{FF2B5EF4-FFF2-40B4-BE49-F238E27FC236}">
              <a16:creationId xmlns:a16="http://schemas.microsoft.com/office/drawing/2014/main" id="{93579B18-CF1C-4EDC-94C6-45B3F52668C1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285751</xdr:colOff>
      <xdr:row>547</xdr:row>
      <xdr:rowOff>76200</xdr:rowOff>
    </xdr:from>
    <xdr:to>
      <xdr:col>15</xdr:col>
      <xdr:colOff>342901</xdr:colOff>
      <xdr:row>549</xdr:row>
      <xdr:rowOff>123825</xdr:rowOff>
    </xdr:to>
    <xdr:sp macro="" textlink="">
      <xdr:nvSpPr>
        <xdr:cNvPr id="40" name="Colchete Esquerdo 39">
          <a:extLst>
            <a:ext uri="{FF2B5EF4-FFF2-40B4-BE49-F238E27FC236}">
              <a16:creationId xmlns:a16="http://schemas.microsoft.com/office/drawing/2014/main" id="{AB888058-5000-4D1D-91EA-B61D050F1244}"/>
            </a:ext>
          </a:extLst>
        </xdr:cNvPr>
        <xdr:cNvSpPr/>
      </xdr:nvSpPr>
      <xdr:spPr>
        <a:xfrm>
          <a:off x="9515476" y="89239725"/>
          <a:ext cx="57150" cy="4095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471052</xdr:colOff>
      <xdr:row>547</xdr:row>
      <xdr:rowOff>85726</xdr:rowOff>
    </xdr:from>
    <xdr:to>
      <xdr:col>16</xdr:col>
      <xdr:colOff>528202</xdr:colOff>
      <xdr:row>549</xdr:row>
      <xdr:rowOff>133350</xdr:rowOff>
    </xdr:to>
    <xdr:sp macro="" textlink="">
      <xdr:nvSpPr>
        <xdr:cNvPr id="41" name="Colchete Direito 40">
          <a:extLst>
            <a:ext uri="{FF2B5EF4-FFF2-40B4-BE49-F238E27FC236}">
              <a16:creationId xmlns:a16="http://schemas.microsoft.com/office/drawing/2014/main" id="{D9D6CB1A-BA93-4658-B1B0-CC304ED7FF80}"/>
            </a:ext>
          </a:extLst>
        </xdr:cNvPr>
        <xdr:cNvSpPr/>
      </xdr:nvSpPr>
      <xdr:spPr>
        <a:xfrm>
          <a:off x="10310377" y="89249251"/>
          <a:ext cx="57150" cy="4095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524</xdr:row>
      <xdr:rowOff>152400</xdr:rowOff>
    </xdr:from>
    <xdr:to>
      <xdr:col>1</xdr:col>
      <xdr:colOff>342900</xdr:colOff>
      <xdr:row>526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81FF2B9-CCD9-4041-9AC0-03D786C79CCF}"/>
            </a:ext>
          </a:extLst>
        </xdr:cNvPr>
        <xdr:cNvSpPr>
          <a:spLocks noChangeShapeType="1"/>
        </xdr:cNvSpPr>
      </xdr:nvSpPr>
      <xdr:spPr bwMode="auto">
        <a:xfrm>
          <a:off x="838200" y="85448775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523</xdr:row>
      <xdr:rowOff>114300</xdr:rowOff>
    </xdr:from>
    <xdr:to>
      <xdr:col>1</xdr:col>
      <xdr:colOff>342900</xdr:colOff>
      <xdr:row>526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CC0396C-4FA9-4DC0-A953-AF39D2333EB6}"/>
            </a:ext>
          </a:extLst>
        </xdr:cNvPr>
        <xdr:cNvSpPr>
          <a:spLocks noChangeShapeType="1"/>
        </xdr:cNvSpPr>
      </xdr:nvSpPr>
      <xdr:spPr bwMode="auto">
        <a:xfrm flipV="1">
          <a:off x="952500" y="852487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523</xdr:row>
      <xdr:rowOff>114300</xdr:rowOff>
    </xdr:from>
    <xdr:to>
      <xdr:col>3</xdr:col>
      <xdr:colOff>57150</xdr:colOff>
      <xdr:row>523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00EF0A4-7647-4A37-AB75-F9FCEEA54CE7}"/>
            </a:ext>
          </a:extLst>
        </xdr:cNvPr>
        <xdr:cNvSpPr>
          <a:spLocks noChangeShapeType="1"/>
        </xdr:cNvSpPr>
      </xdr:nvSpPr>
      <xdr:spPr bwMode="auto">
        <a:xfrm>
          <a:off x="952500" y="8524875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514</xdr:row>
      <xdr:rowOff>0</xdr:rowOff>
    </xdr:from>
    <xdr:to>
      <xdr:col>1</xdr:col>
      <xdr:colOff>342900</xdr:colOff>
      <xdr:row>515</xdr:row>
      <xdr:rowOff>38100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CB38074-FC1A-478E-B670-19D202C36147}"/>
            </a:ext>
          </a:extLst>
        </xdr:cNvPr>
        <xdr:cNvSpPr>
          <a:spLocks noChangeShapeType="1"/>
        </xdr:cNvSpPr>
      </xdr:nvSpPr>
      <xdr:spPr bwMode="auto">
        <a:xfrm>
          <a:off x="838200" y="83648550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512</xdr:row>
      <xdr:rowOff>114300</xdr:rowOff>
    </xdr:from>
    <xdr:to>
      <xdr:col>1</xdr:col>
      <xdr:colOff>342900</xdr:colOff>
      <xdr:row>515</xdr:row>
      <xdr:rowOff>28575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4B474F01-E34A-4998-B186-91A2D380F330}"/>
            </a:ext>
          </a:extLst>
        </xdr:cNvPr>
        <xdr:cNvSpPr>
          <a:spLocks noChangeShapeType="1"/>
        </xdr:cNvSpPr>
      </xdr:nvSpPr>
      <xdr:spPr bwMode="auto">
        <a:xfrm flipV="1">
          <a:off x="952500" y="834104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512</xdr:row>
      <xdr:rowOff>104775</xdr:rowOff>
    </xdr:from>
    <xdr:to>
      <xdr:col>2</xdr:col>
      <xdr:colOff>352425</xdr:colOff>
      <xdr:row>512</xdr:row>
      <xdr:rowOff>104775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112C89AC-D303-4D52-97C6-0656323FD7DB}"/>
            </a:ext>
          </a:extLst>
        </xdr:cNvPr>
        <xdr:cNvSpPr>
          <a:spLocks noChangeShapeType="1"/>
        </xdr:cNvSpPr>
      </xdr:nvSpPr>
      <xdr:spPr bwMode="auto">
        <a:xfrm>
          <a:off x="952500" y="8340090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510</xdr:row>
      <xdr:rowOff>9525</xdr:rowOff>
    </xdr:from>
    <xdr:to>
      <xdr:col>1</xdr:col>
      <xdr:colOff>457200</xdr:colOff>
      <xdr:row>510</xdr:row>
      <xdr:rowOff>209550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9CB1F115-D5B5-44CB-8578-5886EB24BD75}"/>
            </a:ext>
          </a:extLst>
        </xdr:cNvPr>
        <xdr:cNvSpPr>
          <a:spLocks noChangeShapeType="1"/>
        </xdr:cNvSpPr>
      </xdr:nvSpPr>
      <xdr:spPr bwMode="auto">
        <a:xfrm flipV="1">
          <a:off x="1066800" y="829151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510</xdr:row>
      <xdr:rowOff>9525</xdr:rowOff>
    </xdr:from>
    <xdr:to>
      <xdr:col>3</xdr:col>
      <xdr:colOff>476250</xdr:colOff>
      <xdr:row>510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C5D1FC65-58FB-4E9B-815F-26D9A417754C}"/>
            </a:ext>
          </a:extLst>
        </xdr:cNvPr>
        <xdr:cNvSpPr>
          <a:spLocks noChangeShapeType="1"/>
        </xdr:cNvSpPr>
      </xdr:nvSpPr>
      <xdr:spPr bwMode="auto">
        <a:xfrm flipV="1">
          <a:off x="1066800" y="82915125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524</xdr:row>
      <xdr:rowOff>152400</xdr:rowOff>
    </xdr:from>
    <xdr:to>
      <xdr:col>1</xdr:col>
      <xdr:colOff>342900</xdr:colOff>
      <xdr:row>526</xdr:row>
      <xdr:rowOff>28575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53389254-BA17-4130-99F5-6039C7E11A5A}"/>
            </a:ext>
          </a:extLst>
        </xdr:cNvPr>
        <xdr:cNvSpPr>
          <a:spLocks noChangeShapeType="1"/>
        </xdr:cNvSpPr>
      </xdr:nvSpPr>
      <xdr:spPr bwMode="auto">
        <a:xfrm>
          <a:off x="838200" y="85448775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523</xdr:row>
      <xdr:rowOff>114300</xdr:rowOff>
    </xdr:from>
    <xdr:to>
      <xdr:col>1</xdr:col>
      <xdr:colOff>342900</xdr:colOff>
      <xdr:row>526</xdr:row>
      <xdr:rowOff>28575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BA758801-47BF-42B0-85A3-4100DD2834CD}"/>
            </a:ext>
          </a:extLst>
        </xdr:cNvPr>
        <xdr:cNvSpPr>
          <a:spLocks noChangeShapeType="1"/>
        </xdr:cNvSpPr>
      </xdr:nvSpPr>
      <xdr:spPr bwMode="auto">
        <a:xfrm flipV="1">
          <a:off x="952500" y="8524875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523</xdr:row>
      <xdr:rowOff>114300</xdr:rowOff>
    </xdr:from>
    <xdr:to>
      <xdr:col>3</xdr:col>
      <xdr:colOff>57150</xdr:colOff>
      <xdr:row>523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C8F1A01A-B1CD-4CD3-B9A6-2998E500C83B}"/>
            </a:ext>
          </a:extLst>
        </xdr:cNvPr>
        <xdr:cNvSpPr>
          <a:spLocks noChangeShapeType="1"/>
        </xdr:cNvSpPr>
      </xdr:nvSpPr>
      <xdr:spPr bwMode="auto">
        <a:xfrm>
          <a:off x="952500" y="8524875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514</xdr:row>
      <xdr:rowOff>0</xdr:rowOff>
    </xdr:from>
    <xdr:to>
      <xdr:col>1</xdr:col>
      <xdr:colOff>342900</xdr:colOff>
      <xdr:row>515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3996831-8A3F-4FFC-B065-4EE384534C78}"/>
            </a:ext>
          </a:extLst>
        </xdr:cNvPr>
        <xdr:cNvSpPr>
          <a:spLocks noChangeShapeType="1"/>
        </xdr:cNvSpPr>
      </xdr:nvSpPr>
      <xdr:spPr bwMode="auto">
        <a:xfrm>
          <a:off x="838200" y="83648550"/>
          <a:ext cx="1143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512</xdr:row>
      <xdr:rowOff>114300</xdr:rowOff>
    </xdr:from>
    <xdr:to>
      <xdr:col>1</xdr:col>
      <xdr:colOff>342900</xdr:colOff>
      <xdr:row>515</xdr:row>
      <xdr:rowOff>28575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679BA8E4-9AD1-4410-A0EB-6D6E90E19667}"/>
            </a:ext>
          </a:extLst>
        </xdr:cNvPr>
        <xdr:cNvSpPr>
          <a:spLocks noChangeShapeType="1"/>
        </xdr:cNvSpPr>
      </xdr:nvSpPr>
      <xdr:spPr bwMode="auto">
        <a:xfrm flipV="1">
          <a:off x="952500" y="8341042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512</xdr:row>
      <xdr:rowOff>104775</xdr:rowOff>
    </xdr:from>
    <xdr:to>
      <xdr:col>2</xdr:col>
      <xdr:colOff>352425</xdr:colOff>
      <xdr:row>512</xdr:row>
      <xdr:rowOff>104775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EB156ECE-C54A-4778-BC4F-756310F72E29}"/>
            </a:ext>
          </a:extLst>
        </xdr:cNvPr>
        <xdr:cNvSpPr>
          <a:spLocks noChangeShapeType="1"/>
        </xdr:cNvSpPr>
      </xdr:nvSpPr>
      <xdr:spPr bwMode="auto">
        <a:xfrm>
          <a:off x="952500" y="8340090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510</xdr:row>
      <xdr:rowOff>66675</xdr:rowOff>
    </xdr:from>
    <xdr:to>
      <xdr:col>1</xdr:col>
      <xdr:colOff>457200</xdr:colOff>
      <xdr:row>510</xdr:row>
      <xdr:rowOff>219075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31FA4D67-66BE-4CDA-B25F-BAAC1891044B}"/>
            </a:ext>
          </a:extLst>
        </xdr:cNvPr>
        <xdr:cNvSpPr>
          <a:spLocks noChangeShapeType="1"/>
        </xdr:cNvSpPr>
      </xdr:nvSpPr>
      <xdr:spPr bwMode="auto">
        <a:xfrm>
          <a:off x="1009650" y="82972275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510</xdr:row>
      <xdr:rowOff>9525</xdr:rowOff>
    </xdr:from>
    <xdr:to>
      <xdr:col>1</xdr:col>
      <xdr:colOff>457200</xdr:colOff>
      <xdr:row>510</xdr:row>
      <xdr:rowOff>209550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7C061E53-5332-4B22-9D2E-8168A7314A69}"/>
            </a:ext>
          </a:extLst>
        </xdr:cNvPr>
        <xdr:cNvSpPr>
          <a:spLocks noChangeShapeType="1"/>
        </xdr:cNvSpPr>
      </xdr:nvSpPr>
      <xdr:spPr bwMode="auto">
        <a:xfrm flipV="1">
          <a:off x="1066800" y="829151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510</xdr:row>
      <xdr:rowOff>9525</xdr:rowOff>
    </xdr:from>
    <xdr:to>
      <xdr:col>3</xdr:col>
      <xdr:colOff>476250</xdr:colOff>
      <xdr:row>510</xdr:row>
      <xdr:rowOff>9525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BE0554AB-CADB-4435-8F81-683D2A8C6260}"/>
            </a:ext>
          </a:extLst>
        </xdr:cNvPr>
        <xdr:cNvSpPr>
          <a:spLocks noChangeShapeType="1"/>
        </xdr:cNvSpPr>
      </xdr:nvSpPr>
      <xdr:spPr bwMode="auto">
        <a:xfrm flipV="1">
          <a:off x="1066800" y="82915125"/>
          <a:ext cx="1238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502</xdr:row>
      <xdr:rowOff>38100</xdr:rowOff>
    </xdr:from>
    <xdr:to>
      <xdr:col>1</xdr:col>
      <xdr:colOff>323850</xdr:colOff>
      <xdr:row>502</xdr:row>
      <xdr:rowOff>152400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F37FE6EA-0028-4793-9700-32FBAF8B39A8}"/>
            </a:ext>
          </a:extLst>
        </xdr:cNvPr>
        <xdr:cNvSpPr>
          <a:spLocks noChangeShapeType="1"/>
        </xdr:cNvSpPr>
      </xdr:nvSpPr>
      <xdr:spPr bwMode="auto">
        <a:xfrm>
          <a:off x="866775" y="81591150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501</xdr:row>
      <xdr:rowOff>104775</xdr:rowOff>
    </xdr:from>
    <xdr:to>
      <xdr:col>1</xdr:col>
      <xdr:colOff>323850</xdr:colOff>
      <xdr:row>502</xdr:row>
      <xdr:rowOff>142875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776DB9A3-C0E6-48DD-9304-6296D504E077}"/>
            </a:ext>
          </a:extLst>
        </xdr:cNvPr>
        <xdr:cNvSpPr>
          <a:spLocks noChangeShapeType="1"/>
        </xdr:cNvSpPr>
      </xdr:nvSpPr>
      <xdr:spPr bwMode="auto">
        <a:xfrm flipV="1">
          <a:off x="933450" y="81495900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501</xdr:row>
      <xdr:rowOff>104775</xdr:rowOff>
    </xdr:from>
    <xdr:to>
      <xdr:col>2</xdr:col>
      <xdr:colOff>533400</xdr:colOff>
      <xdr:row>501</xdr:row>
      <xdr:rowOff>104775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BE28740D-7574-47F9-9C19-6C2997ECF2C3}"/>
            </a:ext>
          </a:extLst>
        </xdr:cNvPr>
        <xdr:cNvSpPr>
          <a:spLocks noChangeShapeType="1"/>
        </xdr:cNvSpPr>
      </xdr:nvSpPr>
      <xdr:spPr bwMode="auto">
        <a:xfrm flipV="1">
          <a:off x="933450" y="81495900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257175</xdr:colOff>
      <xdr:row>519</xdr:row>
      <xdr:rowOff>38100</xdr:rowOff>
    </xdr:from>
    <xdr:to>
      <xdr:col>1</xdr:col>
      <xdr:colOff>323850</xdr:colOff>
      <xdr:row>519</xdr:row>
      <xdr:rowOff>152400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9528F884-326C-4A53-A084-10E94DB3EA12}"/>
            </a:ext>
          </a:extLst>
        </xdr:cNvPr>
        <xdr:cNvSpPr>
          <a:spLocks noChangeShapeType="1"/>
        </xdr:cNvSpPr>
      </xdr:nvSpPr>
      <xdr:spPr bwMode="auto">
        <a:xfrm>
          <a:off x="866775" y="84496275"/>
          <a:ext cx="6667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518</xdr:row>
      <xdr:rowOff>104775</xdr:rowOff>
    </xdr:from>
    <xdr:to>
      <xdr:col>1</xdr:col>
      <xdr:colOff>323850</xdr:colOff>
      <xdr:row>519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8DD1CAB1-43C4-45A5-B247-D8385D5F7A3F}"/>
            </a:ext>
          </a:extLst>
        </xdr:cNvPr>
        <xdr:cNvSpPr>
          <a:spLocks noChangeShapeType="1"/>
        </xdr:cNvSpPr>
      </xdr:nvSpPr>
      <xdr:spPr bwMode="auto">
        <a:xfrm flipV="1">
          <a:off x="933450" y="844010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518</xdr:row>
      <xdr:rowOff>104775</xdr:rowOff>
    </xdr:from>
    <xdr:to>
      <xdr:col>2</xdr:col>
      <xdr:colOff>533400</xdr:colOff>
      <xdr:row>518</xdr:row>
      <xdr:rowOff>104775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8D824D8E-F9B6-4445-B01B-0EC4AD45C6CA}"/>
            </a:ext>
          </a:extLst>
        </xdr:cNvPr>
        <xdr:cNvSpPr>
          <a:spLocks noChangeShapeType="1"/>
        </xdr:cNvSpPr>
      </xdr:nvSpPr>
      <xdr:spPr bwMode="auto">
        <a:xfrm flipV="1">
          <a:off x="933450" y="84401025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874</xdr:row>
      <xdr:rowOff>123825</xdr:rowOff>
    </xdr:from>
    <xdr:to>
      <xdr:col>3</xdr:col>
      <xdr:colOff>409575</xdr:colOff>
      <xdr:row>877</xdr:row>
      <xdr:rowOff>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CF3DEEF8-2135-47C3-A5CF-61F0C0668725}"/>
            </a:ext>
          </a:extLst>
        </xdr:cNvPr>
        <xdr:cNvSpPr>
          <a:spLocks noChangeArrowheads="1"/>
        </xdr:cNvSpPr>
      </xdr:nvSpPr>
      <xdr:spPr bwMode="auto">
        <a:xfrm>
          <a:off x="1933575" y="1436274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880</xdr:row>
      <xdr:rowOff>76200</xdr:rowOff>
    </xdr:from>
    <xdr:to>
      <xdr:col>2</xdr:col>
      <xdr:colOff>0</xdr:colOff>
      <xdr:row>881</xdr:row>
      <xdr:rowOff>142875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59AFDA97-096B-44FF-8B04-47554B5A1AD2}"/>
            </a:ext>
          </a:extLst>
        </xdr:cNvPr>
        <xdr:cNvSpPr>
          <a:spLocks noChangeShapeType="1"/>
        </xdr:cNvSpPr>
      </xdr:nvSpPr>
      <xdr:spPr bwMode="auto">
        <a:xfrm>
          <a:off x="1104900" y="1445514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879</xdr:row>
      <xdr:rowOff>38100</xdr:rowOff>
    </xdr:from>
    <xdr:to>
      <xdr:col>2</xdr:col>
      <xdr:colOff>0</xdr:colOff>
      <xdr:row>881</xdr:row>
      <xdr:rowOff>142875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776AD56F-AC91-4D65-9219-0371A8E6071C}"/>
            </a:ext>
          </a:extLst>
        </xdr:cNvPr>
        <xdr:cNvSpPr>
          <a:spLocks noChangeShapeType="1"/>
        </xdr:cNvSpPr>
      </xdr:nvSpPr>
      <xdr:spPr bwMode="auto">
        <a:xfrm flipV="1">
          <a:off x="1219200" y="1443513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879</xdr:row>
      <xdr:rowOff>38100</xdr:rowOff>
    </xdr:from>
    <xdr:to>
      <xdr:col>3</xdr:col>
      <xdr:colOff>209550</xdr:colOff>
      <xdr:row>879</xdr:row>
      <xdr:rowOff>38100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5837687A-7B91-4F36-A6C7-E397D887ED23}"/>
            </a:ext>
          </a:extLst>
        </xdr:cNvPr>
        <xdr:cNvSpPr>
          <a:spLocks noChangeShapeType="1"/>
        </xdr:cNvSpPr>
      </xdr:nvSpPr>
      <xdr:spPr bwMode="auto">
        <a:xfrm>
          <a:off x="1219200" y="144351375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874</xdr:row>
      <xdr:rowOff>123825</xdr:rowOff>
    </xdr:from>
    <xdr:to>
      <xdr:col>3</xdr:col>
      <xdr:colOff>409575</xdr:colOff>
      <xdr:row>877</xdr:row>
      <xdr:rowOff>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0A000F56-58B7-47A6-9668-B9C81F0E094D}"/>
            </a:ext>
          </a:extLst>
        </xdr:cNvPr>
        <xdr:cNvSpPr>
          <a:spLocks noChangeArrowheads="1"/>
        </xdr:cNvSpPr>
      </xdr:nvSpPr>
      <xdr:spPr bwMode="auto">
        <a:xfrm>
          <a:off x="1933575" y="143627475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880</xdr:row>
      <xdr:rowOff>76200</xdr:rowOff>
    </xdr:from>
    <xdr:to>
      <xdr:col>2</xdr:col>
      <xdr:colOff>0</xdr:colOff>
      <xdr:row>881</xdr:row>
      <xdr:rowOff>142875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E5B0AACB-C0D7-43C0-9323-B17824061440}"/>
            </a:ext>
          </a:extLst>
        </xdr:cNvPr>
        <xdr:cNvSpPr>
          <a:spLocks noChangeShapeType="1"/>
        </xdr:cNvSpPr>
      </xdr:nvSpPr>
      <xdr:spPr bwMode="auto">
        <a:xfrm>
          <a:off x="1104900" y="1445514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879</xdr:row>
      <xdr:rowOff>38100</xdr:rowOff>
    </xdr:from>
    <xdr:to>
      <xdr:col>2</xdr:col>
      <xdr:colOff>0</xdr:colOff>
      <xdr:row>881</xdr:row>
      <xdr:rowOff>142875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4023A5B7-DCC2-46BA-91CA-5398E5CD92CA}"/>
            </a:ext>
          </a:extLst>
        </xdr:cNvPr>
        <xdr:cNvSpPr>
          <a:spLocks noChangeShapeType="1"/>
        </xdr:cNvSpPr>
      </xdr:nvSpPr>
      <xdr:spPr bwMode="auto">
        <a:xfrm flipV="1">
          <a:off x="1219200" y="1443513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879</xdr:row>
      <xdr:rowOff>38100</xdr:rowOff>
    </xdr:from>
    <xdr:to>
      <xdr:col>3</xdr:col>
      <xdr:colOff>209550</xdr:colOff>
      <xdr:row>879</xdr:row>
      <xdr:rowOff>38100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6DA59B8-8D83-4BBD-939A-9899E1014630}"/>
            </a:ext>
          </a:extLst>
        </xdr:cNvPr>
        <xdr:cNvSpPr>
          <a:spLocks noChangeShapeType="1"/>
        </xdr:cNvSpPr>
      </xdr:nvSpPr>
      <xdr:spPr bwMode="auto">
        <a:xfrm>
          <a:off x="1219200" y="144351375"/>
          <a:ext cx="819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888</xdr:row>
      <xdr:rowOff>0</xdr:rowOff>
    </xdr:from>
    <xdr:to>
      <xdr:col>1</xdr:col>
      <xdr:colOff>323850</xdr:colOff>
      <xdr:row>888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7E09FF2F-F020-4663-9508-AFCBFF5784DA}"/>
            </a:ext>
          </a:extLst>
        </xdr:cNvPr>
        <xdr:cNvSpPr>
          <a:spLocks noChangeShapeType="1"/>
        </xdr:cNvSpPr>
      </xdr:nvSpPr>
      <xdr:spPr bwMode="auto">
        <a:xfrm flipV="1">
          <a:off x="933450" y="14577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888</xdr:row>
      <xdr:rowOff>0</xdr:rowOff>
    </xdr:from>
    <xdr:to>
      <xdr:col>1</xdr:col>
      <xdr:colOff>323850</xdr:colOff>
      <xdr:row>888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8F03EB36-488C-491B-A119-76A16A02113C}"/>
            </a:ext>
          </a:extLst>
        </xdr:cNvPr>
        <xdr:cNvSpPr>
          <a:spLocks noChangeShapeType="1"/>
        </xdr:cNvSpPr>
      </xdr:nvSpPr>
      <xdr:spPr bwMode="auto">
        <a:xfrm flipV="1">
          <a:off x="933450" y="14577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228600</xdr:colOff>
      <xdr:row>687</xdr:row>
      <xdr:rowOff>152400</xdr:rowOff>
    </xdr:from>
    <xdr:to>
      <xdr:col>22</xdr:col>
      <xdr:colOff>110490</xdr:colOff>
      <xdr:row>726</xdr:row>
      <xdr:rowOff>152400</xdr:rowOff>
    </xdr:to>
    <xdr:pic>
      <xdr:nvPicPr>
        <xdr:cNvPr id="35" name="Imagem 1">
          <a:extLst>
            <a:ext uri="{FF2B5EF4-FFF2-40B4-BE49-F238E27FC236}">
              <a16:creationId xmlns:a16="http://schemas.microsoft.com/office/drawing/2014/main" id="{1FCBBAE7-B7E7-4448-BF99-CB9E133B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12499775"/>
          <a:ext cx="8416290" cy="631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209550</xdr:colOff>
      <xdr:row>656</xdr:row>
      <xdr:rowOff>161925</xdr:rowOff>
    </xdr:from>
    <xdr:to>
      <xdr:col>17</xdr:col>
      <xdr:colOff>381000</xdr:colOff>
      <xdr:row>678</xdr:row>
      <xdr:rowOff>152400</xdr:rowOff>
    </xdr:to>
    <xdr:pic>
      <xdr:nvPicPr>
        <xdr:cNvPr id="36" name="Imagem 2">
          <a:extLst>
            <a:ext uri="{FF2B5EF4-FFF2-40B4-BE49-F238E27FC236}">
              <a16:creationId xmlns:a16="http://schemas.microsoft.com/office/drawing/2014/main" id="{45AFE93A-5A43-4D8A-9846-6547CF466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07461050"/>
          <a:ext cx="6267450" cy="358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28575</xdr:colOff>
      <xdr:row>657</xdr:row>
      <xdr:rowOff>95250</xdr:rowOff>
    </xdr:from>
    <xdr:to>
      <xdr:col>21</xdr:col>
      <xdr:colOff>72390</xdr:colOff>
      <xdr:row>680</xdr:row>
      <xdr:rowOff>72390</xdr:rowOff>
    </xdr:to>
    <xdr:pic>
      <xdr:nvPicPr>
        <xdr:cNvPr id="37" name="Imagem 3">
          <a:extLst>
            <a:ext uri="{FF2B5EF4-FFF2-40B4-BE49-F238E27FC236}">
              <a16:creationId xmlns:a16="http://schemas.microsoft.com/office/drawing/2014/main" id="{EE31EE22-6945-43B4-9542-F9BAD6E5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07556300"/>
          <a:ext cx="1872615" cy="3729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251114</xdr:colOff>
      <xdr:row>680</xdr:row>
      <xdr:rowOff>34636</xdr:rowOff>
    </xdr:from>
    <xdr:ext cx="3637599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8983C176-C95F-4D25-B53B-35ED06C72A46}"/>
            </a:ext>
          </a:extLst>
        </xdr:cNvPr>
        <xdr:cNvSpPr txBox="1"/>
      </xdr:nvSpPr>
      <xdr:spPr>
        <a:xfrm>
          <a:off x="4518314" y="111248536"/>
          <a:ext cx="36375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/>
            <a:t>Catálogo</a:t>
          </a:r>
          <a:r>
            <a:rPr lang="pt-BR" sz="1100" b="1" baseline="0"/>
            <a:t>  "Componentes para Transmissão - Vol. 2" da ATI </a:t>
          </a:r>
        </a:p>
      </xdr:txBody>
    </xdr:sp>
    <xdr:clientData/>
  </xdr:oneCellAnchor>
  <xdr:twoCellAnchor>
    <xdr:from>
      <xdr:col>0</xdr:col>
      <xdr:colOff>315515</xdr:colOff>
      <xdr:row>746</xdr:row>
      <xdr:rowOff>190500</xdr:rowOff>
    </xdr:from>
    <xdr:to>
      <xdr:col>0</xdr:col>
      <xdr:colOff>375047</xdr:colOff>
      <xdr:row>747</xdr:row>
      <xdr:rowOff>107156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A3E1D1B6-12FB-4FB6-96C6-4CC0F0DD47D7}"/>
            </a:ext>
          </a:extLst>
        </xdr:cNvPr>
        <xdr:cNvCxnSpPr/>
      </xdr:nvCxnSpPr>
      <xdr:spPr>
        <a:xfrm>
          <a:off x="315515" y="122205750"/>
          <a:ext cx="59532" cy="1166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375047</xdr:colOff>
      <xdr:row>746</xdr:row>
      <xdr:rowOff>0</xdr:rowOff>
    </xdr:from>
    <xdr:to>
      <xdr:col>0</xdr:col>
      <xdr:colOff>375047</xdr:colOff>
      <xdr:row>747</xdr:row>
      <xdr:rowOff>101203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AD7AA9C3-547F-4D3F-973F-2D44E62A2737}"/>
            </a:ext>
          </a:extLst>
        </xdr:cNvPr>
        <xdr:cNvCxnSpPr/>
      </xdr:nvCxnSpPr>
      <xdr:spPr>
        <a:xfrm flipV="1">
          <a:off x="375047" y="122015250"/>
          <a:ext cx="0" cy="3012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369094</xdr:colOff>
      <xdr:row>746</xdr:row>
      <xdr:rowOff>5953</xdr:rowOff>
    </xdr:from>
    <xdr:to>
      <xdr:col>2</xdr:col>
      <xdr:colOff>29766</xdr:colOff>
      <xdr:row>746</xdr:row>
      <xdr:rowOff>5953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57007BB6-0C26-47F5-8F1B-3FE4E5B7DD9C}"/>
            </a:ext>
          </a:extLst>
        </xdr:cNvPr>
        <xdr:cNvCxnSpPr/>
      </xdr:nvCxnSpPr>
      <xdr:spPr>
        <a:xfrm>
          <a:off x="369094" y="122021203"/>
          <a:ext cx="87987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342900</xdr:colOff>
      <xdr:row>548</xdr:row>
      <xdr:rowOff>114300</xdr:rowOff>
    </xdr:from>
    <xdr:to>
      <xdr:col>15</xdr:col>
      <xdr:colOff>342900</xdr:colOff>
      <xdr:row>551</xdr:row>
      <xdr:rowOff>28575</xdr:rowOff>
    </xdr:to>
    <xdr:sp macro="" textlink="">
      <xdr:nvSpPr>
        <xdr:cNvPr id="42" name="Line 2">
          <a:extLst>
            <a:ext uri="{FF2B5EF4-FFF2-40B4-BE49-F238E27FC236}">
              <a16:creationId xmlns:a16="http://schemas.microsoft.com/office/drawing/2014/main" id="{BD75CA5B-7938-4A3C-901D-839561C25A38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548</xdr:row>
      <xdr:rowOff>114300</xdr:rowOff>
    </xdr:from>
    <xdr:to>
      <xdr:col>17</xdr:col>
      <xdr:colOff>57150</xdr:colOff>
      <xdr:row>548</xdr:row>
      <xdr:rowOff>114300</xdr:rowOff>
    </xdr:to>
    <xdr:sp macro="" textlink="">
      <xdr:nvSpPr>
        <xdr:cNvPr id="43" name="Line 3">
          <a:extLst>
            <a:ext uri="{FF2B5EF4-FFF2-40B4-BE49-F238E27FC236}">
              <a16:creationId xmlns:a16="http://schemas.microsoft.com/office/drawing/2014/main" id="{A7D44392-E058-4A12-A2C7-21B23E163534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219075</xdr:colOff>
      <xdr:row>550</xdr:row>
      <xdr:rowOff>19050</xdr:rowOff>
    </xdr:from>
    <xdr:to>
      <xdr:col>15</xdr:col>
      <xdr:colOff>342900</xdr:colOff>
      <xdr:row>551</xdr:row>
      <xdr:rowOff>28575</xdr:rowOff>
    </xdr:to>
    <xdr:sp macro="" textlink="">
      <xdr:nvSpPr>
        <xdr:cNvPr id="44" name="Line 7">
          <a:extLst>
            <a:ext uri="{FF2B5EF4-FFF2-40B4-BE49-F238E27FC236}">
              <a16:creationId xmlns:a16="http://schemas.microsoft.com/office/drawing/2014/main" id="{0EAFD62E-A98C-4DBD-95E5-52EEBF82AB73}"/>
            </a:ext>
          </a:extLst>
        </xdr:cNvPr>
        <xdr:cNvSpPr>
          <a:spLocks noChangeShapeType="1"/>
        </xdr:cNvSpPr>
      </xdr:nvSpPr>
      <xdr:spPr bwMode="auto">
        <a:xfrm>
          <a:off x="9448800" y="86591775"/>
          <a:ext cx="1238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548</xdr:row>
      <xdr:rowOff>114300</xdr:rowOff>
    </xdr:from>
    <xdr:to>
      <xdr:col>15</xdr:col>
      <xdr:colOff>342900</xdr:colOff>
      <xdr:row>551</xdr:row>
      <xdr:rowOff>28575</xdr:rowOff>
    </xdr:to>
    <xdr:sp macro="" textlink="">
      <xdr:nvSpPr>
        <xdr:cNvPr id="45" name="Line 8">
          <a:extLst>
            <a:ext uri="{FF2B5EF4-FFF2-40B4-BE49-F238E27FC236}">
              <a16:creationId xmlns:a16="http://schemas.microsoft.com/office/drawing/2014/main" id="{E3AAD938-CB33-4790-A6A8-4396FDC29E09}"/>
            </a:ext>
          </a:extLst>
        </xdr:cNvPr>
        <xdr:cNvSpPr>
          <a:spLocks noChangeShapeType="1"/>
        </xdr:cNvSpPr>
      </xdr:nvSpPr>
      <xdr:spPr bwMode="auto">
        <a:xfrm flipV="1">
          <a:off x="9572625" y="863346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342900</xdr:colOff>
      <xdr:row>548</xdr:row>
      <xdr:rowOff>114300</xdr:rowOff>
    </xdr:from>
    <xdr:to>
      <xdr:col>17</xdr:col>
      <xdr:colOff>57150</xdr:colOff>
      <xdr:row>548</xdr:row>
      <xdr:rowOff>114300</xdr:rowOff>
    </xdr:to>
    <xdr:sp macro="" textlink="">
      <xdr:nvSpPr>
        <xdr:cNvPr id="46" name="Line 9">
          <a:extLst>
            <a:ext uri="{FF2B5EF4-FFF2-40B4-BE49-F238E27FC236}">
              <a16:creationId xmlns:a16="http://schemas.microsoft.com/office/drawing/2014/main" id="{95A8278D-6A20-43F1-AA1B-43EE5BDAB1E3}"/>
            </a:ext>
          </a:extLst>
        </xdr:cNvPr>
        <xdr:cNvSpPr>
          <a:spLocks noChangeShapeType="1"/>
        </xdr:cNvSpPr>
      </xdr:nvSpPr>
      <xdr:spPr bwMode="auto">
        <a:xfrm>
          <a:off x="9572625" y="86334600"/>
          <a:ext cx="933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285751</xdr:colOff>
      <xdr:row>566</xdr:row>
      <xdr:rowOff>76200</xdr:rowOff>
    </xdr:from>
    <xdr:to>
      <xdr:col>15</xdr:col>
      <xdr:colOff>342901</xdr:colOff>
      <xdr:row>568</xdr:row>
      <xdr:rowOff>123825</xdr:rowOff>
    </xdr:to>
    <xdr:sp macro="" textlink="">
      <xdr:nvSpPr>
        <xdr:cNvPr id="47" name="Colchete Esquerdo 46">
          <a:extLst>
            <a:ext uri="{FF2B5EF4-FFF2-40B4-BE49-F238E27FC236}">
              <a16:creationId xmlns:a16="http://schemas.microsoft.com/office/drawing/2014/main" id="{FC01D5FA-9487-454D-8C54-82EFBF3A5286}"/>
            </a:ext>
          </a:extLst>
        </xdr:cNvPr>
        <xdr:cNvSpPr/>
      </xdr:nvSpPr>
      <xdr:spPr>
        <a:xfrm>
          <a:off x="9515476" y="89239725"/>
          <a:ext cx="57150" cy="40957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471052</xdr:colOff>
      <xdr:row>566</xdr:row>
      <xdr:rowOff>85726</xdr:rowOff>
    </xdr:from>
    <xdr:to>
      <xdr:col>16</xdr:col>
      <xdr:colOff>528202</xdr:colOff>
      <xdr:row>568</xdr:row>
      <xdr:rowOff>133350</xdr:rowOff>
    </xdr:to>
    <xdr:sp macro="" textlink="">
      <xdr:nvSpPr>
        <xdr:cNvPr id="48" name="Colchete Direito 47">
          <a:extLst>
            <a:ext uri="{FF2B5EF4-FFF2-40B4-BE49-F238E27FC236}">
              <a16:creationId xmlns:a16="http://schemas.microsoft.com/office/drawing/2014/main" id="{F1162C3F-CE77-451B-B6EF-7A9C407AEADD}"/>
            </a:ext>
          </a:extLst>
        </xdr:cNvPr>
        <xdr:cNvSpPr/>
      </xdr:nvSpPr>
      <xdr:spPr>
        <a:xfrm>
          <a:off x="10310377" y="89249251"/>
          <a:ext cx="57150" cy="4095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260</xdr:row>
      <xdr:rowOff>152400</xdr:rowOff>
    </xdr:from>
    <xdr:to>
      <xdr:col>1</xdr:col>
      <xdr:colOff>342900</xdr:colOff>
      <xdr:row>262</xdr:row>
      <xdr:rowOff>28575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C92DFC5-9E08-4316-9007-AD3CB0D963F2}"/>
            </a:ext>
          </a:extLst>
        </xdr:cNvPr>
        <xdr:cNvSpPr>
          <a:spLocks noChangeShapeType="1"/>
        </xdr:cNvSpPr>
      </xdr:nvSpPr>
      <xdr:spPr bwMode="auto">
        <a:xfrm>
          <a:off x="838200" y="428625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259</xdr:row>
      <xdr:rowOff>114300</xdr:rowOff>
    </xdr:from>
    <xdr:to>
      <xdr:col>1</xdr:col>
      <xdr:colOff>342900</xdr:colOff>
      <xdr:row>262</xdr:row>
      <xdr:rowOff>28575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3D7A80-9C4A-4A0A-B502-77525BFD25D2}"/>
            </a:ext>
          </a:extLst>
        </xdr:cNvPr>
        <xdr:cNvSpPr>
          <a:spLocks noChangeShapeType="1"/>
        </xdr:cNvSpPr>
      </xdr:nvSpPr>
      <xdr:spPr bwMode="auto">
        <a:xfrm flipV="1">
          <a:off x="952500" y="426624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259</xdr:row>
      <xdr:rowOff>114300</xdr:rowOff>
    </xdr:from>
    <xdr:to>
      <xdr:col>3</xdr:col>
      <xdr:colOff>57150</xdr:colOff>
      <xdr:row>259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FA46575-0499-490F-B489-7E3A9B6127B5}"/>
            </a:ext>
          </a:extLst>
        </xdr:cNvPr>
        <xdr:cNvSpPr>
          <a:spLocks noChangeShapeType="1"/>
        </xdr:cNvSpPr>
      </xdr:nvSpPr>
      <xdr:spPr bwMode="auto">
        <a:xfrm>
          <a:off x="952500" y="42662475"/>
          <a:ext cx="1076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249</xdr:row>
      <xdr:rowOff>104775</xdr:rowOff>
    </xdr:from>
    <xdr:to>
      <xdr:col>2</xdr:col>
      <xdr:colOff>352425</xdr:colOff>
      <xdr:row>249</xdr:row>
      <xdr:rowOff>104775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526F973D-CCC4-4B16-A648-F5DC0DA7F119}"/>
            </a:ext>
          </a:extLst>
        </xdr:cNvPr>
        <xdr:cNvSpPr>
          <a:spLocks noChangeShapeType="1"/>
        </xdr:cNvSpPr>
      </xdr:nvSpPr>
      <xdr:spPr bwMode="auto">
        <a:xfrm>
          <a:off x="952500" y="40976550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247</xdr:row>
      <xdr:rowOff>9525</xdr:rowOff>
    </xdr:from>
    <xdr:to>
      <xdr:col>1</xdr:col>
      <xdr:colOff>457200</xdr:colOff>
      <xdr:row>247</xdr:row>
      <xdr:rowOff>209550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1B04870D-D485-471E-AE5D-F95BD77C0E93}"/>
            </a:ext>
          </a:extLst>
        </xdr:cNvPr>
        <xdr:cNvSpPr>
          <a:spLocks noChangeShapeType="1"/>
        </xdr:cNvSpPr>
      </xdr:nvSpPr>
      <xdr:spPr bwMode="auto">
        <a:xfrm flipV="1">
          <a:off x="1066800" y="404907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247</xdr:row>
      <xdr:rowOff>9525</xdr:rowOff>
    </xdr:from>
    <xdr:to>
      <xdr:col>3</xdr:col>
      <xdr:colOff>476250</xdr:colOff>
      <xdr:row>247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BFFD0FEF-6EB7-4DD1-8CDA-2C8E9FE1524D}"/>
            </a:ext>
          </a:extLst>
        </xdr:cNvPr>
        <xdr:cNvSpPr>
          <a:spLocks noChangeShapeType="1"/>
        </xdr:cNvSpPr>
      </xdr:nvSpPr>
      <xdr:spPr bwMode="auto">
        <a:xfrm flipV="1">
          <a:off x="1066800" y="40490775"/>
          <a:ext cx="1381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260</xdr:row>
      <xdr:rowOff>152400</xdr:rowOff>
    </xdr:from>
    <xdr:to>
      <xdr:col>1</xdr:col>
      <xdr:colOff>342900</xdr:colOff>
      <xdr:row>262</xdr:row>
      <xdr:rowOff>28575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1CD20867-F649-4F2E-9CCA-C0AC8A3886D2}"/>
            </a:ext>
          </a:extLst>
        </xdr:cNvPr>
        <xdr:cNvSpPr>
          <a:spLocks noChangeShapeType="1"/>
        </xdr:cNvSpPr>
      </xdr:nvSpPr>
      <xdr:spPr bwMode="auto">
        <a:xfrm>
          <a:off x="838200" y="42862500"/>
          <a:ext cx="11430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259</xdr:row>
      <xdr:rowOff>114300</xdr:rowOff>
    </xdr:from>
    <xdr:to>
      <xdr:col>1</xdr:col>
      <xdr:colOff>342900</xdr:colOff>
      <xdr:row>262</xdr:row>
      <xdr:rowOff>28575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75D9670A-2994-4CC4-9300-F50C50AECD14}"/>
            </a:ext>
          </a:extLst>
        </xdr:cNvPr>
        <xdr:cNvSpPr>
          <a:spLocks noChangeShapeType="1"/>
        </xdr:cNvSpPr>
      </xdr:nvSpPr>
      <xdr:spPr bwMode="auto">
        <a:xfrm flipV="1">
          <a:off x="952500" y="42662475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259</xdr:row>
      <xdr:rowOff>114300</xdr:rowOff>
    </xdr:from>
    <xdr:to>
      <xdr:col>3</xdr:col>
      <xdr:colOff>57150</xdr:colOff>
      <xdr:row>259</xdr:row>
      <xdr:rowOff>114300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CD8FAB9B-3511-4424-8FDD-908684DCDC31}"/>
            </a:ext>
          </a:extLst>
        </xdr:cNvPr>
        <xdr:cNvSpPr>
          <a:spLocks noChangeShapeType="1"/>
        </xdr:cNvSpPr>
      </xdr:nvSpPr>
      <xdr:spPr bwMode="auto">
        <a:xfrm>
          <a:off x="952500" y="42662475"/>
          <a:ext cx="1076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228600</xdr:colOff>
      <xdr:row>251</xdr:row>
      <xdr:rowOff>0</xdr:rowOff>
    </xdr:from>
    <xdr:to>
      <xdr:col>1</xdr:col>
      <xdr:colOff>342900</xdr:colOff>
      <xdr:row>251</xdr:row>
      <xdr:rowOff>123825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26910019-FCA8-4658-8D82-ADBC7A528FFD}"/>
            </a:ext>
          </a:extLst>
        </xdr:cNvPr>
        <xdr:cNvSpPr>
          <a:spLocks noChangeShapeType="1"/>
        </xdr:cNvSpPr>
      </xdr:nvSpPr>
      <xdr:spPr bwMode="auto">
        <a:xfrm>
          <a:off x="838200" y="41224200"/>
          <a:ext cx="114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249</xdr:row>
      <xdr:rowOff>114300</xdr:rowOff>
    </xdr:from>
    <xdr:to>
      <xdr:col>1</xdr:col>
      <xdr:colOff>342900</xdr:colOff>
      <xdr:row>251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22B0CD10-0B02-466F-9586-ECC71F697CE7}"/>
            </a:ext>
          </a:extLst>
        </xdr:cNvPr>
        <xdr:cNvSpPr>
          <a:spLocks noChangeShapeType="1"/>
        </xdr:cNvSpPr>
      </xdr:nvSpPr>
      <xdr:spPr bwMode="auto">
        <a:xfrm flipV="1">
          <a:off x="952500" y="40986075"/>
          <a:ext cx="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249</xdr:row>
      <xdr:rowOff>104775</xdr:rowOff>
    </xdr:from>
    <xdr:to>
      <xdr:col>2</xdr:col>
      <xdr:colOff>352425</xdr:colOff>
      <xdr:row>249</xdr:row>
      <xdr:rowOff>104775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66398E59-616F-460D-961D-F70343FB903E}"/>
            </a:ext>
          </a:extLst>
        </xdr:cNvPr>
        <xdr:cNvSpPr>
          <a:spLocks noChangeShapeType="1"/>
        </xdr:cNvSpPr>
      </xdr:nvSpPr>
      <xdr:spPr bwMode="auto">
        <a:xfrm>
          <a:off x="952500" y="40976550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400050</xdr:colOff>
      <xdr:row>247</xdr:row>
      <xdr:rowOff>66675</xdr:rowOff>
    </xdr:from>
    <xdr:to>
      <xdr:col>1</xdr:col>
      <xdr:colOff>457200</xdr:colOff>
      <xdr:row>247</xdr:row>
      <xdr:rowOff>219075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23398D53-BE53-4082-BD84-FD1539988E46}"/>
            </a:ext>
          </a:extLst>
        </xdr:cNvPr>
        <xdr:cNvSpPr>
          <a:spLocks noChangeShapeType="1"/>
        </xdr:cNvSpPr>
      </xdr:nvSpPr>
      <xdr:spPr bwMode="auto">
        <a:xfrm>
          <a:off x="1009650" y="40547925"/>
          <a:ext cx="5715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247</xdr:row>
      <xdr:rowOff>9525</xdr:rowOff>
    </xdr:from>
    <xdr:to>
      <xdr:col>1</xdr:col>
      <xdr:colOff>457200</xdr:colOff>
      <xdr:row>247</xdr:row>
      <xdr:rowOff>209550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C8450AF3-8AF1-43C1-A62D-B088B732D3AF}"/>
            </a:ext>
          </a:extLst>
        </xdr:cNvPr>
        <xdr:cNvSpPr>
          <a:spLocks noChangeShapeType="1"/>
        </xdr:cNvSpPr>
      </xdr:nvSpPr>
      <xdr:spPr bwMode="auto">
        <a:xfrm flipV="1">
          <a:off x="1066800" y="404907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457200</xdr:colOff>
      <xdr:row>247</xdr:row>
      <xdr:rowOff>9525</xdr:rowOff>
    </xdr:from>
    <xdr:to>
      <xdr:col>3</xdr:col>
      <xdr:colOff>476250</xdr:colOff>
      <xdr:row>247</xdr:row>
      <xdr:rowOff>9525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E6683936-0C32-498A-A4FA-8EA912E1DDE9}"/>
            </a:ext>
          </a:extLst>
        </xdr:cNvPr>
        <xdr:cNvSpPr>
          <a:spLocks noChangeShapeType="1"/>
        </xdr:cNvSpPr>
      </xdr:nvSpPr>
      <xdr:spPr bwMode="auto">
        <a:xfrm flipV="1">
          <a:off x="1066800" y="40490775"/>
          <a:ext cx="1381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448</xdr:row>
      <xdr:rowOff>123825</xdr:rowOff>
    </xdr:from>
    <xdr:to>
      <xdr:col>3</xdr:col>
      <xdr:colOff>409575</xdr:colOff>
      <xdr:row>451</xdr:row>
      <xdr:rowOff>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BA823C56-34EF-4993-B68E-C349540E4C7C}"/>
            </a:ext>
          </a:extLst>
        </xdr:cNvPr>
        <xdr:cNvSpPr>
          <a:spLocks noChangeArrowheads="1"/>
        </xdr:cNvSpPr>
      </xdr:nvSpPr>
      <xdr:spPr bwMode="auto">
        <a:xfrm>
          <a:off x="2076450" y="7360920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454</xdr:row>
      <xdr:rowOff>76200</xdr:rowOff>
    </xdr:from>
    <xdr:to>
      <xdr:col>2</xdr:col>
      <xdr:colOff>0</xdr:colOff>
      <xdr:row>455</xdr:row>
      <xdr:rowOff>142875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417B39C-E349-449F-8513-BC7F6A9EBED8}"/>
            </a:ext>
          </a:extLst>
        </xdr:cNvPr>
        <xdr:cNvSpPr>
          <a:spLocks noChangeShapeType="1"/>
        </xdr:cNvSpPr>
      </xdr:nvSpPr>
      <xdr:spPr bwMode="auto">
        <a:xfrm>
          <a:off x="1104900" y="74533125"/>
          <a:ext cx="2095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2</xdr:col>
      <xdr:colOff>0</xdr:colOff>
      <xdr:row>455</xdr:row>
      <xdr:rowOff>142875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5C2CFF48-A1BD-49EF-B854-2D3D87FC6BDC}"/>
            </a:ext>
          </a:extLst>
        </xdr:cNvPr>
        <xdr:cNvSpPr>
          <a:spLocks noChangeShapeType="1"/>
        </xdr:cNvSpPr>
      </xdr:nvSpPr>
      <xdr:spPr bwMode="auto">
        <a:xfrm flipV="1">
          <a:off x="1314450" y="74333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3</xdr:col>
      <xdr:colOff>209550</xdr:colOff>
      <xdr:row>453</xdr:row>
      <xdr:rowOff>38100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0A0E42AF-E7AB-48C6-9DA7-DCA7F317AA74}"/>
            </a:ext>
          </a:extLst>
        </xdr:cNvPr>
        <xdr:cNvSpPr>
          <a:spLocks noChangeShapeType="1"/>
        </xdr:cNvSpPr>
      </xdr:nvSpPr>
      <xdr:spPr bwMode="auto">
        <a:xfrm>
          <a:off x="1314450" y="74333100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448</xdr:row>
      <xdr:rowOff>123825</xdr:rowOff>
    </xdr:from>
    <xdr:to>
      <xdr:col>3</xdr:col>
      <xdr:colOff>409575</xdr:colOff>
      <xdr:row>451</xdr:row>
      <xdr:rowOff>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750C0853-D57A-4905-AD98-911FE04468A1}"/>
            </a:ext>
          </a:extLst>
        </xdr:cNvPr>
        <xdr:cNvSpPr>
          <a:spLocks noChangeArrowheads="1"/>
        </xdr:cNvSpPr>
      </xdr:nvSpPr>
      <xdr:spPr bwMode="auto">
        <a:xfrm>
          <a:off x="2076450" y="73609200"/>
          <a:ext cx="304800" cy="36195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495300</xdr:colOff>
      <xdr:row>454</xdr:row>
      <xdr:rowOff>76200</xdr:rowOff>
    </xdr:from>
    <xdr:to>
      <xdr:col>2</xdr:col>
      <xdr:colOff>0</xdr:colOff>
      <xdr:row>455</xdr:row>
      <xdr:rowOff>142875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7E9AC9D7-BF60-480B-B58C-583E722D96D3}"/>
            </a:ext>
          </a:extLst>
        </xdr:cNvPr>
        <xdr:cNvSpPr>
          <a:spLocks noChangeShapeType="1"/>
        </xdr:cNvSpPr>
      </xdr:nvSpPr>
      <xdr:spPr bwMode="auto">
        <a:xfrm>
          <a:off x="1104900" y="74533125"/>
          <a:ext cx="2095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2</xdr:col>
      <xdr:colOff>0</xdr:colOff>
      <xdr:row>455</xdr:row>
      <xdr:rowOff>142875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9CFA242F-C3ED-4EE3-9478-CCE842371D17}"/>
            </a:ext>
          </a:extLst>
        </xdr:cNvPr>
        <xdr:cNvSpPr>
          <a:spLocks noChangeShapeType="1"/>
        </xdr:cNvSpPr>
      </xdr:nvSpPr>
      <xdr:spPr bwMode="auto">
        <a:xfrm flipV="1">
          <a:off x="1314450" y="74333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453</xdr:row>
      <xdr:rowOff>38100</xdr:rowOff>
    </xdr:from>
    <xdr:to>
      <xdr:col>3</xdr:col>
      <xdr:colOff>209550</xdr:colOff>
      <xdr:row>453</xdr:row>
      <xdr:rowOff>38100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BFF50A2C-8E5B-4793-9A93-6B2D746E54C0}"/>
            </a:ext>
          </a:extLst>
        </xdr:cNvPr>
        <xdr:cNvSpPr>
          <a:spLocks noChangeShapeType="1"/>
        </xdr:cNvSpPr>
      </xdr:nvSpPr>
      <xdr:spPr bwMode="auto">
        <a:xfrm>
          <a:off x="1314450" y="74333100"/>
          <a:ext cx="86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462</xdr:row>
      <xdr:rowOff>0</xdr:rowOff>
    </xdr:from>
    <xdr:to>
      <xdr:col>1</xdr:col>
      <xdr:colOff>323850</xdr:colOff>
      <xdr:row>462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448B9628-C671-4A89-A69B-EF9F8D7BF67A}"/>
            </a:ext>
          </a:extLst>
        </xdr:cNvPr>
        <xdr:cNvSpPr>
          <a:spLocks noChangeShapeType="1"/>
        </xdr:cNvSpPr>
      </xdr:nvSpPr>
      <xdr:spPr bwMode="auto">
        <a:xfrm flipV="1">
          <a:off x="933450" y="7575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462</xdr:row>
      <xdr:rowOff>0</xdr:rowOff>
    </xdr:from>
    <xdr:to>
      <xdr:col>1</xdr:col>
      <xdr:colOff>323850</xdr:colOff>
      <xdr:row>462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D71830B8-2771-4D09-946E-D7AA99254E79}"/>
            </a:ext>
          </a:extLst>
        </xdr:cNvPr>
        <xdr:cNvSpPr>
          <a:spLocks noChangeShapeType="1"/>
        </xdr:cNvSpPr>
      </xdr:nvSpPr>
      <xdr:spPr bwMode="auto">
        <a:xfrm flipV="1">
          <a:off x="933450" y="7575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251460</xdr:colOff>
      <xdr:row>67</xdr:row>
      <xdr:rowOff>104775</xdr:rowOff>
    </xdr:from>
    <xdr:to>
      <xdr:col>6</xdr:col>
      <xdr:colOff>38056</xdr:colOff>
      <xdr:row>69</xdr:row>
      <xdr:rowOff>57150</xdr:rowOff>
    </xdr:to>
    <xdr:sp macro="" textlink="">
      <xdr:nvSpPr>
        <xdr:cNvPr id="27" name="AutoShape 28">
          <a:extLst>
            <a:ext uri="{FF2B5EF4-FFF2-40B4-BE49-F238E27FC236}">
              <a16:creationId xmlns:a16="http://schemas.microsoft.com/office/drawing/2014/main" id="{891E9E90-E38E-4A74-8326-658F29A69B2C}"/>
            </a:ext>
          </a:extLst>
        </xdr:cNvPr>
        <xdr:cNvSpPr>
          <a:spLocks noChangeArrowheads="1"/>
        </xdr:cNvSpPr>
      </xdr:nvSpPr>
      <xdr:spPr bwMode="auto">
        <a:xfrm>
          <a:off x="2223135" y="11391900"/>
          <a:ext cx="1701121" cy="276225"/>
        </a:xfrm>
        <a:prstGeom prst="wedgeRectCallout">
          <a:avLst>
            <a:gd name="adj1" fmla="val -89884"/>
            <a:gd name="adj2" fmla="val 6724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altura de centro a centro</a:t>
          </a:r>
        </a:p>
      </xdr:txBody>
    </xdr:sp>
    <xdr:clientData/>
  </xdr:twoCellAnchor>
  <xdr:twoCellAnchor>
    <xdr:from>
      <xdr:col>3</xdr:col>
      <xdr:colOff>220980</xdr:colOff>
      <xdr:row>71</xdr:row>
      <xdr:rowOff>19050</xdr:rowOff>
    </xdr:from>
    <xdr:to>
      <xdr:col>6</xdr:col>
      <xdr:colOff>19156</xdr:colOff>
      <xdr:row>72</xdr:row>
      <xdr:rowOff>133350</xdr:rowOff>
    </xdr:to>
    <xdr:sp macro="" textlink="">
      <xdr:nvSpPr>
        <xdr:cNvPr id="28" name="AutoShape 29">
          <a:extLst>
            <a:ext uri="{FF2B5EF4-FFF2-40B4-BE49-F238E27FC236}">
              <a16:creationId xmlns:a16="http://schemas.microsoft.com/office/drawing/2014/main" id="{2BBD704B-334D-4B6E-9D9A-4FA4BFDE66E0}"/>
            </a:ext>
          </a:extLst>
        </xdr:cNvPr>
        <xdr:cNvSpPr>
          <a:spLocks noChangeArrowheads="1"/>
        </xdr:cNvSpPr>
      </xdr:nvSpPr>
      <xdr:spPr bwMode="auto">
        <a:xfrm>
          <a:off x="2192655" y="11953875"/>
          <a:ext cx="1712701" cy="276225"/>
        </a:xfrm>
        <a:prstGeom prst="wedgeRectCallout">
          <a:avLst>
            <a:gd name="adj1" fmla="val -88148"/>
            <a:gd name="adj2" fmla="val -7758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Diâmetro do Rolo</a:t>
          </a:r>
        </a:p>
      </xdr:txBody>
    </xdr:sp>
    <xdr:clientData/>
  </xdr:twoCellAnchor>
  <xdr:twoCellAnchor>
    <xdr:from>
      <xdr:col>3</xdr:col>
      <xdr:colOff>325755</xdr:colOff>
      <xdr:row>106</xdr:row>
      <xdr:rowOff>146685</xdr:rowOff>
    </xdr:from>
    <xdr:to>
      <xdr:col>6</xdr:col>
      <xdr:colOff>118104</xdr:colOff>
      <xdr:row>108</xdr:row>
      <xdr:rowOff>105186</xdr:rowOff>
    </xdr:to>
    <xdr:sp macro="" textlink="">
      <xdr:nvSpPr>
        <xdr:cNvPr id="29" name="AutoShape 32">
          <a:extLst>
            <a:ext uri="{FF2B5EF4-FFF2-40B4-BE49-F238E27FC236}">
              <a16:creationId xmlns:a16="http://schemas.microsoft.com/office/drawing/2014/main" id="{E36D7AF1-0CE9-440D-B373-01093E28AE29}"/>
            </a:ext>
          </a:extLst>
        </xdr:cNvPr>
        <xdr:cNvSpPr>
          <a:spLocks noChangeArrowheads="1"/>
        </xdr:cNvSpPr>
      </xdr:nvSpPr>
      <xdr:spPr bwMode="auto">
        <a:xfrm>
          <a:off x="2297430" y="17748885"/>
          <a:ext cx="1706874" cy="282351"/>
        </a:xfrm>
        <a:prstGeom prst="wedgeRectCallout">
          <a:avLst>
            <a:gd name="adj1" fmla="val -92194"/>
            <a:gd name="adj2" fmla="val -862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de cada caneca</a:t>
          </a:r>
        </a:p>
      </xdr:txBody>
    </xdr:sp>
    <xdr:clientData/>
  </xdr:twoCellAnchor>
  <xdr:twoCellAnchor>
    <xdr:from>
      <xdr:col>3</xdr:col>
      <xdr:colOff>306705</xdr:colOff>
      <xdr:row>111</xdr:row>
      <xdr:rowOff>38100</xdr:rowOff>
    </xdr:from>
    <xdr:to>
      <xdr:col>6</xdr:col>
      <xdr:colOff>104934</xdr:colOff>
      <xdr:row>112</xdr:row>
      <xdr:rowOff>146916</xdr:rowOff>
    </xdr:to>
    <xdr:sp macro="" textlink="">
      <xdr:nvSpPr>
        <xdr:cNvPr id="30" name="AutoShape 33">
          <a:extLst>
            <a:ext uri="{FF2B5EF4-FFF2-40B4-BE49-F238E27FC236}">
              <a16:creationId xmlns:a16="http://schemas.microsoft.com/office/drawing/2014/main" id="{6919026E-DD53-4CCE-8FF9-C37008ED3791}"/>
            </a:ext>
          </a:extLst>
        </xdr:cNvPr>
        <xdr:cNvSpPr>
          <a:spLocks noChangeArrowheads="1"/>
        </xdr:cNvSpPr>
      </xdr:nvSpPr>
      <xdr:spPr bwMode="auto">
        <a:xfrm>
          <a:off x="2278380" y="18440400"/>
          <a:ext cx="1712754" cy="270741"/>
        </a:xfrm>
        <a:prstGeom prst="wedgeRectCallout">
          <a:avLst>
            <a:gd name="adj1" fmla="val -83528"/>
            <a:gd name="adj2" fmla="val -14310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peso da correia ou corrente</a:t>
          </a:r>
        </a:p>
      </xdr:txBody>
    </xdr:sp>
    <xdr:clientData/>
  </xdr:twoCellAnchor>
  <xdr:twoCellAnchor>
    <xdr:from>
      <xdr:col>4</xdr:col>
      <xdr:colOff>363855</xdr:colOff>
      <xdr:row>141</xdr:row>
      <xdr:rowOff>104775</xdr:rowOff>
    </xdr:from>
    <xdr:to>
      <xdr:col>7</xdr:col>
      <xdr:colOff>325806</xdr:colOff>
      <xdr:row>143</xdr:row>
      <xdr:rowOff>142875</xdr:rowOff>
    </xdr:to>
    <xdr:sp macro="" textlink="">
      <xdr:nvSpPr>
        <xdr:cNvPr id="31" name="AutoShape 34">
          <a:extLst>
            <a:ext uri="{FF2B5EF4-FFF2-40B4-BE49-F238E27FC236}">
              <a16:creationId xmlns:a16="http://schemas.microsoft.com/office/drawing/2014/main" id="{00A0E5ED-B3C7-4554-AF69-D60AB08DCF4E}"/>
            </a:ext>
          </a:extLst>
        </xdr:cNvPr>
        <xdr:cNvSpPr>
          <a:spLocks noChangeArrowheads="1"/>
        </xdr:cNvSpPr>
      </xdr:nvSpPr>
      <xdr:spPr bwMode="auto">
        <a:xfrm>
          <a:off x="2973705" y="23364825"/>
          <a:ext cx="1847901" cy="361950"/>
        </a:xfrm>
        <a:prstGeom prst="wedgeRectCallout">
          <a:avLst>
            <a:gd name="adj1" fmla="val -92245"/>
            <a:gd name="adj2" fmla="val 8157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Entra no calculo da potência do motor</a:t>
          </a:r>
        </a:p>
      </xdr:txBody>
    </xdr:sp>
    <xdr:clientData/>
  </xdr:twoCellAnchor>
  <xdr:twoCellAnchor>
    <xdr:from>
      <xdr:col>3</xdr:col>
      <xdr:colOff>474345</xdr:colOff>
      <xdr:row>206</xdr:row>
      <xdr:rowOff>38100</xdr:rowOff>
    </xdr:from>
    <xdr:to>
      <xdr:col>6</xdr:col>
      <xdr:colOff>588645</xdr:colOff>
      <xdr:row>208</xdr:row>
      <xdr:rowOff>95250</xdr:rowOff>
    </xdr:to>
    <xdr:sp macro="" textlink="">
      <xdr:nvSpPr>
        <xdr:cNvPr id="32" name="AutoShape 35">
          <a:extLst>
            <a:ext uri="{FF2B5EF4-FFF2-40B4-BE49-F238E27FC236}">
              <a16:creationId xmlns:a16="http://schemas.microsoft.com/office/drawing/2014/main" id="{C5180489-DFD2-4844-B332-A517618F41D1}"/>
            </a:ext>
          </a:extLst>
        </xdr:cNvPr>
        <xdr:cNvSpPr>
          <a:spLocks noChangeArrowheads="1"/>
        </xdr:cNvSpPr>
      </xdr:nvSpPr>
      <xdr:spPr bwMode="auto">
        <a:xfrm>
          <a:off x="2446020" y="33823275"/>
          <a:ext cx="2028825" cy="381000"/>
        </a:xfrm>
        <a:prstGeom prst="wedgeRectCallout">
          <a:avLst>
            <a:gd name="adj1" fmla="val -92028"/>
            <a:gd name="adj2" fmla="val 4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largura da correia em cm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para corrente não precisa mudar</a:t>
          </a:r>
        </a:p>
      </xdr:txBody>
    </xdr:sp>
    <xdr:clientData/>
  </xdr:twoCellAnchor>
  <xdr:twoCellAnchor>
    <xdr:from>
      <xdr:col>4</xdr:col>
      <xdr:colOff>26669</xdr:colOff>
      <xdr:row>209</xdr:row>
      <xdr:rowOff>99060</xdr:rowOff>
    </xdr:from>
    <xdr:to>
      <xdr:col>6</xdr:col>
      <xdr:colOff>520074</xdr:colOff>
      <xdr:row>212</xdr:row>
      <xdr:rowOff>38571</xdr:rowOff>
    </xdr:to>
    <xdr:sp macro="" textlink="">
      <xdr:nvSpPr>
        <xdr:cNvPr id="33" name="AutoShape 36">
          <a:extLst>
            <a:ext uri="{FF2B5EF4-FFF2-40B4-BE49-F238E27FC236}">
              <a16:creationId xmlns:a16="http://schemas.microsoft.com/office/drawing/2014/main" id="{9CE87D27-F141-433A-B3AD-6258712B2D08}"/>
            </a:ext>
          </a:extLst>
        </xdr:cNvPr>
        <xdr:cNvSpPr>
          <a:spLocks noChangeArrowheads="1"/>
        </xdr:cNvSpPr>
      </xdr:nvSpPr>
      <xdr:spPr bwMode="auto">
        <a:xfrm>
          <a:off x="2636519" y="34370010"/>
          <a:ext cx="1769755" cy="425286"/>
        </a:xfrm>
        <a:prstGeom prst="wedgeRectCallout">
          <a:avLst>
            <a:gd name="adj1" fmla="val -80245"/>
            <a:gd name="adj2" fmla="val 2692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Depende do tipo da correia</a:t>
          </a:r>
        </a:p>
      </xdr:txBody>
    </xdr:sp>
    <xdr:clientData/>
  </xdr:twoCellAnchor>
  <xdr:twoCellAnchor>
    <xdr:from>
      <xdr:col>3</xdr:col>
      <xdr:colOff>95250</xdr:colOff>
      <xdr:row>215</xdr:row>
      <xdr:rowOff>104775</xdr:rowOff>
    </xdr:from>
    <xdr:to>
      <xdr:col>5</xdr:col>
      <xdr:colOff>398227</xdr:colOff>
      <xdr:row>217</xdr:row>
      <xdr:rowOff>28575</xdr:rowOff>
    </xdr:to>
    <xdr:sp macro="" textlink="">
      <xdr:nvSpPr>
        <xdr:cNvPr id="34" name="AutoShape 37">
          <a:extLst>
            <a:ext uri="{FF2B5EF4-FFF2-40B4-BE49-F238E27FC236}">
              <a16:creationId xmlns:a16="http://schemas.microsoft.com/office/drawing/2014/main" id="{5C1151BC-955C-46CA-A11C-DE3E93840572}"/>
            </a:ext>
          </a:extLst>
        </xdr:cNvPr>
        <xdr:cNvSpPr>
          <a:spLocks noChangeArrowheads="1"/>
        </xdr:cNvSpPr>
      </xdr:nvSpPr>
      <xdr:spPr bwMode="auto">
        <a:xfrm>
          <a:off x="2066925" y="35347275"/>
          <a:ext cx="1607902" cy="247650"/>
        </a:xfrm>
        <a:prstGeom prst="wedgeRectCallout">
          <a:avLst>
            <a:gd name="adj1" fmla="val -64199"/>
            <a:gd name="adj2" fmla="val 14615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arredondar para cima</a:t>
          </a:r>
        </a:p>
      </xdr:txBody>
    </xdr:sp>
    <xdr:clientData/>
  </xdr:twoCellAnchor>
  <xdr:twoCellAnchor>
    <xdr:from>
      <xdr:col>5</xdr:col>
      <xdr:colOff>483870</xdr:colOff>
      <xdr:row>433</xdr:row>
      <xdr:rowOff>47625</xdr:rowOff>
    </xdr:from>
    <xdr:to>
      <xdr:col>6</xdr:col>
      <xdr:colOff>47569</xdr:colOff>
      <xdr:row>433</xdr:row>
      <xdr:rowOff>122132</xdr:rowOff>
    </xdr:to>
    <xdr:sp macro="" textlink="">
      <xdr:nvSpPr>
        <xdr:cNvPr id="35" name="Seta: para a Esquerda 34">
          <a:extLst>
            <a:ext uri="{FF2B5EF4-FFF2-40B4-BE49-F238E27FC236}">
              <a16:creationId xmlns:a16="http://schemas.microsoft.com/office/drawing/2014/main" id="{F3C1730F-A498-48CB-B15F-914A7B004CFD}"/>
            </a:ext>
          </a:extLst>
        </xdr:cNvPr>
        <xdr:cNvSpPr/>
      </xdr:nvSpPr>
      <xdr:spPr>
        <a:xfrm>
          <a:off x="3760470" y="71104125"/>
          <a:ext cx="173299" cy="74507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N/mm@" TargetMode="External"/><Relationship Id="rId2" Type="http://schemas.openxmlformats.org/officeDocument/2006/relationships/hyperlink" Target="mailto:N/mm@" TargetMode="External"/><Relationship Id="rId1" Type="http://schemas.openxmlformats.org/officeDocument/2006/relationships/hyperlink" Target="mailto:N/mm@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AFF4-E867-4F2E-A287-52EB9B077EAB}">
  <sheetPr>
    <tabColor theme="9" tint="0.59999389629810485"/>
  </sheetPr>
  <dimension ref="A2:AG484"/>
  <sheetViews>
    <sheetView tabSelected="1" topLeftCell="A262" zoomScale="83" zoomScaleNormal="100" zoomScaleSheetLayoutView="100" workbookViewId="0">
      <selection activeCell="J11" sqref="J11"/>
    </sheetView>
  </sheetViews>
  <sheetFormatPr defaultColWidth="8.77734375" defaultRowHeight="13.2" x14ac:dyDescent="0.25"/>
  <cols>
    <col min="1" max="1" width="8.77734375" style="1"/>
    <col min="2" max="2" width="10.44140625" style="1" bestFit="1" customWidth="1"/>
    <col min="3" max="3" width="9.77734375" style="1" customWidth="1"/>
    <col min="4" max="4" width="9.44140625" style="1" bestFit="1" customWidth="1"/>
    <col min="5" max="5" width="10" style="1" customWidth="1"/>
    <col min="6" max="8" width="8.77734375" style="1"/>
    <col min="9" max="9" width="11.77734375" style="1" customWidth="1"/>
    <col min="10" max="10" width="10.44140625" style="1" customWidth="1"/>
    <col min="11" max="11" width="12.77734375" style="1" customWidth="1"/>
    <col min="12" max="14" width="8.77734375" style="1"/>
    <col min="15" max="15" width="9.44140625" style="1" bestFit="1" customWidth="1"/>
    <col min="16" max="16" width="8.77734375" style="1"/>
    <col min="17" max="17" width="8" style="1" customWidth="1"/>
    <col min="18" max="21" width="8.77734375" style="1"/>
    <col min="22" max="22" width="9.21875" style="1" bestFit="1" customWidth="1"/>
    <col min="23" max="25" width="8.77734375" style="1"/>
    <col min="26" max="26" width="8.21875" style="1" bestFit="1" customWidth="1"/>
    <col min="27" max="257" width="8.77734375" style="1"/>
    <col min="258" max="258" width="9.44140625" style="1" bestFit="1" customWidth="1"/>
    <col min="259" max="259" width="9.77734375" style="1" customWidth="1"/>
    <col min="260" max="260" width="9.44140625" style="1" bestFit="1" customWidth="1"/>
    <col min="261" max="261" width="10" style="1" customWidth="1"/>
    <col min="262" max="264" width="8.77734375" style="1"/>
    <col min="265" max="265" width="11.77734375" style="1" customWidth="1"/>
    <col min="266" max="266" width="15.44140625" style="1" customWidth="1"/>
    <col min="267" max="267" width="12.77734375" style="1" customWidth="1"/>
    <col min="268" max="270" width="8.77734375" style="1"/>
    <col min="271" max="271" width="9.44140625" style="1" bestFit="1" customWidth="1"/>
    <col min="272" max="272" width="8.77734375" style="1"/>
    <col min="273" max="273" width="8" style="1" customWidth="1"/>
    <col min="274" max="281" width="8.77734375" style="1"/>
    <col min="282" max="282" width="8.21875" style="1" bestFit="1" customWidth="1"/>
    <col min="283" max="513" width="8.77734375" style="1"/>
    <col min="514" max="514" width="9.44140625" style="1" bestFit="1" customWidth="1"/>
    <col min="515" max="515" width="9.77734375" style="1" customWidth="1"/>
    <col min="516" max="516" width="9.44140625" style="1" bestFit="1" customWidth="1"/>
    <col min="517" max="517" width="10" style="1" customWidth="1"/>
    <col min="518" max="520" width="8.77734375" style="1"/>
    <col min="521" max="521" width="11.77734375" style="1" customWidth="1"/>
    <col min="522" max="522" width="15.44140625" style="1" customWidth="1"/>
    <col min="523" max="523" width="12.77734375" style="1" customWidth="1"/>
    <col min="524" max="526" width="8.77734375" style="1"/>
    <col min="527" max="527" width="9.44140625" style="1" bestFit="1" customWidth="1"/>
    <col min="528" max="528" width="8.77734375" style="1"/>
    <col min="529" max="529" width="8" style="1" customWidth="1"/>
    <col min="530" max="537" width="8.77734375" style="1"/>
    <col min="538" max="538" width="8.21875" style="1" bestFit="1" customWidth="1"/>
    <col min="539" max="769" width="8.77734375" style="1"/>
    <col min="770" max="770" width="9.44140625" style="1" bestFit="1" customWidth="1"/>
    <col min="771" max="771" width="9.77734375" style="1" customWidth="1"/>
    <col min="772" max="772" width="9.44140625" style="1" bestFit="1" customWidth="1"/>
    <col min="773" max="773" width="10" style="1" customWidth="1"/>
    <col min="774" max="776" width="8.77734375" style="1"/>
    <col min="777" max="777" width="11.77734375" style="1" customWidth="1"/>
    <col min="778" max="778" width="15.44140625" style="1" customWidth="1"/>
    <col min="779" max="779" width="12.77734375" style="1" customWidth="1"/>
    <col min="780" max="782" width="8.77734375" style="1"/>
    <col min="783" max="783" width="9.44140625" style="1" bestFit="1" customWidth="1"/>
    <col min="784" max="784" width="8.77734375" style="1"/>
    <col min="785" max="785" width="8" style="1" customWidth="1"/>
    <col min="786" max="793" width="8.77734375" style="1"/>
    <col min="794" max="794" width="8.21875" style="1" bestFit="1" customWidth="1"/>
    <col min="795" max="1025" width="8.77734375" style="1"/>
    <col min="1026" max="1026" width="9.44140625" style="1" bestFit="1" customWidth="1"/>
    <col min="1027" max="1027" width="9.77734375" style="1" customWidth="1"/>
    <col min="1028" max="1028" width="9.44140625" style="1" bestFit="1" customWidth="1"/>
    <col min="1029" max="1029" width="10" style="1" customWidth="1"/>
    <col min="1030" max="1032" width="8.77734375" style="1"/>
    <col min="1033" max="1033" width="11.77734375" style="1" customWidth="1"/>
    <col min="1034" max="1034" width="15.44140625" style="1" customWidth="1"/>
    <col min="1035" max="1035" width="12.77734375" style="1" customWidth="1"/>
    <col min="1036" max="1038" width="8.77734375" style="1"/>
    <col min="1039" max="1039" width="9.44140625" style="1" bestFit="1" customWidth="1"/>
    <col min="1040" max="1040" width="8.77734375" style="1"/>
    <col min="1041" max="1041" width="8" style="1" customWidth="1"/>
    <col min="1042" max="1049" width="8.77734375" style="1"/>
    <col min="1050" max="1050" width="8.21875" style="1" bestFit="1" customWidth="1"/>
    <col min="1051" max="1281" width="8.77734375" style="1"/>
    <col min="1282" max="1282" width="9.44140625" style="1" bestFit="1" customWidth="1"/>
    <col min="1283" max="1283" width="9.77734375" style="1" customWidth="1"/>
    <col min="1284" max="1284" width="9.44140625" style="1" bestFit="1" customWidth="1"/>
    <col min="1285" max="1285" width="10" style="1" customWidth="1"/>
    <col min="1286" max="1288" width="8.77734375" style="1"/>
    <col min="1289" max="1289" width="11.77734375" style="1" customWidth="1"/>
    <col min="1290" max="1290" width="15.44140625" style="1" customWidth="1"/>
    <col min="1291" max="1291" width="12.77734375" style="1" customWidth="1"/>
    <col min="1292" max="1294" width="8.77734375" style="1"/>
    <col min="1295" max="1295" width="9.44140625" style="1" bestFit="1" customWidth="1"/>
    <col min="1296" max="1296" width="8.77734375" style="1"/>
    <col min="1297" max="1297" width="8" style="1" customWidth="1"/>
    <col min="1298" max="1305" width="8.77734375" style="1"/>
    <col min="1306" max="1306" width="8.21875" style="1" bestFit="1" customWidth="1"/>
    <col min="1307" max="1537" width="8.77734375" style="1"/>
    <col min="1538" max="1538" width="9.44140625" style="1" bestFit="1" customWidth="1"/>
    <col min="1539" max="1539" width="9.77734375" style="1" customWidth="1"/>
    <col min="1540" max="1540" width="9.44140625" style="1" bestFit="1" customWidth="1"/>
    <col min="1541" max="1541" width="10" style="1" customWidth="1"/>
    <col min="1542" max="1544" width="8.77734375" style="1"/>
    <col min="1545" max="1545" width="11.77734375" style="1" customWidth="1"/>
    <col min="1546" max="1546" width="15.44140625" style="1" customWidth="1"/>
    <col min="1547" max="1547" width="12.77734375" style="1" customWidth="1"/>
    <col min="1548" max="1550" width="8.77734375" style="1"/>
    <col min="1551" max="1551" width="9.44140625" style="1" bestFit="1" customWidth="1"/>
    <col min="1552" max="1552" width="8.77734375" style="1"/>
    <col min="1553" max="1553" width="8" style="1" customWidth="1"/>
    <col min="1554" max="1561" width="8.77734375" style="1"/>
    <col min="1562" max="1562" width="8.21875" style="1" bestFit="1" customWidth="1"/>
    <col min="1563" max="1793" width="8.77734375" style="1"/>
    <col min="1794" max="1794" width="9.44140625" style="1" bestFit="1" customWidth="1"/>
    <col min="1795" max="1795" width="9.77734375" style="1" customWidth="1"/>
    <col min="1796" max="1796" width="9.44140625" style="1" bestFit="1" customWidth="1"/>
    <col min="1797" max="1797" width="10" style="1" customWidth="1"/>
    <col min="1798" max="1800" width="8.77734375" style="1"/>
    <col min="1801" max="1801" width="11.77734375" style="1" customWidth="1"/>
    <col min="1802" max="1802" width="15.44140625" style="1" customWidth="1"/>
    <col min="1803" max="1803" width="12.77734375" style="1" customWidth="1"/>
    <col min="1804" max="1806" width="8.77734375" style="1"/>
    <col min="1807" max="1807" width="9.44140625" style="1" bestFit="1" customWidth="1"/>
    <col min="1808" max="1808" width="8.77734375" style="1"/>
    <col min="1809" max="1809" width="8" style="1" customWidth="1"/>
    <col min="1810" max="1817" width="8.77734375" style="1"/>
    <col min="1818" max="1818" width="8.21875" style="1" bestFit="1" customWidth="1"/>
    <col min="1819" max="2049" width="8.77734375" style="1"/>
    <col min="2050" max="2050" width="9.44140625" style="1" bestFit="1" customWidth="1"/>
    <col min="2051" max="2051" width="9.77734375" style="1" customWidth="1"/>
    <col min="2052" max="2052" width="9.44140625" style="1" bestFit="1" customWidth="1"/>
    <col min="2053" max="2053" width="10" style="1" customWidth="1"/>
    <col min="2054" max="2056" width="8.77734375" style="1"/>
    <col min="2057" max="2057" width="11.77734375" style="1" customWidth="1"/>
    <col min="2058" max="2058" width="15.44140625" style="1" customWidth="1"/>
    <col min="2059" max="2059" width="12.77734375" style="1" customWidth="1"/>
    <col min="2060" max="2062" width="8.77734375" style="1"/>
    <col min="2063" max="2063" width="9.44140625" style="1" bestFit="1" customWidth="1"/>
    <col min="2064" max="2064" width="8.77734375" style="1"/>
    <col min="2065" max="2065" width="8" style="1" customWidth="1"/>
    <col min="2066" max="2073" width="8.77734375" style="1"/>
    <col min="2074" max="2074" width="8.21875" style="1" bestFit="1" customWidth="1"/>
    <col min="2075" max="2305" width="8.77734375" style="1"/>
    <col min="2306" max="2306" width="9.44140625" style="1" bestFit="1" customWidth="1"/>
    <col min="2307" max="2307" width="9.77734375" style="1" customWidth="1"/>
    <col min="2308" max="2308" width="9.44140625" style="1" bestFit="1" customWidth="1"/>
    <col min="2309" max="2309" width="10" style="1" customWidth="1"/>
    <col min="2310" max="2312" width="8.77734375" style="1"/>
    <col min="2313" max="2313" width="11.77734375" style="1" customWidth="1"/>
    <col min="2314" max="2314" width="15.44140625" style="1" customWidth="1"/>
    <col min="2315" max="2315" width="12.77734375" style="1" customWidth="1"/>
    <col min="2316" max="2318" width="8.77734375" style="1"/>
    <col min="2319" max="2319" width="9.44140625" style="1" bestFit="1" customWidth="1"/>
    <col min="2320" max="2320" width="8.77734375" style="1"/>
    <col min="2321" max="2321" width="8" style="1" customWidth="1"/>
    <col min="2322" max="2329" width="8.77734375" style="1"/>
    <col min="2330" max="2330" width="8.21875" style="1" bestFit="1" customWidth="1"/>
    <col min="2331" max="2561" width="8.77734375" style="1"/>
    <col min="2562" max="2562" width="9.44140625" style="1" bestFit="1" customWidth="1"/>
    <col min="2563" max="2563" width="9.77734375" style="1" customWidth="1"/>
    <col min="2564" max="2564" width="9.44140625" style="1" bestFit="1" customWidth="1"/>
    <col min="2565" max="2565" width="10" style="1" customWidth="1"/>
    <col min="2566" max="2568" width="8.77734375" style="1"/>
    <col min="2569" max="2569" width="11.77734375" style="1" customWidth="1"/>
    <col min="2570" max="2570" width="15.44140625" style="1" customWidth="1"/>
    <col min="2571" max="2571" width="12.77734375" style="1" customWidth="1"/>
    <col min="2572" max="2574" width="8.77734375" style="1"/>
    <col min="2575" max="2575" width="9.44140625" style="1" bestFit="1" customWidth="1"/>
    <col min="2576" max="2576" width="8.77734375" style="1"/>
    <col min="2577" max="2577" width="8" style="1" customWidth="1"/>
    <col min="2578" max="2585" width="8.77734375" style="1"/>
    <col min="2586" max="2586" width="8.21875" style="1" bestFit="1" customWidth="1"/>
    <col min="2587" max="2817" width="8.77734375" style="1"/>
    <col min="2818" max="2818" width="9.44140625" style="1" bestFit="1" customWidth="1"/>
    <col min="2819" max="2819" width="9.77734375" style="1" customWidth="1"/>
    <col min="2820" max="2820" width="9.44140625" style="1" bestFit="1" customWidth="1"/>
    <col min="2821" max="2821" width="10" style="1" customWidth="1"/>
    <col min="2822" max="2824" width="8.77734375" style="1"/>
    <col min="2825" max="2825" width="11.77734375" style="1" customWidth="1"/>
    <col min="2826" max="2826" width="15.44140625" style="1" customWidth="1"/>
    <col min="2827" max="2827" width="12.77734375" style="1" customWidth="1"/>
    <col min="2828" max="2830" width="8.77734375" style="1"/>
    <col min="2831" max="2831" width="9.44140625" style="1" bestFit="1" customWidth="1"/>
    <col min="2832" max="2832" width="8.77734375" style="1"/>
    <col min="2833" max="2833" width="8" style="1" customWidth="1"/>
    <col min="2834" max="2841" width="8.77734375" style="1"/>
    <col min="2842" max="2842" width="8.21875" style="1" bestFit="1" customWidth="1"/>
    <col min="2843" max="3073" width="8.77734375" style="1"/>
    <col min="3074" max="3074" width="9.44140625" style="1" bestFit="1" customWidth="1"/>
    <col min="3075" max="3075" width="9.77734375" style="1" customWidth="1"/>
    <col min="3076" max="3076" width="9.44140625" style="1" bestFit="1" customWidth="1"/>
    <col min="3077" max="3077" width="10" style="1" customWidth="1"/>
    <col min="3078" max="3080" width="8.77734375" style="1"/>
    <col min="3081" max="3081" width="11.77734375" style="1" customWidth="1"/>
    <col min="3082" max="3082" width="15.44140625" style="1" customWidth="1"/>
    <col min="3083" max="3083" width="12.77734375" style="1" customWidth="1"/>
    <col min="3084" max="3086" width="8.77734375" style="1"/>
    <col min="3087" max="3087" width="9.44140625" style="1" bestFit="1" customWidth="1"/>
    <col min="3088" max="3088" width="8.77734375" style="1"/>
    <col min="3089" max="3089" width="8" style="1" customWidth="1"/>
    <col min="3090" max="3097" width="8.77734375" style="1"/>
    <col min="3098" max="3098" width="8.21875" style="1" bestFit="1" customWidth="1"/>
    <col min="3099" max="3329" width="8.77734375" style="1"/>
    <col min="3330" max="3330" width="9.44140625" style="1" bestFit="1" customWidth="1"/>
    <col min="3331" max="3331" width="9.77734375" style="1" customWidth="1"/>
    <col min="3332" max="3332" width="9.44140625" style="1" bestFit="1" customWidth="1"/>
    <col min="3333" max="3333" width="10" style="1" customWidth="1"/>
    <col min="3334" max="3336" width="8.77734375" style="1"/>
    <col min="3337" max="3337" width="11.77734375" style="1" customWidth="1"/>
    <col min="3338" max="3338" width="15.44140625" style="1" customWidth="1"/>
    <col min="3339" max="3339" width="12.77734375" style="1" customWidth="1"/>
    <col min="3340" max="3342" width="8.77734375" style="1"/>
    <col min="3343" max="3343" width="9.44140625" style="1" bestFit="1" customWidth="1"/>
    <col min="3344" max="3344" width="8.77734375" style="1"/>
    <col min="3345" max="3345" width="8" style="1" customWidth="1"/>
    <col min="3346" max="3353" width="8.77734375" style="1"/>
    <col min="3354" max="3354" width="8.21875" style="1" bestFit="1" customWidth="1"/>
    <col min="3355" max="3585" width="8.77734375" style="1"/>
    <col min="3586" max="3586" width="9.44140625" style="1" bestFit="1" customWidth="1"/>
    <col min="3587" max="3587" width="9.77734375" style="1" customWidth="1"/>
    <col min="3588" max="3588" width="9.44140625" style="1" bestFit="1" customWidth="1"/>
    <col min="3589" max="3589" width="10" style="1" customWidth="1"/>
    <col min="3590" max="3592" width="8.77734375" style="1"/>
    <col min="3593" max="3593" width="11.77734375" style="1" customWidth="1"/>
    <col min="3594" max="3594" width="15.44140625" style="1" customWidth="1"/>
    <col min="3595" max="3595" width="12.77734375" style="1" customWidth="1"/>
    <col min="3596" max="3598" width="8.77734375" style="1"/>
    <col min="3599" max="3599" width="9.44140625" style="1" bestFit="1" customWidth="1"/>
    <col min="3600" max="3600" width="8.77734375" style="1"/>
    <col min="3601" max="3601" width="8" style="1" customWidth="1"/>
    <col min="3602" max="3609" width="8.77734375" style="1"/>
    <col min="3610" max="3610" width="8.21875" style="1" bestFit="1" customWidth="1"/>
    <col min="3611" max="3841" width="8.77734375" style="1"/>
    <col min="3842" max="3842" width="9.44140625" style="1" bestFit="1" customWidth="1"/>
    <col min="3843" max="3843" width="9.77734375" style="1" customWidth="1"/>
    <col min="3844" max="3844" width="9.44140625" style="1" bestFit="1" customWidth="1"/>
    <col min="3845" max="3845" width="10" style="1" customWidth="1"/>
    <col min="3846" max="3848" width="8.77734375" style="1"/>
    <col min="3849" max="3849" width="11.77734375" style="1" customWidth="1"/>
    <col min="3850" max="3850" width="15.44140625" style="1" customWidth="1"/>
    <col min="3851" max="3851" width="12.77734375" style="1" customWidth="1"/>
    <col min="3852" max="3854" width="8.77734375" style="1"/>
    <col min="3855" max="3855" width="9.44140625" style="1" bestFit="1" customWidth="1"/>
    <col min="3856" max="3856" width="8.77734375" style="1"/>
    <col min="3857" max="3857" width="8" style="1" customWidth="1"/>
    <col min="3858" max="3865" width="8.77734375" style="1"/>
    <col min="3866" max="3866" width="8.21875" style="1" bestFit="1" customWidth="1"/>
    <col min="3867" max="4097" width="8.77734375" style="1"/>
    <col min="4098" max="4098" width="9.44140625" style="1" bestFit="1" customWidth="1"/>
    <col min="4099" max="4099" width="9.77734375" style="1" customWidth="1"/>
    <col min="4100" max="4100" width="9.44140625" style="1" bestFit="1" customWidth="1"/>
    <col min="4101" max="4101" width="10" style="1" customWidth="1"/>
    <col min="4102" max="4104" width="8.77734375" style="1"/>
    <col min="4105" max="4105" width="11.77734375" style="1" customWidth="1"/>
    <col min="4106" max="4106" width="15.44140625" style="1" customWidth="1"/>
    <col min="4107" max="4107" width="12.77734375" style="1" customWidth="1"/>
    <col min="4108" max="4110" width="8.77734375" style="1"/>
    <col min="4111" max="4111" width="9.44140625" style="1" bestFit="1" customWidth="1"/>
    <col min="4112" max="4112" width="8.77734375" style="1"/>
    <col min="4113" max="4113" width="8" style="1" customWidth="1"/>
    <col min="4114" max="4121" width="8.77734375" style="1"/>
    <col min="4122" max="4122" width="8.21875" style="1" bestFit="1" customWidth="1"/>
    <col min="4123" max="4353" width="8.77734375" style="1"/>
    <col min="4354" max="4354" width="9.44140625" style="1" bestFit="1" customWidth="1"/>
    <col min="4355" max="4355" width="9.77734375" style="1" customWidth="1"/>
    <col min="4356" max="4356" width="9.44140625" style="1" bestFit="1" customWidth="1"/>
    <col min="4357" max="4357" width="10" style="1" customWidth="1"/>
    <col min="4358" max="4360" width="8.77734375" style="1"/>
    <col min="4361" max="4361" width="11.77734375" style="1" customWidth="1"/>
    <col min="4362" max="4362" width="15.44140625" style="1" customWidth="1"/>
    <col min="4363" max="4363" width="12.77734375" style="1" customWidth="1"/>
    <col min="4364" max="4366" width="8.77734375" style="1"/>
    <col min="4367" max="4367" width="9.44140625" style="1" bestFit="1" customWidth="1"/>
    <col min="4368" max="4368" width="8.77734375" style="1"/>
    <col min="4369" max="4369" width="8" style="1" customWidth="1"/>
    <col min="4370" max="4377" width="8.77734375" style="1"/>
    <col min="4378" max="4378" width="8.21875" style="1" bestFit="1" customWidth="1"/>
    <col min="4379" max="4609" width="8.77734375" style="1"/>
    <col min="4610" max="4610" width="9.44140625" style="1" bestFit="1" customWidth="1"/>
    <col min="4611" max="4611" width="9.77734375" style="1" customWidth="1"/>
    <col min="4612" max="4612" width="9.44140625" style="1" bestFit="1" customWidth="1"/>
    <col min="4613" max="4613" width="10" style="1" customWidth="1"/>
    <col min="4614" max="4616" width="8.77734375" style="1"/>
    <col min="4617" max="4617" width="11.77734375" style="1" customWidth="1"/>
    <col min="4618" max="4618" width="15.44140625" style="1" customWidth="1"/>
    <col min="4619" max="4619" width="12.77734375" style="1" customWidth="1"/>
    <col min="4620" max="4622" width="8.77734375" style="1"/>
    <col min="4623" max="4623" width="9.44140625" style="1" bestFit="1" customWidth="1"/>
    <col min="4624" max="4624" width="8.77734375" style="1"/>
    <col min="4625" max="4625" width="8" style="1" customWidth="1"/>
    <col min="4626" max="4633" width="8.77734375" style="1"/>
    <col min="4634" max="4634" width="8.21875" style="1" bestFit="1" customWidth="1"/>
    <col min="4635" max="4865" width="8.77734375" style="1"/>
    <col min="4866" max="4866" width="9.44140625" style="1" bestFit="1" customWidth="1"/>
    <col min="4867" max="4867" width="9.77734375" style="1" customWidth="1"/>
    <col min="4868" max="4868" width="9.44140625" style="1" bestFit="1" customWidth="1"/>
    <col min="4869" max="4869" width="10" style="1" customWidth="1"/>
    <col min="4870" max="4872" width="8.77734375" style="1"/>
    <col min="4873" max="4873" width="11.77734375" style="1" customWidth="1"/>
    <col min="4874" max="4874" width="15.44140625" style="1" customWidth="1"/>
    <col min="4875" max="4875" width="12.77734375" style="1" customWidth="1"/>
    <col min="4876" max="4878" width="8.77734375" style="1"/>
    <col min="4879" max="4879" width="9.44140625" style="1" bestFit="1" customWidth="1"/>
    <col min="4880" max="4880" width="8.77734375" style="1"/>
    <col min="4881" max="4881" width="8" style="1" customWidth="1"/>
    <col min="4882" max="4889" width="8.77734375" style="1"/>
    <col min="4890" max="4890" width="8.21875" style="1" bestFit="1" customWidth="1"/>
    <col min="4891" max="5121" width="8.77734375" style="1"/>
    <col min="5122" max="5122" width="9.44140625" style="1" bestFit="1" customWidth="1"/>
    <col min="5123" max="5123" width="9.77734375" style="1" customWidth="1"/>
    <col min="5124" max="5124" width="9.44140625" style="1" bestFit="1" customWidth="1"/>
    <col min="5125" max="5125" width="10" style="1" customWidth="1"/>
    <col min="5126" max="5128" width="8.77734375" style="1"/>
    <col min="5129" max="5129" width="11.77734375" style="1" customWidth="1"/>
    <col min="5130" max="5130" width="15.44140625" style="1" customWidth="1"/>
    <col min="5131" max="5131" width="12.77734375" style="1" customWidth="1"/>
    <col min="5132" max="5134" width="8.77734375" style="1"/>
    <col min="5135" max="5135" width="9.44140625" style="1" bestFit="1" customWidth="1"/>
    <col min="5136" max="5136" width="8.77734375" style="1"/>
    <col min="5137" max="5137" width="8" style="1" customWidth="1"/>
    <col min="5138" max="5145" width="8.77734375" style="1"/>
    <col min="5146" max="5146" width="8.21875" style="1" bestFit="1" customWidth="1"/>
    <col min="5147" max="5377" width="8.77734375" style="1"/>
    <col min="5378" max="5378" width="9.44140625" style="1" bestFit="1" customWidth="1"/>
    <col min="5379" max="5379" width="9.77734375" style="1" customWidth="1"/>
    <col min="5380" max="5380" width="9.44140625" style="1" bestFit="1" customWidth="1"/>
    <col min="5381" max="5381" width="10" style="1" customWidth="1"/>
    <col min="5382" max="5384" width="8.77734375" style="1"/>
    <col min="5385" max="5385" width="11.77734375" style="1" customWidth="1"/>
    <col min="5386" max="5386" width="15.44140625" style="1" customWidth="1"/>
    <col min="5387" max="5387" width="12.77734375" style="1" customWidth="1"/>
    <col min="5388" max="5390" width="8.77734375" style="1"/>
    <col min="5391" max="5391" width="9.44140625" style="1" bestFit="1" customWidth="1"/>
    <col min="5392" max="5392" width="8.77734375" style="1"/>
    <col min="5393" max="5393" width="8" style="1" customWidth="1"/>
    <col min="5394" max="5401" width="8.77734375" style="1"/>
    <col min="5402" max="5402" width="8.21875" style="1" bestFit="1" customWidth="1"/>
    <col min="5403" max="5633" width="8.77734375" style="1"/>
    <col min="5634" max="5634" width="9.44140625" style="1" bestFit="1" customWidth="1"/>
    <col min="5635" max="5635" width="9.77734375" style="1" customWidth="1"/>
    <col min="5636" max="5636" width="9.44140625" style="1" bestFit="1" customWidth="1"/>
    <col min="5637" max="5637" width="10" style="1" customWidth="1"/>
    <col min="5638" max="5640" width="8.77734375" style="1"/>
    <col min="5641" max="5641" width="11.77734375" style="1" customWidth="1"/>
    <col min="5642" max="5642" width="15.44140625" style="1" customWidth="1"/>
    <col min="5643" max="5643" width="12.77734375" style="1" customWidth="1"/>
    <col min="5644" max="5646" width="8.77734375" style="1"/>
    <col min="5647" max="5647" width="9.44140625" style="1" bestFit="1" customWidth="1"/>
    <col min="5648" max="5648" width="8.77734375" style="1"/>
    <col min="5649" max="5649" width="8" style="1" customWidth="1"/>
    <col min="5650" max="5657" width="8.77734375" style="1"/>
    <col min="5658" max="5658" width="8.21875" style="1" bestFit="1" customWidth="1"/>
    <col min="5659" max="5889" width="8.77734375" style="1"/>
    <col min="5890" max="5890" width="9.44140625" style="1" bestFit="1" customWidth="1"/>
    <col min="5891" max="5891" width="9.77734375" style="1" customWidth="1"/>
    <col min="5892" max="5892" width="9.44140625" style="1" bestFit="1" customWidth="1"/>
    <col min="5893" max="5893" width="10" style="1" customWidth="1"/>
    <col min="5894" max="5896" width="8.77734375" style="1"/>
    <col min="5897" max="5897" width="11.77734375" style="1" customWidth="1"/>
    <col min="5898" max="5898" width="15.44140625" style="1" customWidth="1"/>
    <col min="5899" max="5899" width="12.77734375" style="1" customWidth="1"/>
    <col min="5900" max="5902" width="8.77734375" style="1"/>
    <col min="5903" max="5903" width="9.44140625" style="1" bestFit="1" customWidth="1"/>
    <col min="5904" max="5904" width="8.77734375" style="1"/>
    <col min="5905" max="5905" width="8" style="1" customWidth="1"/>
    <col min="5906" max="5913" width="8.77734375" style="1"/>
    <col min="5914" max="5914" width="8.21875" style="1" bestFit="1" customWidth="1"/>
    <col min="5915" max="6145" width="8.77734375" style="1"/>
    <col min="6146" max="6146" width="9.44140625" style="1" bestFit="1" customWidth="1"/>
    <col min="6147" max="6147" width="9.77734375" style="1" customWidth="1"/>
    <col min="6148" max="6148" width="9.44140625" style="1" bestFit="1" customWidth="1"/>
    <col min="6149" max="6149" width="10" style="1" customWidth="1"/>
    <col min="6150" max="6152" width="8.77734375" style="1"/>
    <col min="6153" max="6153" width="11.77734375" style="1" customWidth="1"/>
    <col min="6154" max="6154" width="15.44140625" style="1" customWidth="1"/>
    <col min="6155" max="6155" width="12.77734375" style="1" customWidth="1"/>
    <col min="6156" max="6158" width="8.77734375" style="1"/>
    <col min="6159" max="6159" width="9.44140625" style="1" bestFit="1" customWidth="1"/>
    <col min="6160" max="6160" width="8.77734375" style="1"/>
    <col min="6161" max="6161" width="8" style="1" customWidth="1"/>
    <col min="6162" max="6169" width="8.77734375" style="1"/>
    <col min="6170" max="6170" width="8.21875" style="1" bestFit="1" customWidth="1"/>
    <col min="6171" max="6401" width="8.77734375" style="1"/>
    <col min="6402" max="6402" width="9.44140625" style="1" bestFit="1" customWidth="1"/>
    <col min="6403" max="6403" width="9.77734375" style="1" customWidth="1"/>
    <col min="6404" max="6404" width="9.44140625" style="1" bestFit="1" customWidth="1"/>
    <col min="6405" max="6405" width="10" style="1" customWidth="1"/>
    <col min="6406" max="6408" width="8.77734375" style="1"/>
    <col min="6409" max="6409" width="11.77734375" style="1" customWidth="1"/>
    <col min="6410" max="6410" width="15.44140625" style="1" customWidth="1"/>
    <col min="6411" max="6411" width="12.77734375" style="1" customWidth="1"/>
    <col min="6412" max="6414" width="8.77734375" style="1"/>
    <col min="6415" max="6415" width="9.44140625" style="1" bestFit="1" customWidth="1"/>
    <col min="6416" max="6416" width="8.77734375" style="1"/>
    <col min="6417" max="6417" width="8" style="1" customWidth="1"/>
    <col min="6418" max="6425" width="8.77734375" style="1"/>
    <col min="6426" max="6426" width="8.21875" style="1" bestFit="1" customWidth="1"/>
    <col min="6427" max="6657" width="8.77734375" style="1"/>
    <col min="6658" max="6658" width="9.44140625" style="1" bestFit="1" customWidth="1"/>
    <col min="6659" max="6659" width="9.77734375" style="1" customWidth="1"/>
    <col min="6660" max="6660" width="9.44140625" style="1" bestFit="1" customWidth="1"/>
    <col min="6661" max="6661" width="10" style="1" customWidth="1"/>
    <col min="6662" max="6664" width="8.77734375" style="1"/>
    <col min="6665" max="6665" width="11.77734375" style="1" customWidth="1"/>
    <col min="6666" max="6666" width="15.44140625" style="1" customWidth="1"/>
    <col min="6667" max="6667" width="12.77734375" style="1" customWidth="1"/>
    <col min="6668" max="6670" width="8.77734375" style="1"/>
    <col min="6671" max="6671" width="9.44140625" style="1" bestFit="1" customWidth="1"/>
    <col min="6672" max="6672" width="8.77734375" style="1"/>
    <col min="6673" max="6673" width="8" style="1" customWidth="1"/>
    <col min="6674" max="6681" width="8.77734375" style="1"/>
    <col min="6682" max="6682" width="8.21875" style="1" bestFit="1" customWidth="1"/>
    <col min="6683" max="6913" width="8.77734375" style="1"/>
    <col min="6914" max="6914" width="9.44140625" style="1" bestFit="1" customWidth="1"/>
    <col min="6915" max="6915" width="9.77734375" style="1" customWidth="1"/>
    <col min="6916" max="6916" width="9.44140625" style="1" bestFit="1" customWidth="1"/>
    <col min="6917" max="6917" width="10" style="1" customWidth="1"/>
    <col min="6918" max="6920" width="8.77734375" style="1"/>
    <col min="6921" max="6921" width="11.77734375" style="1" customWidth="1"/>
    <col min="6922" max="6922" width="15.44140625" style="1" customWidth="1"/>
    <col min="6923" max="6923" width="12.77734375" style="1" customWidth="1"/>
    <col min="6924" max="6926" width="8.77734375" style="1"/>
    <col min="6927" max="6927" width="9.44140625" style="1" bestFit="1" customWidth="1"/>
    <col min="6928" max="6928" width="8.77734375" style="1"/>
    <col min="6929" max="6929" width="8" style="1" customWidth="1"/>
    <col min="6930" max="6937" width="8.77734375" style="1"/>
    <col min="6938" max="6938" width="8.21875" style="1" bestFit="1" customWidth="1"/>
    <col min="6939" max="7169" width="8.77734375" style="1"/>
    <col min="7170" max="7170" width="9.44140625" style="1" bestFit="1" customWidth="1"/>
    <col min="7171" max="7171" width="9.77734375" style="1" customWidth="1"/>
    <col min="7172" max="7172" width="9.44140625" style="1" bestFit="1" customWidth="1"/>
    <col min="7173" max="7173" width="10" style="1" customWidth="1"/>
    <col min="7174" max="7176" width="8.77734375" style="1"/>
    <col min="7177" max="7177" width="11.77734375" style="1" customWidth="1"/>
    <col min="7178" max="7178" width="15.44140625" style="1" customWidth="1"/>
    <col min="7179" max="7179" width="12.77734375" style="1" customWidth="1"/>
    <col min="7180" max="7182" width="8.77734375" style="1"/>
    <col min="7183" max="7183" width="9.44140625" style="1" bestFit="1" customWidth="1"/>
    <col min="7184" max="7184" width="8.77734375" style="1"/>
    <col min="7185" max="7185" width="8" style="1" customWidth="1"/>
    <col min="7186" max="7193" width="8.77734375" style="1"/>
    <col min="7194" max="7194" width="8.21875" style="1" bestFit="1" customWidth="1"/>
    <col min="7195" max="7425" width="8.77734375" style="1"/>
    <col min="7426" max="7426" width="9.44140625" style="1" bestFit="1" customWidth="1"/>
    <col min="7427" max="7427" width="9.77734375" style="1" customWidth="1"/>
    <col min="7428" max="7428" width="9.44140625" style="1" bestFit="1" customWidth="1"/>
    <col min="7429" max="7429" width="10" style="1" customWidth="1"/>
    <col min="7430" max="7432" width="8.77734375" style="1"/>
    <col min="7433" max="7433" width="11.77734375" style="1" customWidth="1"/>
    <col min="7434" max="7434" width="15.44140625" style="1" customWidth="1"/>
    <col min="7435" max="7435" width="12.77734375" style="1" customWidth="1"/>
    <col min="7436" max="7438" width="8.77734375" style="1"/>
    <col min="7439" max="7439" width="9.44140625" style="1" bestFit="1" customWidth="1"/>
    <col min="7440" max="7440" width="8.77734375" style="1"/>
    <col min="7441" max="7441" width="8" style="1" customWidth="1"/>
    <col min="7442" max="7449" width="8.77734375" style="1"/>
    <col min="7450" max="7450" width="8.21875" style="1" bestFit="1" customWidth="1"/>
    <col min="7451" max="7681" width="8.77734375" style="1"/>
    <col min="7682" max="7682" width="9.44140625" style="1" bestFit="1" customWidth="1"/>
    <col min="7683" max="7683" width="9.77734375" style="1" customWidth="1"/>
    <col min="7684" max="7684" width="9.44140625" style="1" bestFit="1" customWidth="1"/>
    <col min="7685" max="7685" width="10" style="1" customWidth="1"/>
    <col min="7686" max="7688" width="8.77734375" style="1"/>
    <col min="7689" max="7689" width="11.77734375" style="1" customWidth="1"/>
    <col min="7690" max="7690" width="15.44140625" style="1" customWidth="1"/>
    <col min="7691" max="7691" width="12.77734375" style="1" customWidth="1"/>
    <col min="7692" max="7694" width="8.77734375" style="1"/>
    <col min="7695" max="7695" width="9.44140625" style="1" bestFit="1" customWidth="1"/>
    <col min="7696" max="7696" width="8.77734375" style="1"/>
    <col min="7697" max="7697" width="8" style="1" customWidth="1"/>
    <col min="7698" max="7705" width="8.77734375" style="1"/>
    <col min="7706" max="7706" width="8.21875" style="1" bestFit="1" customWidth="1"/>
    <col min="7707" max="7937" width="8.77734375" style="1"/>
    <col min="7938" max="7938" width="9.44140625" style="1" bestFit="1" customWidth="1"/>
    <col min="7939" max="7939" width="9.77734375" style="1" customWidth="1"/>
    <col min="7940" max="7940" width="9.44140625" style="1" bestFit="1" customWidth="1"/>
    <col min="7941" max="7941" width="10" style="1" customWidth="1"/>
    <col min="7942" max="7944" width="8.77734375" style="1"/>
    <col min="7945" max="7945" width="11.77734375" style="1" customWidth="1"/>
    <col min="7946" max="7946" width="15.44140625" style="1" customWidth="1"/>
    <col min="7947" max="7947" width="12.77734375" style="1" customWidth="1"/>
    <col min="7948" max="7950" width="8.77734375" style="1"/>
    <col min="7951" max="7951" width="9.44140625" style="1" bestFit="1" customWidth="1"/>
    <col min="7952" max="7952" width="8.77734375" style="1"/>
    <col min="7953" max="7953" width="8" style="1" customWidth="1"/>
    <col min="7954" max="7961" width="8.77734375" style="1"/>
    <col min="7962" max="7962" width="8.21875" style="1" bestFit="1" customWidth="1"/>
    <col min="7963" max="8193" width="8.77734375" style="1"/>
    <col min="8194" max="8194" width="9.44140625" style="1" bestFit="1" customWidth="1"/>
    <col min="8195" max="8195" width="9.77734375" style="1" customWidth="1"/>
    <col min="8196" max="8196" width="9.44140625" style="1" bestFit="1" customWidth="1"/>
    <col min="8197" max="8197" width="10" style="1" customWidth="1"/>
    <col min="8198" max="8200" width="8.77734375" style="1"/>
    <col min="8201" max="8201" width="11.77734375" style="1" customWidth="1"/>
    <col min="8202" max="8202" width="15.44140625" style="1" customWidth="1"/>
    <col min="8203" max="8203" width="12.77734375" style="1" customWidth="1"/>
    <col min="8204" max="8206" width="8.77734375" style="1"/>
    <col min="8207" max="8207" width="9.44140625" style="1" bestFit="1" customWidth="1"/>
    <col min="8208" max="8208" width="8.77734375" style="1"/>
    <col min="8209" max="8209" width="8" style="1" customWidth="1"/>
    <col min="8210" max="8217" width="8.77734375" style="1"/>
    <col min="8218" max="8218" width="8.21875" style="1" bestFit="1" customWidth="1"/>
    <col min="8219" max="8449" width="8.77734375" style="1"/>
    <col min="8450" max="8450" width="9.44140625" style="1" bestFit="1" customWidth="1"/>
    <col min="8451" max="8451" width="9.77734375" style="1" customWidth="1"/>
    <col min="8452" max="8452" width="9.44140625" style="1" bestFit="1" customWidth="1"/>
    <col min="8453" max="8453" width="10" style="1" customWidth="1"/>
    <col min="8454" max="8456" width="8.77734375" style="1"/>
    <col min="8457" max="8457" width="11.77734375" style="1" customWidth="1"/>
    <col min="8458" max="8458" width="15.44140625" style="1" customWidth="1"/>
    <col min="8459" max="8459" width="12.77734375" style="1" customWidth="1"/>
    <col min="8460" max="8462" width="8.77734375" style="1"/>
    <col min="8463" max="8463" width="9.44140625" style="1" bestFit="1" customWidth="1"/>
    <col min="8464" max="8464" width="8.77734375" style="1"/>
    <col min="8465" max="8465" width="8" style="1" customWidth="1"/>
    <col min="8466" max="8473" width="8.77734375" style="1"/>
    <col min="8474" max="8474" width="8.21875" style="1" bestFit="1" customWidth="1"/>
    <col min="8475" max="8705" width="8.77734375" style="1"/>
    <col min="8706" max="8706" width="9.44140625" style="1" bestFit="1" customWidth="1"/>
    <col min="8707" max="8707" width="9.77734375" style="1" customWidth="1"/>
    <col min="8708" max="8708" width="9.44140625" style="1" bestFit="1" customWidth="1"/>
    <col min="8709" max="8709" width="10" style="1" customWidth="1"/>
    <col min="8710" max="8712" width="8.77734375" style="1"/>
    <col min="8713" max="8713" width="11.77734375" style="1" customWidth="1"/>
    <col min="8714" max="8714" width="15.44140625" style="1" customWidth="1"/>
    <col min="8715" max="8715" width="12.77734375" style="1" customWidth="1"/>
    <col min="8716" max="8718" width="8.77734375" style="1"/>
    <col min="8719" max="8719" width="9.44140625" style="1" bestFit="1" customWidth="1"/>
    <col min="8720" max="8720" width="8.77734375" style="1"/>
    <col min="8721" max="8721" width="8" style="1" customWidth="1"/>
    <col min="8722" max="8729" width="8.77734375" style="1"/>
    <col min="8730" max="8730" width="8.21875" style="1" bestFit="1" customWidth="1"/>
    <col min="8731" max="8961" width="8.77734375" style="1"/>
    <col min="8962" max="8962" width="9.44140625" style="1" bestFit="1" customWidth="1"/>
    <col min="8963" max="8963" width="9.77734375" style="1" customWidth="1"/>
    <col min="8964" max="8964" width="9.44140625" style="1" bestFit="1" customWidth="1"/>
    <col min="8965" max="8965" width="10" style="1" customWidth="1"/>
    <col min="8966" max="8968" width="8.77734375" style="1"/>
    <col min="8969" max="8969" width="11.77734375" style="1" customWidth="1"/>
    <col min="8970" max="8970" width="15.44140625" style="1" customWidth="1"/>
    <col min="8971" max="8971" width="12.77734375" style="1" customWidth="1"/>
    <col min="8972" max="8974" width="8.77734375" style="1"/>
    <col min="8975" max="8975" width="9.44140625" style="1" bestFit="1" customWidth="1"/>
    <col min="8976" max="8976" width="8.77734375" style="1"/>
    <col min="8977" max="8977" width="8" style="1" customWidth="1"/>
    <col min="8978" max="8985" width="8.77734375" style="1"/>
    <col min="8986" max="8986" width="8.21875" style="1" bestFit="1" customWidth="1"/>
    <col min="8987" max="9217" width="8.77734375" style="1"/>
    <col min="9218" max="9218" width="9.44140625" style="1" bestFit="1" customWidth="1"/>
    <col min="9219" max="9219" width="9.77734375" style="1" customWidth="1"/>
    <col min="9220" max="9220" width="9.44140625" style="1" bestFit="1" customWidth="1"/>
    <col min="9221" max="9221" width="10" style="1" customWidth="1"/>
    <col min="9222" max="9224" width="8.77734375" style="1"/>
    <col min="9225" max="9225" width="11.77734375" style="1" customWidth="1"/>
    <col min="9226" max="9226" width="15.44140625" style="1" customWidth="1"/>
    <col min="9227" max="9227" width="12.77734375" style="1" customWidth="1"/>
    <col min="9228" max="9230" width="8.77734375" style="1"/>
    <col min="9231" max="9231" width="9.44140625" style="1" bestFit="1" customWidth="1"/>
    <col min="9232" max="9232" width="8.77734375" style="1"/>
    <col min="9233" max="9233" width="8" style="1" customWidth="1"/>
    <col min="9234" max="9241" width="8.77734375" style="1"/>
    <col min="9242" max="9242" width="8.21875" style="1" bestFit="1" customWidth="1"/>
    <col min="9243" max="9473" width="8.77734375" style="1"/>
    <col min="9474" max="9474" width="9.44140625" style="1" bestFit="1" customWidth="1"/>
    <col min="9475" max="9475" width="9.77734375" style="1" customWidth="1"/>
    <col min="9476" max="9476" width="9.44140625" style="1" bestFit="1" customWidth="1"/>
    <col min="9477" max="9477" width="10" style="1" customWidth="1"/>
    <col min="9478" max="9480" width="8.77734375" style="1"/>
    <col min="9481" max="9481" width="11.77734375" style="1" customWidth="1"/>
    <col min="9482" max="9482" width="15.44140625" style="1" customWidth="1"/>
    <col min="9483" max="9483" width="12.77734375" style="1" customWidth="1"/>
    <col min="9484" max="9486" width="8.77734375" style="1"/>
    <col min="9487" max="9487" width="9.44140625" style="1" bestFit="1" customWidth="1"/>
    <col min="9488" max="9488" width="8.77734375" style="1"/>
    <col min="9489" max="9489" width="8" style="1" customWidth="1"/>
    <col min="9490" max="9497" width="8.77734375" style="1"/>
    <col min="9498" max="9498" width="8.21875" style="1" bestFit="1" customWidth="1"/>
    <col min="9499" max="9729" width="8.77734375" style="1"/>
    <col min="9730" max="9730" width="9.44140625" style="1" bestFit="1" customWidth="1"/>
    <col min="9731" max="9731" width="9.77734375" style="1" customWidth="1"/>
    <col min="9732" max="9732" width="9.44140625" style="1" bestFit="1" customWidth="1"/>
    <col min="9733" max="9733" width="10" style="1" customWidth="1"/>
    <col min="9734" max="9736" width="8.77734375" style="1"/>
    <col min="9737" max="9737" width="11.77734375" style="1" customWidth="1"/>
    <col min="9738" max="9738" width="15.44140625" style="1" customWidth="1"/>
    <col min="9739" max="9739" width="12.77734375" style="1" customWidth="1"/>
    <col min="9740" max="9742" width="8.77734375" style="1"/>
    <col min="9743" max="9743" width="9.44140625" style="1" bestFit="1" customWidth="1"/>
    <col min="9744" max="9744" width="8.77734375" style="1"/>
    <col min="9745" max="9745" width="8" style="1" customWidth="1"/>
    <col min="9746" max="9753" width="8.77734375" style="1"/>
    <col min="9754" max="9754" width="8.21875" style="1" bestFit="1" customWidth="1"/>
    <col min="9755" max="9985" width="8.77734375" style="1"/>
    <col min="9986" max="9986" width="9.44140625" style="1" bestFit="1" customWidth="1"/>
    <col min="9987" max="9987" width="9.77734375" style="1" customWidth="1"/>
    <col min="9988" max="9988" width="9.44140625" style="1" bestFit="1" customWidth="1"/>
    <col min="9989" max="9989" width="10" style="1" customWidth="1"/>
    <col min="9990" max="9992" width="8.77734375" style="1"/>
    <col min="9993" max="9993" width="11.77734375" style="1" customWidth="1"/>
    <col min="9994" max="9994" width="15.44140625" style="1" customWidth="1"/>
    <col min="9995" max="9995" width="12.77734375" style="1" customWidth="1"/>
    <col min="9996" max="9998" width="8.77734375" style="1"/>
    <col min="9999" max="9999" width="9.44140625" style="1" bestFit="1" customWidth="1"/>
    <col min="10000" max="10000" width="8.77734375" style="1"/>
    <col min="10001" max="10001" width="8" style="1" customWidth="1"/>
    <col min="10002" max="10009" width="8.77734375" style="1"/>
    <col min="10010" max="10010" width="8.21875" style="1" bestFit="1" customWidth="1"/>
    <col min="10011" max="10241" width="8.77734375" style="1"/>
    <col min="10242" max="10242" width="9.44140625" style="1" bestFit="1" customWidth="1"/>
    <col min="10243" max="10243" width="9.77734375" style="1" customWidth="1"/>
    <col min="10244" max="10244" width="9.44140625" style="1" bestFit="1" customWidth="1"/>
    <col min="10245" max="10245" width="10" style="1" customWidth="1"/>
    <col min="10246" max="10248" width="8.77734375" style="1"/>
    <col min="10249" max="10249" width="11.77734375" style="1" customWidth="1"/>
    <col min="10250" max="10250" width="15.44140625" style="1" customWidth="1"/>
    <col min="10251" max="10251" width="12.77734375" style="1" customWidth="1"/>
    <col min="10252" max="10254" width="8.77734375" style="1"/>
    <col min="10255" max="10255" width="9.44140625" style="1" bestFit="1" customWidth="1"/>
    <col min="10256" max="10256" width="8.77734375" style="1"/>
    <col min="10257" max="10257" width="8" style="1" customWidth="1"/>
    <col min="10258" max="10265" width="8.77734375" style="1"/>
    <col min="10266" max="10266" width="8.21875" style="1" bestFit="1" customWidth="1"/>
    <col min="10267" max="10497" width="8.77734375" style="1"/>
    <col min="10498" max="10498" width="9.44140625" style="1" bestFit="1" customWidth="1"/>
    <col min="10499" max="10499" width="9.77734375" style="1" customWidth="1"/>
    <col min="10500" max="10500" width="9.44140625" style="1" bestFit="1" customWidth="1"/>
    <col min="10501" max="10501" width="10" style="1" customWidth="1"/>
    <col min="10502" max="10504" width="8.77734375" style="1"/>
    <col min="10505" max="10505" width="11.77734375" style="1" customWidth="1"/>
    <col min="10506" max="10506" width="15.44140625" style="1" customWidth="1"/>
    <col min="10507" max="10507" width="12.77734375" style="1" customWidth="1"/>
    <col min="10508" max="10510" width="8.77734375" style="1"/>
    <col min="10511" max="10511" width="9.44140625" style="1" bestFit="1" customWidth="1"/>
    <col min="10512" max="10512" width="8.77734375" style="1"/>
    <col min="10513" max="10513" width="8" style="1" customWidth="1"/>
    <col min="10514" max="10521" width="8.77734375" style="1"/>
    <col min="10522" max="10522" width="8.21875" style="1" bestFit="1" customWidth="1"/>
    <col min="10523" max="10753" width="8.77734375" style="1"/>
    <col min="10754" max="10754" width="9.44140625" style="1" bestFit="1" customWidth="1"/>
    <col min="10755" max="10755" width="9.77734375" style="1" customWidth="1"/>
    <col min="10756" max="10756" width="9.44140625" style="1" bestFit="1" customWidth="1"/>
    <col min="10757" max="10757" width="10" style="1" customWidth="1"/>
    <col min="10758" max="10760" width="8.77734375" style="1"/>
    <col min="10761" max="10761" width="11.77734375" style="1" customWidth="1"/>
    <col min="10762" max="10762" width="15.44140625" style="1" customWidth="1"/>
    <col min="10763" max="10763" width="12.77734375" style="1" customWidth="1"/>
    <col min="10764" max="10766" width="8.77734375" style="1"/>
    <col min="10767" max="10767" width="9.44140625" style="1" bestFit="1" customWidth="1"/>
    <col min="10768" max="10768" width="8.77734375" style="1"/>
    <col min="10769" max="10769" width="8" style="1" customWidth="1"/>
    <col min="10770" max="10777" width="8.77734375" style="1"/>
    <col min="10778" max="10778" width="8.21875" style="1" bestFit="1" customWidth="1"/>
    <col min="10779" max="11009" width="8.77734375" style="1"/>
    <col min="11010" max="11010" width="9.44140625" style="1" bestFit="1" customWidth="1"/>
    <col min="11011" max="11011" width="9.77734375" style="1" customWidth="1"/>
    <col min="11012" max="11012" width="9.44140625" style="1" bestFit="1" customWidth="1"/>
    <col min="11013" max="11013" width="10" style="1" customWidth="1"/>
    <col min="11014" max="11016" width="8.77734375" style="1"/>
    <col min="11017" max="11017" width="11.77734375" style="1" customWidth="1"/>
    <col min="11018" max="11018" width="15.44140625" style="1" customWidth="1"/>
    <col min="11019" max="11019" width="12.77734375" style="1" customWidth="1"/>
    <col min="11020" max="11022" width="8.77734375" style="1"/>
    <col min="11023" max="11023" width="9.44140625" style="1" bestFit="1" customWidth="1"/>
    <col min="11024" max="11024" width="8.77734375" style="1"/>
    <col min="11025" max="11025" width="8" style="1" customWidth="1"/>
    <col min="11026" max="11033" width="8.77734375" style="1"/>
    <col min="11034" max="11034" width="8.21875" style="1" bestFit="1" customWidth="1"/>
    <col min="11035" max="11265" width="8.77734375" style="1"/>
    <col min="11266" max="11266" width="9.44140625" style="1" bestFit="1" customWidth="1"/>
    <col min="11267" max="11267" width="9.77734375" style="1" customWidth="1"/>
    <col min="11268" max="11268" width="9.44140625" style="1" bestFit="1" customWidth="1"/>
    <col min="11269" max="11269" width="10" style="1" customWidth="1"/>
    <col min="11270" max="11272" width="8.77734375" style="1"/>
    <col min="11273" max="11273" width="11.77734375" style="1" customWidth="1"/>
    <col min="11274" max="11274" width="15.44140625" style="1" customWidth="1"/>
    <col min="11275" max="11275" width="12.77734375" style="1" customWidth="1"/>
    <col min="11276" max="11278" width="8.77734375" style="1"/>
    <col min="11279" max="11279" width="9.44140625" style="1" bestFit="1" customWidth="1"/>
    <col min="11280" max="11280" width="8.77734375" style="1"/>
    <col min="11281" max="11281" width="8" style="1" customWidth="1"/>
    <col min="11282" max="11289" width="8.77734375" style="1"/>
    <col min="11290" max="11290" width="8.21875" style="1" bestFit="1" customWidth="1"/>
    <col min="11291" max="11521" width="8.77734375" style="1"/>
    <col min="11522" max="11522" width="9.44140625" style="1" bestFit="1" customWidth="1"/>
    <col min="11523" max="11523" width="9.77734375" style="1" customWidth="1"/>
    <col min="11524" max="11524" width="9.44140625" style="1" bestFit="1" customWidth="1"/>
    <col min="11525" max="11525" width="10" style="1" customWidth="1"/>
    <col min="11526" max="11528" width="8.77734375" style="1"/>
    <col min="11529" max="11529" width="11.77734375" style="1" customWidth="1"/>
    <col min="11530" max="11530" width="15.44140625" style="1" customWidth="1"/>
    <col min="11531" max="11531" width="12.77734375" style="1" customWidth="1"/>
    <col min="11532" max="11534" width="8.77734375" style="1"/>
    <col min="11535" max="11535" width="9.44140625" style="1" bestFit="1" customWidth="1"/>
    <col min="11536" max="11536" width="8.77734375" style="1"/>
    <col min="11537" max="11537" width="8" style="1" customWidth="1"/>
    <col min="11538" max="11545" width="8.77734375" style="1"/>
    <col min="11546" max="11546" width="8.21875" style="1" bestFit="1" customWidth="1"/>
    <col min="11547" max="11777" width="8.77734375" style="1"/>
    <col min="11778" max="11778" width="9.44140625" style="1" bestFit="1" customWidth="1"/>
    <col min="11779" max="11779" width="9.77734375" style="1" customWidth="1"/>
    <col min="11780" max="11780" width="9.44140625" style="1" bestFit="1" customWidth="1"/>
    <col min="11781" max="11781" width="10" style="1" customWidth="1"/>
    <col min="11782" max="11784" width="8.77734375" style="1"/>
    <col min="11785" max="11785" width="11.77734375" style="1" customWidth="1"/>
    <col min="11786" max="11786" width="15.44140625" style="1" customWidth="1"/>
    <col min="11787" max="11787" width="12.77734375" style="1" customWidth="1"/>
    <col min="11788" max="11790" width="8.77734375" style="1"/>
    <col min="11791" max="11791" width="9.44140625" style="1" bestFit="1" customWidth="1"/>
    <col min="11792" max="11792" width="8.77734375" style="1"/>
    <col min="11793" max="11793" width="8" style="1" customWidth="1"/>
    <col min="11794" max="11801" width="8.77734375" style="1"/>
    <col min="11802" max="11802" width="8.21875" style="1" bestFit="1" customWidth="1"/>
    <col min="11803" max="12033" width="8.77734375" style="1"/>
    <col min="12034" max="12034" width="9.44140625" style="1" bestFit="1" customWidth="1"/>
    <col min="12035" max="12035" width="9.77734375" style="1" customWidth="1"/>
    <col min="12036" max="12036" width="9.44140625" style="1" bestFit="1" customWidth="1"/>
    <col min="12037" max="12037" width="10" style="1" customWidth="1"/>
    <col min="12038" max="12040" width="8.77734375" style="1"/>
    <col min="12041" max="12041" width="11.77734375" style="1" customWidth="1"/>
    <col min="12042" max="12042" width="15.44140625" style="1" customWidth="1"/>
    <col min="12043" max="12043" width="12.77734375" style="1" customWidth="1"/>
    <col min="12044" max="12046" width="8.77734375" style="1"/>
    <col min="12047" max="12047" width="9.44140625" style="1" bestFit="1" customWidth="1"/>
    <col min="12048" max="12048" width="8.77734375" style="1"/>
    <col min="12049" max="12049" width="8" style="1" customWidth="1"/>
    <col min="12050" max="12057" width="8.77734375" style="1"/>
    <col min="12058" max="12058" width="8.21875" style="1" bestFit="1" customWidth="1"/>
    <col min="12059" max="12289" width="8.77734375" style="1"/>
    <col min="12290" max="12290" width="9.44140625" style="1" bestFit="1" customWidth="1"/>
    <col min="12291" max="12291" width="9.77734375" style="1" customWidth="1"/>
    <col min="12292" max="12292" width="9.44140625" style="1" bestFit="1" customWidth="1"/>
    <col min="12293" max="12293" width="10" style="1" customWidth="1"/>
    <col min="12294" max="12296" width="8.77734375" style="1"/>
    <col min="12297" max="12297" width="11.77734375" style="1" customWidth="1"/>
    <col min="12298" max="12298" width="15.44140625" style="1" customWidth="1"/>
    <col min="12299" max="12299" width="12.77734375" style="1" customWidth="1"/>
    <col min="12300" max="12302" width="8.77734375" style="1"/>
    <col min="12303" max="12303" width="9.44140625" style="1" bestFit="1" customWidth="1"/>
    <col min="12304" max="12304" width="8.77734375" style="1"/>
    <col min="12305" max="12305" width="8" style="1" customWidth="1"/>
    <col min="12306" max="12313" width="8.77734375" style="1"/>
    <col min="12314" max="12314" width="8.21875" style="1" bestFit="1" customWidth="1"/>
    <col min="12315" max="12545" width="8.77734375" style="1"/>
    <col min="12546" max="12546" width="9.44140625" style="1" bestFit="1" customWidth="1"/>
    <col min="12547" max="12547" width="9.77734375" style="1" customWidth="1"/>
    <col min="12548" max="12548" width="9.44140625" style="1" bestFit="1" customWidth="1"/>
    <col min="12549" max="12549" width="10" style="1" customWidth="1"/>
    <col min="12550" max="12552" width="8.77734375" style="1"/>
    <col min="12553" max="12553" width="11.77734375" style="1" customWidth="1"/>
    <col min="12554" max="12554" width="15.44140625" style="1" customWidth="1"/>
    <col min="12555" max="12555" width="12.77734375" style="1" customWidth="1"/>
    <col min="12556" max="12558" width="8.77734375" style="1"/>
    <col min="12559" max="12559" width="9.44140625" style="1" bestFit="1" customWidth="1"/>
    <col min="12560" max="12560" width="8.77734375" style="1"/>
    <col min="12561" max="12561" width="8" style="1" customWidth="1"/>
    <col min="12562" max="12569" width="8.77734375" style="1"/>
    <col min="12570" max="12570" width="8.21875" style="1" bestFit="1" customWidth="1"/>
    <col min="12571" max="12801" width="8.77734375" style="1"/>
    <col min="12802" max="12802" width="9.44140625" style="1" bestFit="1" customWidth="1"/>
    <col min="12803" max="12803" width="9.77734375" style="1" customWidth="1"/>
    <col min="12804" max="12804" width="9.44140625" style="1" bestFit="1" customWidth="1"/>
    <col min="12805" max="12805" width="10" style="1" customWidth="1"/>
    <col min="12806" max="12808" width="8.77734375" style="1"/>
    <col min="12809" max="12809" width="11.77734375" style="1" customWidth="1"/>
    <col min="12810" max="12810" width="15.44140625" style="1" customWidth="1"/>
    <col min="12811" max="12811" width="12.77734375" style="1" customWidth="1"/>
    <col min="12812" max="12814" width="8.77734375" style="1"/>
    <col min="12815" max="12815" width="9.44140625" style="1" bestFit="1" customWidth="1"/>
    <col min="12816" max="12816" width="8.77734375" style="1"/>
    <col min="12817" max="12817" width="8" style="1" customWidth="1"/>
    <col min="12818" max="12825" width="8.77734375" style="1"/>
    <col min="12826" max="12826" width="8.21875" style="1" bestFit="1" customWidth="1"/>
    <col min="12827" max="13057" width="8.77734375" style="1"/>
    <col min="13058" max="13058" width="9.44140625" style="1" bestFit="1" customWidth="1"/>
    <col min="13059" max="13059" width="9.77734375" style="1" customWidth="1"/>
    <col min="13060" max="13060" width="9.44140625" style="1" bestFit="1" customWidth="1"/>
    <col min="13061" max="13061" width="10" style="1" customWidth="1"/>
    <col min="13062" max="13064" width="8.77734375" style="1"/>
    <col min="13065" max="13065" width="11.77734375" style="1" customWidth="1"/>
    <col min="13066" max="13066" width="15.44140625" style="1" customWidth="1"/>
    <col min="13067" max="13067" width="12.77734375" style="1" customWidth="1"/>
    <col min="13068" max="13070" width="8.77734375" style="1"/>
    <col min="13071" max="13071" width="9.44140625" style="1" bestFit="1" customWidth="1"/>
    <col min="13072" max="13072" width="8.77734375" style="1"/>
    <col min="13073" max="13073" width="8" style="1" customWidth="1"/>
    <col min="13074" max="13081" width="8.77734375" style="1"/>
    <col min="13082" max="13082" width="8.21875" style="1" bestFit="1" customWidth="1"/>
    <col min="13083" max="13313" width="8.77734375" style="1"/>
    <col min="13314" max="13314" width="9.44140625" style="1" bestFit="1" customWidth="1"/>
    <col min="13315" max="13315" width="9.77734375" style="1" customWidth="1"/>
    <col min="13316" max="13316" width="9.44140625" style="1" bestFit="1" customWidth="1"/>
    <col min="13317" max="13317" width="10" style="1" customWidth="1"/>
    <col min="13318" max="13320" width="8.77734375" style="1"/>
    <col min="13321" max="13321" width="11.77734375" style="1" customWidth="1"/>
    <col min="13322" max="13322" width="15.44140625" style="1" customWidth="1"/>
    <col min="13323" max="13323" width="12.77734375" style="1" customWidth="1"/>
    <col min="13324" max="13326" width="8.77734375" style="1"/>
    <col min="13327" max="13327" width="9.44140625" style="1" bestFit="1" customWidth="1"/>
    <col min="13328" max="13328" width="8.77734375" style="1"/>
    <col min="13329" max="13329" width="8" style="1" customWidth="1"/>
    <col min="13330" max="13337" width="8.77734375" style="1"/>
    <col min="13338" max="13338" width="8.21875" style="1" bestFit="1" customWidth="1"/>
    <col min="13339" max="13569" width="8.77734375" style="1"/>
    <col min="13570" max="13570" width="9.44140625" style="1" bestFit="1" customWidth="1"/>
    <col min="13571" max="13571" width="9.77734375" style="1" customWidth="1"/>
    <col min="13572" max="13572" width="9.44140625" style="1" bestFit="1" customWidth="1"/>
    <col min="13573" max="13573" width="10" style="1" customWidth="1"/>
    <col min="13574" max="13576" width="8.77734375" style="1"/>
    <col min="13577" max="13577" width="11.77734375" style="1" customWidth="1"/>
    <col min="13578" max="13578" width="15.44140625" style="1" customWidth="1"/>
    <col min="13579" max="13579" width="12.77734375" style="1" customWidth="1"/>
    <col min="13580" max="13582" width="8.77734375" style="1"/>
    <col min="13583" max="13583" width="9.44140625" style="1" bestFit="1" customWidth="1"/>
    <col min="13584" max="13584" width="8.77734375" style="1"/>
    <col min="13585" max="13585" width="8" style="1" customWidth="1"/>
    <col min="13586" max="13593" width="8.77734375" style="1"/>
    <col min="13594" max="13594" width="8.21875" style="1" bestFit="1" customWidth="1"/>
    <col min="13595" max="13825" width="8.77734375" style="1"/>
    <col min="13826" max="13826" width="9.44140625" style="1" bestFit="1" customWidth="1"/>
    <col min="13827" max="13827" width="9.77734375" style="1" customWidth="1"/>
    <col min="13828" max="13828" width="9.44140625" style="1" bestFit="1" customWidth="1"/>
    <col min="13829" max="13829" width="10" style="1" customWidth="1"/>
    <col min="13830" max="13832" width="8.77734375" style="1"/>
    <col min="13833" max="13833" width="11.77734375" style="1" customWidth="1"/>
    <col min="13834" max="13834" width="15.44140625" style="1" customWidth="1"/>
    <col min="13835" max="13835" width="12.77734375" style="1" customWidth="1"/>
    <col min="13836" max="13838" width="8.77734375" style="1"/>
    <col min="13839" max="13839" width="9.44140625" style="1" bestFit="1" customWidth="1"/>
    <col min="13840" max="13840" width="8.77734375" style="1"/>
    <col min="13841" max="13841" width="8" style="1" customWidth="1"/>
    <col min="13842" max="13849" width="8.77734375" style="1"/>
    <col min="13850" max="13850" width="8.21875" style="1" bestFit="1" customWidth="1"/>
    <col min="13851" max="14081" width="8.77734375" style="1"/>
    <col min="14082" max="14082" width="9.44140625" style="1" bestFit="1" customWidth="1"/>
    <col min="14083" max="14083" width="9.77734375" style="1" customWidth="1"/>
    <col min="14084" max="14084" width="9.44140625" style="1" bestFit="1" customWidth="1"/>
    <col min="14085" max="14085" width="10" style="1" customWidth="1"/>
    <col min="14086" max="14088" width="8.77734375" style="1"/>
    <col min="14089" max="14089" width="11.77734375" style="1" customWidth="1"/>
    <col min="14090" max="14090" width="15.44140625" style="1" customWidth="1"/>
    <col min="14091" max="14091" width="12.77734375" style="1" customWidth="1"/>
    <col min="14092" max="14094" width="8.77734375" style="1"/>
    <col min="14095" max="14095" width="9.44140625" style="1" bestFit="1" customWidth="1"/>
    <col min="14096" max="14096" width="8.77734375" style="1"/>
    <col min="14097" max="14097" width="8" style="1" customWidth="1"/>
    <col min="14098" max="14105" width="8.77734375" style="1"/>
    <col min="14106" max="14106" width="8.21875" style="1" bestFit="1" customWidth="1"/>
    <col min="14107" max="14337" width="8.77734375" style="1"/>
    <col min="14338" max="14338" width="9.44140625" style="1" bestFit="1" customWidth="1"/>
    <col min="14339" max="14339" width="9.77734375" style="1" customWidth="1"/>
    <col min="14340" max="14340" width="9.44140625" style="1" bestFit="1" customWidth="1"/>
    <col min="14341" max="14341" width="10" style="1" customWidth="1"/>
    <col min="14342" max="14344" width="8.77734375" style="1"/>
    <col min="14345" max="14345" width="11.77734375" style="1" customWidth="1"/>
    <col min="14346" max="14346" width="15.44140625" style="1" customWidth="1"/>
    <col min="14347" max="14347" width="12.77734375" style="1" customWidth="1"/>
    <col min="14348" max="14350" width="8.77734375" style="1"/>
    <col min="14351" max="14351" width="9.44140625" style="1" bestFit="1" customWidth="1"/>
    <col min="14352" max="14352" width="8.77734375" style="1"/>
    <col min="14353" max="14353" width="8" style="1" customWidth="1"/>
    <col min="14354" max="14361" width="8.77734375" style="1"/>
    <col min="14362" max="14362" width="8.21875" style="1" bestFit="1" customWidth="1"/>
    <col min="14363" max="14593" width="8.77734375" style="1"/>
    <col min="14594" max="14594" width="9.44140625" style="1" bestFit="1" customWidth="1"/>
    <col min="14595" max="14595" width="9.77734375" style="1" customWidth="1"/>
    <col min="14596" max="14596" width="9.44140625" style="1" bestFit="1" customWidth="1"/>
    <col min="14597" max="14597" width="10" style="1" customWidth="1"/>
    <col min="14598" max="14600" width="8.77734375" style="1"/>
    <col min="14601" max="14601" width="11.77734375" style="1" customWidth="1"/>
    <col min="14602" max="14602" width="15.44140625" style="1" customWidth="1"/>
    <col min="14603" max="14603" width="12.77734375" style="1" customWidth="1"/>
    <col min="14604" max="14606" width="8.77734375" style="1"/>
    <col min="14607" max="14607" width="9.44140625" style="1" bestFit="1" customWidth="1"/>
    <col min="14608" max="14608" width="8.77734375" style="1"/>
    <col min="14609" max="14609" width="8" style="1" customWidth="1"/>
    <col min="14610" max="14617" width="8.77734375" style="1"/>
    <col min="14618" max="14618" width="8.21875" style="1" bestFit="1" customWidth="1"/>
    <col min="14619" max="14849" width="8.77734375" style="1"/>
    <col min="14850" max="14850" width="9.44140625" style="1" bestFit="1" customWidth="1"/>
    <col min="14851" max="14851" width="9.77734375" style="1" customWidth="1"/>
    <col min="14852" max="14852" width="9.44140625" style="1" bestFit="1" customWidth="1"/>
    <col min="14853" max="14853" width="10" style="1" customWidth="1"/>
    <col min="14854" max="14856" width="8.77734375" style="1"/>
    <col min="14857" max="14857" width="11.77734375" style="1" customWidth="1"/>
    <col min="14858" max="14858" width="15.44140625" style="1" customWidth="1"/>
    <col min="14859" max="14859" width="12.77734375" style="1" customWidth="1"/>
    <col min="14860" max="14862" width="8.77734375" style="1"/>
    <col min="14863" max="14863" width="9.44140625" style="1" bestFit="1" customWidth="1"/>
    <col min="14864" max="14864" width="8.77734375" style="1"/>
    <col min="14865" max="14865" width="8" style="1" customWidth="1"/>
    <col min="14866" max="14873" width="8.77734375" style="1"/>
    <col min="14874" max="14874" width="8.21875" style="1" bestFit="1" customWidth="1"/>
    <col min="14875" max="15105" width="8.77734375" style="1"/>
    <col min="15106" max="15106" width="9.44140625" style="1" bestFit="1" customWidth="1"/>
    <col min="15107" max="15107" width="9.77734375" style="1" customWidth="1"/>
    <col min="15108" max="15108" width="9.44140625" style="1" bestFit="1" customWidth="1"/>
    <col min="15109" max="15109" width="10" style="1" customWidth="1"/>
    <col min="15110" max="15112" width="8.77734375" style="1"/>
    <col min="15113" max="15113" width="11.77734375" style="1" customWidth="1"/>
    <col min="15114" max="15114" width="15.44140625" style="1" customWidth="1"/>
    <col min="15115" max="15115" width="12.77734375" style="1" customWidth="1"/>
    <col min="15116" max="15118" width="8.77734375" style="1"/>
    <col min="15119" max="15119" width="9.44140625" style="1" bestFit="1" customWidth="1"/>
    <col min="15120" max="15120" width="8.77734375" style="1"/>
    <col min="15121" max="15121" width="8" style="1" customWidth="1"/>
    <col min="15122" max="15129" width="8.77734375" style="1"/>
    <col min="15130" max="15130" width="8.21875" style="1" bestFit="1" customWidth="1"/>
    <col min="15131" max="15361" width="8.77734375" style="1"/>
    <col min="15362" max="15362" width="9.44140625" style="1" bestFit="1" customWidth="1"/>
    <col min="15363" max="15363" width="9.77734375" style="1" customWidth="1"/>
    <col min="15364" max="15364" width="9.44140625" style="1" bestFit="1" customWidth="1"/>
    <col min="15365" max="15365" width="10" style="1" customWidth="1"/>
    <col min="15366" max="15368" width="8.77734375" style="1"/>
    <col min="15369" max="15369" width="11.77734375" style="1" customWidth="1"/>
    <col min="15370" max="15370" width="15.44140625" style="1" customWidth="1"/>
    <col min="15371" max="15371" width="12.77734375" style="1" customWidth="1"/>
    <col min="15372" max="15374" width="8.77734375" style="1"/>
    <col min="15375" max="15375" width="9.44140625" style="1" bestFit="1" customWidth="1"/>
    <col min="15376" max="15376" width="8.77734375" style="1"/>
    <col min="15377" max="15377" width="8" style="1" customWidth="1"/>
    <col min="15378" max="15385" width="8.77734375" style="1"/>
    <col min="15386" max="15386" width="8.21875" style="1" bestFit="1" customWidth="1"/>
    <col min="15387" max="15617" width="8.77734375" style="1"/>
    <col min="15618" max="15618" width="9.44140625" style="1" bestFit="1" customWidth="1"/>
    <col min="15619" max="15619" width="9.77734375" style="1" customWidth="1"/>
    <col min="15620" max="15620" width="9.44140625" style="1" bestFit="1" customWidth="1"/>
    <col min="15621" max="15621" width="10" style="1" customWidth="1"/>
    <col min="15622" max="15624" width="8.77734375" style="1"/>
    <col min="15625" max="15625" width="11.77734375" style="1" customWidth="1"/>
    <col min="15626" max="15626" width="15.44140625" style="1" customWidth="1"/>
    <col min="15627" max="15627" width="12.77734375" style="1" customWidth="1"/>
    <col min="15628" max="15630" width="8.77734375" style="1"/>
    <col min="15631" max="15631" width="9.44140625" style="1" bestFit="1" customWidth="1"/>
    <col min="15632" max="15632" width="8.77734375" style="1"/>
    <col min="15633" max="15633" width="8" style="1" customWidth="1"/>
    <col min="15634" max="15641" width="8.77734375" style="1"/>
    <col min="15642" max="15642" width="8.21875" style="1" bestFit="1" customWidth="1"/>
    <col min="15643" max="15873" width="8.77734375" style="1"/>
    <col min="15874" max="15874" width="9.44140625" style="1" bestFit="1" customWidth="1"/>
    <col min="15875" max="15875" width="9.77734375" style="1" customWidth="1"/>
    <col min="15876" max="15876" width="9.44140625" style="1" bestFit="1" customWidth="1"/>
    <col min="15877" max="15877" width="10" style="1" customWidth="1"/>
    <col min="15878" max="15880" width="8.77734375" style="1"/>
    <col min="15881" max="15881" width="11.77734375" style="1" customWidth="1"/>
    <col min="15882" max="15882" width="15.44140625" style="1" customWidth="1"/>
    <col min="15883" max="15883" width="12.77734375" style="1" customWidth="1"/>
    <col min="15884" max="15886" width="8.77734375" style="1"/>
    <col min="15887" max="15887" width="9.44140625" style="1" bestFit="1" customWidth="1"/>
    <col min="15888" max="15888" width="8.77734375" style="1"/>
    <col min="15889" max="15889" width="8" style="1" customWidth="1"/>
    <col min="15890" max="15897" width="8.77734375" style="1"/>
    <col min="15898" max="15898" width="8.21875" style="1" bestFit="1" customWidth="1"/>
    <col min="15899" max="16129" width="8.77734375" style="1"/>
    <col min="16130" max="16130" width="9.44140625" style="1" bestFit="1" customWidth="1"/>
    <col min="16131" max="16131" width="9.77734375" style="1" customWidth="1"/>
    <col min="16132" max="16132" width="9.44140625" style="1" bestFit="1" customWidth="1"/>
    <col min="16133" max="16133" width="10" style="1" customWidth="1"/>
    <col min="16134" max="16136" width="8.77734375" style="1"/>
    <col min="16137" max="16137" width="11.77734375" style="1" customWidth="1"/>
    <col min="16138" max="16138" width="15.44140625" style="1" customWidth="1"/>
    <col min="16139" max="16139" width="12.77734375" style="1" customWidth="1"/>
    <col min="16140" max="16142" width="8.77734375" style="1"/>
    <col min="16143" max="16143" width="9.44140625" style="1" bestFit="1" customWidth="1"/>
    <col min="16144" max="16144" width="8.77734375" style="1"/>
    <col min="16145" max="16145" width="8" style="1" customWidth="1"/>
    <col min="16146" max="16153" width="8.77734375" style="1"/>
    <col min="16154" max="16154" width="8.21875" style="1" bestFit="1" customWidth="1"/>
    <col min="16155" max="16384" width="8.77734375" style="1"/>
  </cols>
  <sheetData>
    <row r="2" spans="1:33" ht="15.6" x14ac:dyDescent="0.3">
      <c r="C2" s="2" t="s">
        <v>0</v>
      </c>
    </row>
    <row r="3" spans="1:33" ht="15.6" x14ac:dyDescent="0.3">
      <c r="C3" s="2"/>
    </row>
    <row r="4" spans="1:33" ht="15.6" x14ac:dyDescent="0.3">
      <c r="A4" s="3" t="s">
        <v>399</v>
      </c>
      <c r="B4" s="3"/>
      <c r="C4" s="2"/>
    </row>
    <row r="5" spans="1:33" x14ac:dyDescent="0.25">
      <c r="A5" s="4"/>
    </row>
    <row r="6" spans="1:33" x14ac:dyDescent="0.25">
      <c r="A6" s="3" t="s">
        <v>1</v>
      </c>
    </row>
    <row r="7" spans="1:33" x14ac:dyDescent="0.25">
      <c r="A7" s="4"/>
    </row>
    <row r="8" spans="1:33" x14ac:dyDescent="0.25">
      <c r="A8" s="4"/>
      <c r="B8" s="3" t="s">
        <v>2</v>
      </c>
      <c r="C8" s="3"/>
    </row>
    <row r="9" spans="1:33" x14ac:dyDescent="0.25">
      <c r="B9" s="3" t="s">
        <v>3</v>
      </c>
      <c r="C9" s="5" t="s">
        <v>4</v>
      </c>
    </row>
    <row r="10" spans="1:33" ht="52.8" x14ac:dyDescent="0.25">
      <c r="B10" s="3"/>
      <c r="C10" s="5"/>
      <c r="P10" s="6" t="s">
        <v>5</v>
      </c>
      <c r="Q10" s="7" t="s">
        <v>6</v>
      </c>
      <c r="R10" s="7" t="s">
        <v>7</v>
      </c>
      <c r="S10" s="7" t="s">
        <v>8</v>
      </c>
      <c r="T10" s="7" t="s">
        <v>9</v>
      </c>
      <c r="U10" s="7" t="s">
        <v>10</v>
      </c>
      <c r="V10" s="7" t="s">
        <v>11</v>
      </c>
      <c r="W10" s="7" t="s">
        <v>12</v>
      </c>
      <c r="X10" s="7" t="s">
        <v>13</v>
      </c>
      <c r="Y10" s="6" t="s">
        <v>14</v>
      </c>
      <c r="Z10" s="6" t="s">
        <v>15</v>
      </c>
      <c r="AA10" s="6" t="s">
        <v>16</v>
      </c>
      <c r="AB10" s="7" t="s">
        <v>17</v>
      </c>
      <c r="AC10" s="7" t="s">
        <v>18</v>
      </c>
      <c r="AD10" s="7" t="s">
        <v>19</v>
      </c>
      <c r="AE10" s="7" t="s">
        <v>20</v>
      </c>
      <c r="AF10" s="7" t="s">
        <v>21</v>
      </c>
      <c r="AG10" s="7" t="s">
        <v>22</v>
      </c>
    </row>
    <row r="11" spans="1:33" x14ac:dyDescent="0.25">
      <c r="A11" s="1" t="s">
        <v>23</v>
      </c>
      <c r="B11" s="3"/>
      <c r="C11" s="3"/>
      <c r="P11" s="8">
        <f t="shared" ref="P11:P31" si="0">100*U11/Q11</f>
        <v>0.70666666666666667</v>
      </c>
      <c r="Q11" s="9">
        <v>150</v>
      </c>
      <c r="R11" s="9">
        <v>100</v>
      </c>
      <c r="S11" s="9">
        <v>110</v>
      </c>
      <c r="T11" s="13">
        <f t="shared" ref="T11:T31" si="1">U11*0.75</f>
        <v>0.79500000000000004</v>
      </c>
      <c r="U11" s="10">
        <v>1.06</v>
      </c>
      <c r="V11" s="9">
        <v>220</v>
      </c>
      <c r="W11" s="9">
        <f t="shared" ref="W11:W31" si="2">ROUND(Q11/25.4,0)+2</f>
        <v>8</v>
      </c>
      <c r="X11" s="9">
        <v>260</v>
      </c>
      <c r="Y11" s="9">
        <v>16</v>
      </c>
      <c r="Z11" s="9">
        <v>19</v>
      </c>
      <c r="AA11" s="9">
        <v>22</v>
      </c>
      <c r="AB11" s="9">
        <v>50</v>
      </c>
      <c r="AC11" s="9">
        <f>(S11)/2</f>
        <v>55</v>
      </c>
      <c r="AD11" s="9">
        <f t="shared" ref="AD11:AD31" si="3">ROUNDUP(IF(P11=$D$26,W11*25.4+AB11*2,0),0)</f>
        <v>0</v>
      </c>
      <c r="AE11" s="9">
        <f>IF(AD11=0,0,R11*2+$B$72*1000+50+AC11*2)</f>
        <v>0</v>
      </c>
      <c r="AF11" s="11">
        <f t="shared" ref="AF11:AF31" si="4">P11/AG11</f>
        <v>0.82362082362082367</v>
      </c>
      <c r="AG11" s="12">
        <f t="shared" ref="AG11:AG31" si="5">R11*S11*0.78/10000</f>
        <v>0.85799999999999998</v>
      </c>
    </row>
    <row r="12" spans="1:33" x14ac:dyDescent="0.25">
      <c r="A12" s="4" t="s">
        <v>24</v>
      </c>
      <c r="B12" s="1" t="s">
        <v>25</v>
      </c>
      <c r="P12" s="8">
        <f t="shared" si="0"/>
        <v>1.0866666666666667</v>
      </c>
      <c r="Q12" s="9">
        <v>200</v>
      </c>
      <c r="R12" s="9">
        <v>125</v>
      </c>
      <c r="S12" s="9">
        <v>135</v>
      </c>
      <c r="T12" s="13">
        <f t="shared" si="1"/>
        <v>1.63</v>
      </c>
      <c r="U12" s="10">
        <v>2.1733333333333333</v>
      </c>
      <c r="V12" s="9">
        <v>275</v>
      </c>
      <c r="W12" s="9">
        <f t="shared" si="2"/>
        <v>10</v>
      </c>
      <c r="X12" s="9">
        <v>320</v>
      </c>
      <c r="Y12" s="9">
        <v>27</v>
      </c>
      <c r="Z12" s="9">
        <v>32</v>
      </c>
      <c r="AA12" s="9">
        <v>35</v>
      </c>
      <c r="AB12" s="9">
        <v>50</v>
      </c>
      <c r="AC12" s="9">
        <f>(S12+5)/2</f>
        <v>70</v>
      </c>
      <c r="AD12" s="9">
        <f t="shared" si="3"/>
        <v>0</v>
      </c>
      <c r="AE12" s="9">
        <f t="shared" ref="AE12:AE31" si="6">IF(AD12=0,0,R12*2+$B$72*1000+50+AC12*2)</f>
        <v>0</v>
      </c>
      <c r="AF12" s="11">
        <f t="shared" si="4"/>
        <v>0.82557771446660344</v>
      </c>
      <c r="AG12" s="12">
        <f t="shared" si="5"/>
        <v>1.3162499999999999</v>
      </c>
    </row>
    <row r="13" spans="1:33" x14ac:dyDescent="0.25">
      <c r="A13" s="4" t="s">
        <v>26</v>
      </c>
      <c r="B13" s="1" t="s">
        <v>27</v>
      </c>
      <c r="P13" s="8">
        <f t="shared" si="0"/>
        <v>1.5051851851851852</v>
      </c>
      <c r="Q13" s="9">
        <v>225</v>
      </c>
      <c r="R13" s="9">
        <v>150</v>
      </c>
      <c r="S13" s="9">
        <v>155</v>
      </c>
      <c r="T13" s="13">
        <f t="shared" si="1"/>
        <v>2.54</v>
      </c>
      <c r="U13" s="10">
        <v>3.3866666666666667</v>
      </c>
      <c r="V13" s="9">
        <v>300</v>
      </c>
      <c r="W13" s="9">
        <f t="shared" si="2"/>
        <v>11</v>
      </c>
      <c r="X13" s="9">
        <v>350</v>
      </c>
      <c r="Y13" s="9">
        <v>38</v>
      </c>
      <c r="Z13" s="9">
        <v>45</v>
      </c>
      <c r="AA13" s="9">
        <v>50</v>
      </c>
      <c r="AB13" s="9">
        <v>50</v>
      </c>
      <c r="AC13" s="9">
        <f>(S13+5)/2</f>
        <v>80</v>
      </c>
      <c r="AD13" s="9">
        <f t="shared" si="3"/>
        <v>0</v>
      </c>
      <c r="AE13" s="9">
        <f t="shared" si="6"/>
        <v>0</v>
      </c>
      <c r="AF13" s="11">
        <f t="shared" si="4"/>
        <v>0.8299890737166723</v>
      </c>
      <c r="AG13" s="12">
        <f t="shared" si="5"/>
        <v>1.8134999999999999</v>
      </c>
    </row>
    <row r="14" spans="1:33" x14ac:dyDescent="0.25">
      <c r="A14" s="4" t="s">
        <v>28</v>
      </c>
      <c r="B14" s="1" t="s">
        <v>29</v>
      </c>
      <c r="P14" s="8">
        <f t="shared" si="0"/>
        <v>1.5093333333333334</v>
      </c>
      <c r="Q14" s="9">
        <v>250</v>
      </c>
      <c r="R14" s="9">
        <v>150</v>
      </c>
      <c r="S14" s="9">
        <v>155</v>
      </c>
      <c r="T14" s="13">
        <f t="shared" si="1"/>
        <v>2.83</v>
      </c>
      <c r="U14" s="10">
        <v>3.7733333333333334</v>
      </c>
      <c r="V14" s="9">
        <v>300</v>
      </c>
      <c r="W14" s="9">
        <f t="shared" si="2"/>
        <v>12</v>
      </c>
      <c r="X14" s="9">
        <v>380</v>
      </c>
      <c r="Y14" s="9">
        <v>40</v>
      </c>
      <c r="Z14" s="9">
        <v>50</v>
      </c>
      <c r="AA14" s="9">
        <v>55</v>
      </c>
      <c r="AB14" s="9">
        <v>50</v>
      </c>
      <c r="AC14" s="9">
        <f>(S14+5)/2</f>
        <v>80</v>
      </c>
      <c r="AD14" s="9">
        <f t="shared" si="3"/>
        <v>0</v>
      </c>
      <c r="AE14" s="9">
        <f t="shared" si="6"/>
        <v>0</v>
      </c>
      <c r="AF14" s="11">
        <f t="shared" si="4"/>
        <v>0.83227644517967103</v>
      </c>
      <c r="AG14" s="12">
        <f t="shared" si="5"/>
        <v>1.8134999999999999</v>
      </c>
    </row>
    <row r="15" spans="1:33" x14ac:dyDescent="0.25">
      <c r="A15" s="4" t="s">
        <v>30</v>
      </c>
      <c r="B15" s="1" t="s">
        <v>31</v>
      </c>
      <c r="P15" s="8">
        <f t="shared" si="0"/>
        <v>1.5066666666666668</v>
      </c>
      <c r="Q15" s="9">
        <v>300</v>
      </c>
      <c r="R15" s="9">
        <v>150</v>
      </c>
      <c r="S15" s="9">
        <v>155</v>
      </c>
      <c r="T15" s="13">
        <f t="shared" si="1"/>
        <v>3.3900000000000006</v>
      </c>
      <c r="U15" s="10">
        <v>4.5200000000000005</v>
      </c>
      <c r="V15" s="9">
        <v>300</v>
      </c>
      <c r="W15" s="9">
        <f t="shared" si="2"/>
        <v>14</v>
      </c>
      <c r="X15" s="9">
        <v>440</v>
      </c>
      <c r="Y15" s="9">
        <v>50</v>
      </c>
      <c r="Z15" s="9">
        <v>60</v>
      </c>
      <c r="AA15" s="9">
        <v>70</v>
      </c>
      <c r="AB15" s="9">
        <v>50</v>
      </c>
      <c r="AC15" s="9">
        <f>(S15+5)/2</f>
        <v>80</v>
      </c>
      <c r="AD15" s="9">
        <f t="shared" si="3"/>
        <v>0</v>
      </c>
      <c r="AE15" s="9">
        <f t="shared" si="6"/>
        <v>0</v>
      </c>
      <c r="AF15" s="11">
        <f t="shared" si="4"/>
        <v>0.83080599209631478</v>
      </c>
      <c r="AG15" s="12">
        <f t="shared" si="5"/>
        <v>1.8134999999999999</v>
      </c>
    </row>
    <row r="16" spans="1:33" x14ac:dyDescent="0.25">
      <c r="A16" s="4" t="s">
        <v>32</v>
      </c>
      <c r="B16" s="1" t="s">
        <v>33</v>
      </c>
      <c r="P16" s="8">
        <f t="shared" si="0"/>
        <v>2.0444444444444443</v>
      </c>
      <c r="Q16" s="9">
        <v>300</v>
      </c>
      <c r="R16" s="9">
        <v>175</v>
      </c>
      <c r="S16" s="9">
        <v>180</v>
      </c>
      <c r="T16" s="13">
        <f t="shared" si="1"/>
        <v>4.5999999999999996</v>
      </c>
      <c r="U16" s="10">
        <v>6.1333333333333329</v>
      </c>
      <c r="V16" s="9">
        <v>350</v>
      </c>
      <c r="W16" s="9">
        <f t="shared" si="2"/>
        <v>14</v>
      </c>
      <c r="X16" s="9">
        <v>440</v>
      </c>
      <c r="Y16" s="9">
        <v>60</v>
      </c>
      <c r="Z16" s="9">
        <v>70</v>
      </c>
      <c r="AA16" s="9">
        <v>80</v>
      </c>
      <c r="AB16" s="9">
        <v>60</v>
      </c>
      <c r="AC16" s="9">
        <f>(S16+10)/2</f>
        <v>95</v>
      </c>
      <c r="AD16" s="9">
        <f t="shared" si="3"/>
        <v>0</v>
      </c>
      <c r="AE16" s="9">
        <f t="shared" si="6"/>
        <v>0</v>
      </c>
      <c r="AF16" s="11">
        <f t="shared" si="4"/>
        <v>0.83208972097860989</v>
      </c>
      <c r="AG16" s="12">
        <f t="shared" si="5"/>
        <v>2.4569999999999999</v>
      </c>
    </row>
    <row r="17" spans="1:33" x14ac:dyDescent="0.25">
      <c r="A17" s="4" t="s">
        <v>34</v>
      </c>
      <c r="B17" s="1" t="s">
        <v>35</v>
      </c>
      <c r="P17" s="8">
        <f t="shared" si="0"/>
        <v>2.0495238095238095</v>
      </c>
      <c r="Q17" s="9">
        <v>350</v>
      </c>
      <c r="R17" s="9">
        <v>175</v>
      </c>
      <c r="S17" s="9">
        <v>180</v>
      </c>
      <c r="T17" s="13">
        <f t="shared" si="1"/>
        <v>5.38</v>
      </c>
      <c r="U17" s="10">
        <v>7.1733333333333329</v>
      </c>
      <c r="V17" s="9">
        <v>350</v>
      </c>
      <c r="W17" s="9">
        <f t="shared" si="2"/>
        <v>16</v>
      </c>
      <c r="X17" s="9">
        <v>500</v>
      </c>
      <c r="Y17" s="9">
        <v>70</v>
      </c>
      <c r="Z17" s="9">
        <v>80</v>
      </c>
      <c r="AA17" s="9">
        <v>95</v>
      </c>
      <c r="AB17" s="9">
        <v>60</v>
      </c>
      <c r="AC17" s="9">
        <f>(S17+10)/2</f>
        <v>95</v>
      </c>
      <c r="AD17" s="9">
        <f t="shared" si="3"/>
        <v>0</v>
      </c>
      <c r="AE17" s="9">
        <f t="shared" si="6"/>
        <v>0</v>
      </c>
      <c r="AF17" s="11">
        <f t="shared" si="4"/>
        <v>0.83415702463321517</v>
      </c>
      <c r="AG17" s="12">
        <f t="shared" si="5"/>
        <v>2.4569999999999999</v>
      </c>
    </row>
    <row r="18" spans="1:33" x14ac:dyDescent="0.25">
      <c r="A18" s="4" t="s">
        <v>36</v>
      </c>
      <c r="B18" s="1" t="s">
        <v>37</v>
      </c>
      <c r="P18" s="8">
        <f t="shared" si="0"/>
        <v>2.735238095238095</v>
      </c>
      <c r="Q18" s="9">
        <v>350</v>
      </c>
      <c r="R18" s="9">
        <v>200</v>
      </c>
      <c r="S18" s="9">
        <v>210</v>
      </c>
      <c r="T18" s="13">
        <f t="shared" si="1"/>
        <v>7.18</v>
      </c>
      <c r="U18" s="10">
        <v>9.5733333333333324</v>
      </c>
      <c r="V18" s="9">
        <v>400</v>
      </c>
      <c r="W18" s="9">
        <f t="shared" si="2"/>
        <v>16</v>
      </c>
      <c r="X18" s="9">
        <v>500</v>
      </c>
      <c r="Y18" s="9">
        <v>80</v>
      </c>
      <c r="Z18" s="9">
        <v>95</v>
      </c>
      <c r="AA18" s="9">
        <v>110</v>
      </c>
      <c r="AB18" s="9">
        <v>60</v>
      </c>
      <c r="AC18" s="9">
        <v>110</v>
      </c>
      <c r="AD18" s="9">
        <f t="shared" si="3"/>
        <v>0</v>
      </c>
      <c r="AE18" s="9">
        <f t="shared" si="6"/>
        <v>0</v>
      </c>
      <c r="AF18" s="11">
        <f t="shared" si="4"/>
        <v>0.8349322635036921</v>
      </c>
      <c r="AG18" s="12">
        <f t="shared" si="5"/>
        <v>3.2759999999999998</v>
      </c>
    </row>
    <row r="19" spans="1:33" x14ac:dyDescent="0.25">
      <c r="A19" s="4" t="s">
        <v>38</v>
      </c>
      <c r="B19" s="1" t="s">
        <v>39</v>
      </c>
      <c r="P19" s="8">
        <f t="shared" si="0"/>
        <v>2.7463414634146344</v>
      </c>
      <c r="Q19" s="9">
        <v>410</v>
      </c>
      <c r="R19" s="9">
        <v>200</v>
      </c>
      <c r="S19" s="9">
        <v>210</v>
      </c>
      <c r="T19" s="13">
        <f t="shared" si="1"/>
        <v>8.4450000000000003</v>
      </c>
      <c r="U19" s="10">
        <v>11.26</v>
      </c>
      <c r="V19" s="9">
        <v>400</v>
      </c>
      <c r="W19" s="9">
        <f t="shared" si="2"/>
        <v>18</v>
      </c>
      <c r="X19" s="9">
        <v>550</v>
      </c>
      <c r="Y19" s="9">
        <v>95</v>
      </c>
      <c r="Z19" s="9">
        <v>115</v>
      </c>
      <c r="AA19" s="9">
        <v>130</v>
      </c>
      <c r="AB19" s="9">
        <v>60</v>
      </c>
      <c r="AC19" s="9">
        <v>110</v>
      </c>
      <c r="AD19" s="9">
        <f t="shared" si="3"/>
        <v>0</v>
      </c>
      <c r="AE19" s="9">
        <f t="shared" si="6"/>
        <v>0</v>
      </c>
      <c r="AF19" s="11">
        <f t="shared" si="4"/>
        <v>0.83832157002888719</v>
      </c>
      <c r="AG19" s="12">
        <f t="shared" si="5"/>
        <v>3.2759999999999998</v>
      </c>
    </row>
    <row r="20" spans="1:33" x14ac:dyDescent="0.25">
      <c r="A20" s="4"/>
      <c r="P20" s="8">
        <f t="shared" si="0"/>
        <v>2.3333333333333335</v>
      </c>
      <c r="Q20" s="9">
        <v>450</v>
      </c>
      <c r="R20" s="9">
        <v>210</v>
      </c>
      <c r="S20" s="9">
        <v>185</v>
      </c>
      <c r="T20" s="13">
        <f t="shared" si="1"/>
        <v>7.875</v>
      </c>
      <c r="U20" s="10">
        <v>10.5</v>
      </c>
      <c r="V20" s="9">
        <v>440</v>
      </c>
      <c r="W20" s="9">
        <f t="shared" si="2"/>
        <v>20</v>
      </c>
      <c r="X20" s="9">
        <v>600</v>
      </c>
      <c r="Y20" s="9">
        <v>100</v>
      </c>
      <c r="Z20" s="9">
        <v>125</v>
      </c>
      <c r="AA20" s="9">
        <v>140</v>
      </c>
      <c r="AB20" s="9">
        <v>60</v>
      </c>
      <c r="AC20" s="9">
        <v>110</v>
      </c>
      <c r="AD20" s="9">
        <f t="shared" si="3"/>
        <v>0</v>
      </c>
      <c r="AE20" s="9">
        <f t="shared" si="6"/>
        <v>0</v>
      </c>
      <c r="AF20" s="11">
        <f t="shared" si="4"/>
        <v>0.77000077000077005</v>
      </c>
      <c r="AG20" s="12">
        <f t="shared" si="5"/>
        <v>3.0303</v>
      </c>
    </row>
    <row r="21" spans="1:33" x14ac:dyDescent="0.25">
      <c r="A21" s="4"/>
      <c r="P21" s="8">
        <f t="shared" si="0"/>
        <v>2.3980000000000001</v>
      </c>
      <c r="Q21" s="9">
        <v>500</v>
      </c>
      <c r="R21" s="9">
        <v>210</v>
      </c>
      <c r="S21" s="9">
        <v>185</v>
      </c>
      <c r="T21" s="13">
        <f t="shared" si="1"/>
        <v>8.9924999999999997</v>
      </c>
      <c r="U21" s="10">
        <v>11.99</v>
      </c>
      <c r="V21" s="9">
        <v>440</v>
      </c>
      <c r="W21" s="9">
        <f t="shared" si="2"/>
        <v>22</v>
      </c>
      <c r="X21" s="9">
        <v>620</v>
      </c>
      <c r="Y21" s="9">
        <v>115</v>
      </c>
      <c r="Z21" s="9">
        <v>140</v>
      </c>
      <c r="AA21" s="9">
        <v>155</v>
      </c>
      <c r="AB21" s="9">
        <v>60.5</v>
      </c>
      <c r="AC21" s="9">
        <v>125</v>
      </c>
      <c r="AD21" s="9">
        <f>ROUNDUP(IF(P21=$D$26,W21*25.4+AB21*2,0),0)</f>
        <v>680</v>
      </c>
      <c r="AE21" s="9">
        <f>IF(AD21=0,0,R21*2+$B$72*1000+50+AC21*2)</f>
        <v>1340</v>
      </c>
      <c r="AF21" s="11">
        <f t="shared" si="4"/>
        <v>0.79134079134079138</v>
      </c>
      <c r="AG21" s="12">
        <f t="shared" si="5"/>
        <v>3.0303</v>
      </c>
    </row>
    <row r="22" spans="1:33" x14ac:dyDescent="0.25">
      <c r="B22" s="14" t="s">
        <v>40</v>
      </c>
      <c r="G22" s="3" t="s">
        <v>41</v>
      </c>
      <c r="H22" s="15"/>
      <c r="I22" s="16"/>
      <c r="J22" s="16"/>
      <c r="K22" s="16"/>
      <c r="L22" s="3" t="s">
        <v>42</v>
      </c>
      <c r="P22" s="8">
        <f t="shared" si="0"/>
        <v>2.7296969696969695</v>
      </c>
      <c r="Q22" s="9">
        <v>550</v>
      </c>
      <c r="R22" s="9">
        <v>200</v>
      </c>
      <c r="S22" s="9">
        <v>210</v>
      </c>
      <c r="T22" s="13">
        <f t="shared" si="1"/>
        <v>11.26</v>
      </c>
      <c r="U22" s="10">
        <v>15.013333333333334</v>
      </c>
      <c r="V22" s="9">
        <v>400</v>
      </c>
      <c r="W22" s="9">
        <f t="shared" si="2"/>
        <v>24</v>
      </c>
      <c r="X22" s="9">
        <v>700</v>
      </c>
      <c r="Y22" s="9">
        <v>125</v>
      </c>
      <c r="Z22" s="9">
        <v>150</v>
      </c>
      <c r="AA22" s="9">
        <v>170</v>
      </c>
      <c r="AB22" s="9">
        <v>70</v>
      </c>
      <c r="AC22" s="9">
        <v>110</v>
      </c>
      <c r="AD22" s="9">
        <f t="shared" si="3"/>
        <v>0</v>
      </c>
      <c r="AE22" s="9">
        <f t="shared" si="6"/>
        <v>0</v>
      </c>
      <c r="AF22" s="11">
        <f t="shared" si="4"/>
        <v>0.8332408332408332</v>
      </c>
      <c r="AG22" s="12">
        <f t="shared" si="5"/>
        <v>3.2759999999999998</v>
      </c>
    </row>
    <row r="23" spans="1:33" x14ac:dyDescent="0.25">
      <c r="A23" s="1" t="s">
        <v>43</v>
      </c>
      <c r="H23" s="1" t="s">
        <v>43</v>
      </c>
      <c r="L23" s="1" t="s">
        <v>43</v>
      </c>
      <c r="P23" s="8">
        <f t="shared" si="0"/>
        <v>3.0090909090909093</v>
      </c>
      <c r="Q23" s="9">
        <v>550</v>
      </c>
      <c r="R23" s="9">
        <v>210</v>
      </c>
      <c r="S23" s="9">
        <v>220</v>
      </c>
      <c r="T23" s="13">
        <f t="shared" si="1"/>
        <v>12.412500000000001</v>
      </c>
      <c r="U23" s="10">
        <v>16.55</v>
      </c>
      <c r="V23" s="9">
        <v>420</v>
      </c>
      <c r="W23" s="9">
        <f t="shared" si="2"/>
        <v>24</v>
      </c>
      <c r="X23" s="9">
        <v>700</v>
      </c>
      <c r="Y23" s="9">
        <v>140</v>
      </c>
      <c r="Z23" s="9">
        <v>170</v>
      </c>
      <c r="AA23" s="9">
        <v>190</v>
      </c>
      <c r="AB23" s="9">
        <v>70</v>
      </c>
      <c r="AC23" s="9">
        <v>110</v>
      </c>
      <c r="AD23" s="9">
        <f t="shared" si="3"/>
        <v>0</v>
      </c>
      <c r="AE23" s="9">
        <f t="shared" si="6"/>
        <v>0</v>
      </c>
      <c r="AF23" s="11">
        <f t="shared" si="4"/>
        <v>0.8350235622962896</v>
      </c>
      <c r="AG23" s="12">
        <f t="shared" si="5"/>
        <v>3.6036000000000001</v>
      </c>
    </row>
    <row r="24" spans="1:33" x14ac:dyDescent="0.25">
      <c r="A24" s="4" t="s">
        <v>26</v>
      </c>
      <c r="B24" s="17">
        <f>VLOOKUP(D26,P11:Z31,6,)</f>
        <v>11.99</v>
      </c>
      <c r="C24" s="1" t="s">
        <v>44</v>
      </c>
      <c r="D24" s="17">
        <f>B24/D26*100</f>
        <v>500</v>
      </c>
      <c r="E24" s="1" t="s">
        <v>45</v>
      </c>
      <c r="H24" s="4" t="s">
        <v>26</v>
      </c>
      <c r="I24" s="17">
        <f>B24</f>
        <v>11.99</v>
      </c>
      <c r="J24" s="1" t="s">
        <v>44</v>
      </c>
      <c r="L24" s="4" t="s">
        <v>26</v>
      </c>
      <c r="M24" s="17">
        <f>B24</f>
        <v>11.99</v>
      </c>
      <c r="N24" s="1" t="s">
        <v>44</v>
      </c>
      <c r="P24" s="8">
        <f t="shared" si="0"/>
        <v>3.6</v>
      </c>
      <c r="Q24" s="9">
        <v>600</v>
      </c>
      <c r="R24" s="9">
        <v>230</v>
      </c>
      <c r="S24" s="9">
        <v>240</v>
      </c>
      <c r="T24" s="13">
        <f t="shared" si="1"/>
        <v>16.200000000000003</v>
      </c>
      <c r="U24" s="10">
        <v>21.6</v>
      </c>
      <c r="V24" s="9">
        <v>460</v>
      </c>
      <c r="W24" s="9">
        <f t="shared" si="2"/>
        <v>26</v>
      </c>
      <c r="X24" s="9">
        <v>760</v>
      </c>
      <c r="Y24" s="9">
        <v>160</v>
      </c>
      <c r="Z24" s="9">
        <v>190</v>
      </c>
      <c r="AA24" s="9">
        <v>220</v>
      </c>
      <c r="AB24" s="9">
        <v>70</v>
      </c>
      <c r="AC24" s="9">
        <v>110</v>
      </c>
      <c r="AD24" s="9">
        <f t="shared" si="3"/>
        <v>0</v>
      </c>
      <c r="AE24" s="9">
        <f t="shared" si="6"/>
        <v>0</v>
      </c>
      <c r="AF24" s="11">
        <f t="shared" si="4"/>
        <v>0.83612040133779264</v>
      </c>
      <c r="AG24" s="12">
        <f t="shared" si="5"/>
        <v>4.3056000000000001</v>
      </c>
    </row>
    <row r="25" spans="1:33" x14ac:dyDescent="0.25">
      <c r="A25" s="4" t="s">
        <v>28</v>
      </c>
      <c r="B25" s="18">
        <v>1</v>
      </c>
      <c r="C25" s="1" t="s">
        <v>46</v>
      </c>
      <c r="D25" s="17">
        <f>B24*0.75</f>
        <v>8.9924999999999997</v>
      </c>
      <c r="E25" s="1" t="s">
        <v>47</v>
      </c>
      <c r="H25" s="4" t="s">
        <v>28</v>
      </c>
      <c r="I25" s="19">
        <v>1</v>
      </c>
      <c r="J25" s="1" t="s">
        <v>46</v>
      </c>
      <c r="L25" s="4" t="s">
        <v>28</v>
      </c>
      <c r="M25" s="19">
        <f>B25</f>
        <v>1</v>
      </c>
      <c r="N25" s="1" t="s">
        <v>46</v>
      </c>
      <c r="P25" s="8">
        <f t="shared" si="0"/>
        <v>4.2311111111111108</v>
      </c>
      <c r="Q25" s="9">
        <v>450</v>
      </c>
      <c r="R25" s="9">
        <v>250</v>
      </c>
      <c r="S25" s="9">
        <v>260</v>
      </c>
      <c r="T25" s="13">
        <f t="shared" si="1"/>
        <v>14.28</v>
      </c>
      <c r="U25" s="10">
        <v>19.04</v>
      </c>
      <c r="V25" s="9">
        <v>500</v>
      </c>
      <c r="W25" s="9">
        <f t="shared" si="2"/>
        <v>20</v>
      </c>
      <c r="X25" s="9">
        <v>600</v>
      </c>
      <c r="Y25" s="9">
        <v>130</v>
      </c>
      <c r="Z25" s="9">
        <v>155</v>
      </c>
      <c r="AA25" s="9">
        <v>170</v>
      </c>
      <c r="AB25" s="9">
        <v>70</v>
      </c>
      <c r="AC25" s="9">
        <v>120</v>
      </c>
      <c r="AD25" s="9">
        <f t="shared" si="3"/>
        <v>0</v>
      </c>
      <c r="AE25" s="9">
        <f t="shared" si="6"/>
        <v>0</v>
      </c>
      <c r="AF25" s="11">
        <f t="shared" si="4"/>
        <v>0.83453868069252679</v>
      </c>
      <c r="AG25" s="12">
        <f t="shared" si="5"/>
        <v>5.07</v>
      </c>
    </row>
    <row r="26" spans="1:33" x14ac:dyDescent="0.25">
      <c r="A26" s="4" t="s">
        <v>30</v>
      </c>
      <c r="B26" s="35">
        <v>1.5249999999999999</v>
      </c>
      <c r="C26" s="1" t="s">
        <v>48</v>
      </c>
      <c r="D26" s="20">
        <f>P21</f>
        <v>2.3980000000000001</v>
      </c>
      <c r="E26" s="1" t="s">
        <v>49</v>
      </c>
      <c r="H26" s="4" t="s">
        <v>30</v>
      </c>
      <c r="I26" s="19">
        <f>B26</f>
        <v>1.5249999999999999</v>
      </c>
      <c r="J26" s="1" t="s">
        <v>48</v>
      </c>
      <c r="L26" s="4" t="s">
        <v>30</v>
      </c>
      <c r="M26" s="19">
        <f>B26</f>
        <v>1.5249999999999999</v>
      </c>
      <c r="N26" s="1" t="s">
        <v>48</v>
      </c>
      <c r="P26" s="8">
        <f t="shared" si="0"/>
        <v>4.2346666666666666</v>
      </c>
      <c r="Q26" s="9">
        <v>500</v>
      </c>
      <c r="R26" s="9">
        <v>250</v>
      </c>
      <c r="S26" s="9">
        <v>260</v>
      </c>
      <c r="T26" s="13">
        <f t="shared" si="1"/>
        <v>15.880000000000003</v>
      </c>
      <c r="U26" s="10">
        <v>21.173333333333336</v>
      </c>
      <c r="V26" s="9">
        <v>500</v>
      </c>
      <c r="W26" s="9">
        <f t="shared" si="2"/>
        <v>22</v>
      </c>
      <c r="X26" s="9">
        <v>650</v>
      </c>
      <c r="Y26" s="9">
        <v>140</v>
      </c>
      <c r="Z26" s="9">
        <v>170</v>
      </c>
      <c r="AA26" s="9">
        <v>190</v>
      </c>
      <c r="AB26" s="9">
        <v>70</v>
      </c>
      <c r="AC26" s="9">
        <v>110</v>
      </c>
      <c r="AD26" s="9">
        <f t="shared" si="3"/>
        <v>0</v>
      </c>
      <c r="AE26" s="9">
        <f t="shared" si="6"/>
        <v>0</v>
      </c>
      <c r="AF26" s="11">
        <f t="shared" si="4"/>
        <v>0.83523997370151215</v>
      </c>
      <c r="AG26" s="12">
        <f t="shared" si="5"/>
        <v>5.07</v>
      </c>
    </row>
    <row r="27" spans="1:33" x14ac:dyDescent="0.25">
      <c r="A27" s="4" t="s">
        <v>32</v>
      </c>
      <c r="B27" s="21">
        <v>0.754</v>
      </c>
      <c r="C27" s="1" t="s">
        <v>50</v>
      </c>
      <c r="H27" s="4" t="s">
        <v>32</v>
      </c>
      <c r="I27" s="22">
        <v>1</v>
      </c>
      <c r="J27" s="1" t="s">
        <v>50</v>
      </c>
      <c r="L27" s="4" t="s">
        <v>32</v>
      </c>
      <c r="M27" s="22">
        <f>B27</f>
        <v>0.754</v>
      </c>
      <c r="N27" s="1" t="s">
        <v>50</v>
      </c>
      <c r="P27" s="8">
        <f t="shared" si="0"/>
        <v>4.2355555555555551</v>
      </c>
      <c r="Q27" s="9">
        <v>600</v>
      </c>
      <c r="R27" s="9">
        <v>250</v>
      </c>
      <c r="S27" s="9">
        <v>260</v>
      </c>
      <c r="T27" s="13">
        <f t="shared" si="1"/>
        <v>19.059999999999999</v>
      </c>
      <c r="U27" s="10">
        <v>25.41333333333333</v>
      </c>
      <c r="V27" s="9">
        <v>500</v>
      </c>
      <c r="W27" s="9">
        <f t="shared" si="2"/>
        <v>26</v>
      </c>
      <c r="X27" s="9">
        <v>760</v>
      </c>
      <c r="Y27" s="9">
        <v>170</v>
      </c>
      <c r="Z27" s="9">
        <v>200</v>
      </c>
      <c r="AA27" s="9">
        <v>230</v>
      </c>
      <c r="AB27" s="9">
        <v>70</v>
      </c>
      <c r="AC27" s="9">
        <v>110</v>
      </c>
      <c r="AD27" s="9">
        <f t="shared" si="3"/>
        <v>0</v>
      </c>
      <c r="AE27" s="9">
        <f t="shared" si="6"/>
        <v>0</v>
      </c>
      <c r="AF27" s="11">
        <f t="shared" si="4"/>
        <v>0.83541529695375838</v>
      </c>
      <c r="AG27" s="12">
        <f t="shared" si="5"/>
        <v>5.07</v>
      </c>
    </row>
    <row r="28" spans="1:33" x14ac:dyDescent="0.25">
      <c r="A28" s="4" t="s">
        <v>34</v>
      </c>
      <c r="B28" s="21">
        <v>1</v>
      </c>
      <c r="C28" s="1" t="s">
        <v>50</v>
      </c>
      <c r="H28" s="4" t="s">
        <v>34</v>
      </c>
      <c r="I28" s="22">
        <v>1</v>
      </c>
      <c r="J28" s="1" t="s">
        <v>50</v>
      </c>
      <c r="L28" s="4" t="s">
        <v>34</v>
      </c>
      <c r="M28" s="21">
        <v>1</v>
      </c>
      <c r="N28" s="1" t="s">
        <v>50</v>
      </c>
      <c r="P28" s="8">
        <f t="shared" si="0"/>
        <v>4.2358974358974351</v>
      </c>
      <c r="Q28" s="9">
        <v>650</v>
      </c>
      <c r="R28" s="9">
        <v>250</v>
      </c>
      <c r="S28" s="9">
        <v>260</v>
      </c>
      <c r="T28" s="13">
        <f t="shared" si="1"/>
        <v>20.65</v>
      </c>
      <c r="U28" s="10">
        <v>27.533333333333331</v>
      </c>
      <c r="V28" s="9">
        <v>500</v>
      </c>
      <c r="W28" s="23">
        <f t="shared" si="2"/>
        <v>28</v>
      </c>
      <c r="X28" s="23">
        <v>810</v>
      </c>
      <c r="Y28" s="23">
        <v>185</v>
      </c>
      <c r="Z28" s="23">
        <v>220</v>
      </c>
      <c r="AA28" s="23">
        <v>250</v>
      </c>
      <c r="AB28" s="23">
        <v>70</v>
      </c>
      <c r="AC28" s="23">
        <v>120</v>
      </c>
      <c r="AD28" s="23">
        <f t="shared" si="3"/>
        <v>0</v>
      </c>
      <c r="AE28" s="23">
        <f t="shared" si="6"/>
        <v>0</v>
      </c>
      <c r="AF28" s="11">
        <f t="shared" si="4"/>
        <v>0.83548272897385301</v>
      </c>
      <c r="AG28" s="12">
        <f t="shared" si="5"/>
        <v>5.07</v>
      </c>
    </row>
    <row r="29" spans="1:33" x14ac:dyDescent="0.25">
      <c r="A29" s="4" t="s">
        <v>36</v>
      </c>
      <c r="B29" s="18">
        <v>1</v>
      </c>
      <c r="C29" s="1" t="s">
        <v>51</v>
      </c>
      <c r="H29" s="4" t="s">
        <v>36</v>
      </c>
      <c r="I29" s="18">
        <v>1.4</v>
      </c>
      <c r="J29" s="1" t="s">
        <v>51</v>
      </c>
      <c r="L29" s="4" t="s">
        <v>36</v>
      </c>
      <c r="M29" s="18">
        <v>1.1100000000000001</v>
      </c>
      <c r="N29" s="1" t="s">
        <v>51</v>
      </c>
      <c r="P29" s="8">
        <f t="shared" si="0"/>
        <v>4.2361904761904761</v>
      </c>
      <c r="Q29" s="9">
        <v>700</v>
      </c>
      <c r="R29" s="9">
        <v>250</v>
      </c>
      <c r="S29" s="9">
        <v>260</v>
      </c>
      <c r="T29" s="13">
        <f t="shared" si="1"/>
        <v>22.24</v>
      </c>
      <c r="U29" s="10">
        <v>29.653333333333332</v>
      </c>
      <c r="V29" s="9">
        <v>500</v>
      </c>
      <c r="W29" s="9">
        <f t="shared" si="2"/>
        <v>30</v>
      </c>
      <c r="X29" s="9">
        <v>860</v>
      </c>
      <c r="Y29" s="9">
        <v>200</v>
      </c>
      <c r="Z29" s="9">
        <v>240</v>
      </c>
      <c r="AA29" s="9">
        <v>270</v>
      </c>
      <c r="AB29" s="9">
        <v>80</v>
      </c>
      <c r="AC29" s="9">
        <v>140</v>
      </c>
      <c r="AD29" s="9">
        <f t="shared" si="3"/>
        <v>0</v>
      </c>
      <c r="AE29" s="9">
        <f t="shared" si="6"/>
        <v>0</v>
      </c>
      <c r="AF29" s="11">
        <f t="shared" si="4"/>
        <v>0.83554052784822008</v>
      </c>
      <c r="AG29" s="12">
        <f t="shared" si="5"/>
        <v>5.07</v>
      </c>
    </row>
    <row r="30" spans="1:33" x14ac:dyDescent="0.25">
      <c r="A30" s="4" t="s">
        <v>38</v>
      </c>
      <c r="B30" s="18">
        <v>310</v>
      </c>
      <c r="C30" s="1" t="s">
        <v>52</v>
      </c>
      <c r="D30" s="17">
        <f>B30/VLOOKUP(D26,P11:R31,3)</f>
        <v>1.4761904761904763</v>
      </c>
      <c r="E30" s="1" t="s">
        <v>53</v>
      </c>
      <c r="H30" s="4" t="s">
        <v>38</v>
      </c>
      <c r="I30" s="19">
        <f>B30</f>
        <v>310</v>
      </c>
      <c r="J30" s="1" t="s">
        <v>52</v>
      </c>
      <c r="L30" s="4" t="s">
        <v>38</v>
      </c>
      <c r="M30" s="19">
        <f>B30</f>
        <v>310</v>
      </c>
      <c r="N30" s="1" t="s">
        <v>52</v>
      </c>
      <c r="P30" s="8">
        <f t="shared" si="0"/>
        <v>4.1857142857142859</v>
      </c>
      <c r="Q30" s="9">
        <v>700</v>
      </c>
      <c r="R30" s="9">
        <v>265</v>
      </c>
      <c r="S30" s="9">
        <v>320</v>
      </c>
      <c r="T30" s="13">
        <f t="shared" si="1"/>
        <v>21.975000000000001</v>
      </c>
      <c r="U30" s="10">
        <v>29.3</v>
      </c>
      <c r="V30" s="9">
        <v>350</v>
      </c>
      <c r="W30" s="9">
        <f t="shared" si="2"/>
        <v>30</v>
      </c>
      <c r="X30" s="9">
        <v>860</v>
      </c>
      <c r="Y30" s="9">
        <v>280</v>
      </c>
      <c r="Z30" s="9">
        <v>340</v>
      </c>
      <c r="AA30" s="9">
        <v>380</v>
      </c>
      <c r="AB30" s="9">
        <v>80</v>
      </c>
      <c r="AC30" s="9">
        <v>140</v>
      </c>
      <c r="AD30" s="9">
        <f t="shared" si="3"/>
        <v>0</v>
      </c>
      <c r="AE30" s="9">
        <f t="shared" si="6"/>
        <v>0</v>
      </c>
      <c r="AF30" s="11">
        <f t="shared" si="4"/>
        <v>0.63281843942221305</v>
      </c>
      <c r="AG30" s="12">
        <f t="shared" si="5"/>
        <v>6.6143999999999998</v>
      </c>
    </row>
    <row r="31" spans="1:33" x14ac:dyDescent="0.25">
      <c r="D31" s="1" t="s">
        <v>54</v>
      </c>
      <c r="P31" s="8">
        <f t="shared" si="0"/>
        <v>4.2666666666666666</v>
      </c>
      <c r="Q31" s="9">
        <v>750</v>
      </c>
      <c r="R31" s="9">
        <v>270</v>
      </c>
      <c r="S31" s="9">
        <v>320</v>
      </c>
      <c r="T31" s="13">
        <f t="shared" si="1"/>
        <v>24</v>
      </c>
      <c r="U31" s="10">
        <v>32</v>
      </c>
      <c r="V31" s="9">
        <v>350</v>
      </c>
      <c r="W31" s="9">
        <f t="shared" si="2"/>
        <v>32</v>
      </c>
      <c r="X31" s="9">
        <v>920</v>
      </c>
      <c r="Y31" s="9">
        <v>300</v>
      </c>
      <c r="Z31" s="9">
        <v>370</v>
      </c>
      <c r="AA31" s="9">
        <v>420</v>
      </c>
      <c r="AB31" s="9">
        <v>80</v>
      </c>
      <c r="AC31" s="9">
        <v>140</v>
      </c>
      <c r="AD31" s="9">
        <f t="shared" si="3"/>
        <v>0</v>
      </c>
      <c r="AE31" s="9">
        <f t="shared" si="6"/>
        <v>0</v>
      </c>
      <c r="AF31" s="11">
        <f t="shared" si="4"/>
        <v>0.63311174422285532</v>
      </c>
      <c r="AG31" s="12">
        <f t="shared" si="5"/>
        <v>6.7392000000000003</v>
      </c>
    </row>
    <row r="32" spans="1:33" x14ac:dyDescent="0.25">
      <c r="A32" s="4" t="s">
        <v>55</v>
      </c>
      <c r="H32" s="4" t="s">
        <v>55</v>
      </c>
      <c r="L32" s="4" t="s">
        <v>55</v>
      </c>
    </row>
    <row r="33" spans="1:31" x14ac:dyDescent="0.25">
      <c r="A33" s="4" t="s">
        <v>24</v>
      </c>
      <c r="B33" s="17">
        <f>3600*B24*B25*B26*B27*B28*B29/B30</f>
        <v>160.10363032258064</v>
      </c>
      <c r="C33" s="1" t="s">
        <v>56</v>
      </c>
      <c r="H33" s="4" t="s">
        <v>24</v>
      </c>
      <c r="I33" s="17">
        <f>3600*I24*I25*I26*I27*I28*I29/I30</f>
        <v>297.27464516129027</v>
      </c>
      <c r="J33" s="1" t="s">
        <v>57</v>
      </c>
      <c r="K33" s="24">
        <f>I33/M33</f>
        <v>1.6727602934499484</v>
      </c>
      <c r="L33" s="4" t="s">
        <v>24</v>
      </c>
      <c r="M33" s="17">
        <f>3600*M24*M25*M26*M27*M28*M29/M30</f>
        <v>177.71502965806451</v>
      </c>
      <c r="N33" s="1" t="s">
        <v>57</v>
      </c>
      <c r="P33" s="25" t="s">
        <v>58</v>
      </c>
      <c r="Q33" s="26">
        <f>VLOOKUP(D26,P11:AD31,2,)/1000</f>
        <v>0.5</v>
      </c>
      <c r="R33" s="26">
        <f>VLOOKUP(D26,P11:AD31,3,)/1000</f>
        <v>0.21</v>
      </c>
      <c r="S33" s="26">
        <f>VLOOKUP(D26,P11:AD31,4,)/1000</f>
        <v>0.185</v>
      </c>
      <c r="W33" s="27">
        <f>VLOOKUP(D26,P11:AD31,8,)</f>
        <v>22</v>
      </c>
      <c r="X33" s="26">
        <f>VLOOKUP(D26,P11:AD31,9,)/1000</f>
        <v>0.62</v>
      </c>
      <c r="AD33" s="26">
        <f>VLOOKUP(D26,P11:AD31,15,)/1000</f>
        <v>0.68</v>
      </c>
      <c r="AE33" s="26">
        <f>VLOOKUP(D26,P11:AE31,16,)/1000</f>
        <v>1.34</v>
      </c>
    </row>
    <row r="34" spans="1:31" x14ac:dyDescent="0.25">
      <c r="A34" s="4"/>
    </row>
    <row r="37" spans="1:31" ht="13.8" x14ac:dyDescent="0.25">
      <c r="A37" s="3" t="s">
        <v>59</v>
      </c>
      <c r="G37" s="3" t="s">
        <v>60</v>
      </c>
      <c r="H37" s="3"/>
      <c r="I37" s="25" t="s">
        <v>61</v>
      </c>
      <c r="J37" s="18">
        <v>20.6</v>
      </c>
      <c r="K37" s="1" t="s">
        <v>62</v>
      </c>
      <c r="Q37" s="1" t="s">
        <v>63</v>
      </c>
      <c r="S37" s="17">
        <f>B72*3.2</f>
        <v>1.984</v>
      </c>
      <c r="T37" s="1" t="s">
        <v>58</v>
      </c>
      <c r="X37" s="28" t="s">
        <v>64</v>
      </c>
    </row>
    <row r="39" spans="1:31" x14ac:dyDescent="0.25">
      <c r="I39" s="25" t="s">
        <v>65</v>
      </c>
      <c r="Q39" s="1" t="s">
        <v>66</v>
      </c>
      <c r="S39" s="17">
        <f>1.4*(2*AD33+2*AE33)*S37+1.4*AD33*AE33</f>
        <v>12.497183999999999</v>
      </c>
      <c r="T39" s="1" t="s">
        <v>67</v>
      </c>
      <c r="U39" s="29">
        <v>50</v>
      </c>
      <c r="V39" s="1" t="s">
        <v>68</v>
      </c>
      <c r="X39" s="30">
        <f>S39*U39*1.3</f>
        <v>812.31695999999999</v>
      </c>
      <c r="Y39" s="1" t="s">
        <v>68</v>
      </c>
    </row>
    <row r="40" spans="1:31" x14ac:dyDescent="0.25">
      <c r="A40" s="3" t="s">
        <v>69</v>
      </c>
    </row>
    <row r="41" spans="1:31" x14ac:dyDescent="0.25">
      <c r="I41" s="4" t="s">
        <v>70</v>
      </c>
      <c r="J41" s="18">
        <v>33</v>
      </c>
      <c r="K41" s="1" t="s">
        <v>71</v>
      </c>
      <c r="L41" s="1" t="s">
        <v>72</v>
      </c>
      <c r="Q41" s="1" t="s">
        <v>73</v>
      </c>
      <c r="S41" s="17">
        <f>B72*3.1</f>
        <v>1.9219999999999999</v>
      </c>
      <c r="T41" s="1" t="s">
        <v>58</v>
      </c>
    </row>
    <row r="42" spans="1:31" x14ac:dyDescent="0.25">
      <c r="B42" s="3" t="s">
        <v>74</v>
      </c>
      <c r="C42" s="3"/>
    </row>
    <row r="43" spans="1:31" x14ac:dyDescent="0.25">
      <c r="B43" s="3"/>
      <c r="C43" s="3" t="s">
        <v>75</v>
      </c>
      <c r="J43" s="31">
        <v>70</v>
      </c>
      <c r="K43" s="32" t="s">
        <v>76</v>
      </c>
      <c r="Q43" s="1" t="s">
        <v>77</v>
      </c>
      <c r="S43" s="17">
        <f>(S41*2+AE33*1.4*AD33)+(2*AE33*S41*1.4)</f>
        <v>12.331023999999999</v>
      </c>
      <c r="T43" s="1" t="s">
        <v>67</v>
      </c>
      <c r="U43" s="29">
        <v>45</v>
      </c>
      <c r="V43" s="1" t="s">
        <v>68</v>
      </c>
      <c r="X43" s="30">
        <f>S43*U43*1.5</f>
        <v>832.34411999999998</v>
      </c>
      <c r="Y43" s="1" t="s">
        <v>68</v>
      </c>
    </row>
    <row r="44" spans="1:31" x14ac:dyDescent="0.25">
      <c r="A44" s="1" t="s">
        <v>23</v>
      </c>
    </row>
    <row r="45" spans="1:31" x14ac:dyDescent="0.25">
      <c r="A45" s="4" t="s">
        <v>78</v>
      </c>
      <c r="B45" s="1" t="s">
        <v>79</v>
      </c>
      <c r="I45" s="4" t="s">
        <v>80</v>
      </c>
      <c r="J45" s="17">
        <f>ROUNDUP(B230*100/(J43*B231*B233),0)</f>
        <v>4</v>
      </c>
      <c r="K45" s="1" t="s">
        <v>81</v>
      </c>
      <c r="L45" s="18">
        <v>4</v>
      </c>
      <c r="M45" s="1" t="s">
        <v>81</v>
      </c>
      <c r="Q45" s="1" t="s">
        <v>82</v>
      </c>
      <c r="S45" s="17">
        <f>B71-B72*1.9-B72*1.6</f>
        <v>18.43</v>
      </c>
      <c r="T45" s="1" t="s">
        <v>58</v>
      </c>
      <c r="U45" s="29">
        <v>4.75</v>
      </c>
      <c r="V45" s="30">
        <f>1.25*U45*(2*1.41*2+4*2+4*AD33+AE33*4)</f>
        <v>128.96250000000001</v>
      </c>
      <c r="W45" s="1" t="s">
        <v>68</v>
      </c>
      <c r="X45" s="33">
        <f>S45*0.5*V45</f>
        <v>1188.3894375</v>
      </c>
      <c r="Y45" s="1" t="s">
        <v>68</v>
      </c>
    </row>
    <row r="46" spans="1:31" x14ac:dyDescent="0.25">
      <c r="A46" s="4" t="s">
        <v>36</v>
      </c>
      <c r="B46" s="1" t="s">
        <v>37</v>
      </c>
      <c r="I46" s="4" t="s">
        <v>83</v>
      </c>
      <c r="J46" s="17">
        <f>IF(R33&lt;0.201,3,IF(R33&lt;0.251,4,IF(R33&lt;0.301,5,6)))</f>
        <v>4</v>
      </c>
      <c r="K46" s="1" t="s">
        <v>84</v>
      </c>
    </row>
    <row r="47" spans="1:31" x14ac:dyDescent="0.25">
      <c r="A47" s="4" t="s">
        <v>26</v>
      </c>
      <c r="B47" s="1" t="s">
        <v>85</v>
      </c>
      <c r="O47" s="34">
        <f>D94</f>
        <v>139.19999999999999</v>
      </c>
      <c r="P47" s="1" t="s">
        <v>86</v>
      </c>
      <c r="Q47" s="1" t="s">
        <v>87</v>
      </c>
      <c r="S47" s="17">
        <f>R33*S33*2*Q33+Q33*R33*3</f>
        <v>0.35385</v>
      </c>
      <c r="T47" s="1" t="s">
        <v>67</v>
      </c>
      <c r="U47" s="29">
        <v>38</v>
      </c>
      <c r="V47" s="33">
        <f>S47*U47*1.2</f>
        <v>16.135560000000002</v>
      </c>
      <c r="W47" s="1" t="s">
        <v>68</v>
      </c>
      <c r="X47" s="33">
        <f>V47*D94</f>
        <v>2246.0699519999998</v>
      </c>
      <c r="Y47" s="1" t="s">
        <v>68</v>
      </c>
    </row>
    <row r="48" spans="1:31" x14ac:dyDescent="0.25">
      <c r="A48" s="4" t="s">
        <v>38</v>
      </c>
      <c r="B48" s="1" t="s">
        <v>39</v>
      </c>
    </row>
    <row r="49" spans="1:25" x14ac:dyDescent="0.25">
      <c r="I49" s="25" t="s">
        <v>88</v>
      </c>
      <c r="J49" s="17">
        <f>B395</f>
        <v>0.64514358761744472</v>
      </c>
      <c r="K49" s="1" t="s">
        <v>89</v>
      </c>
      <c r="L49" s="35">
        <v>0.62</v>
      </c>
      <c r="M49" s="1" t="s">
        <v>58</v>
      </c>
      <c r="Q49" s="1" t="s">
        <v>90</v>
      </c>
      <c r="S49" s="17">
        <f>1.3*2*B72*B72*3.1415/4+1.3*B72*3.1415*X33</f>
        <v>2.3548055700000003</v>
      </c>
      <c r="T49" s="1" t="s">
        <v>67</v>
      </c>
      <c r="U49" s="36">
        <f>CONVERT(K342/1000,"m","in")*200</f>
        <v>70.606631372389117</v>
      </c>
      <c r="V49" s="1" t="s">
        <v>68</v>
      </c>
      <c r="X49" s="33">
        <f>S49*U49*1.45</f>
        <v>241.08408881022606</v>
      </c>
      <c r="Y49" s="1" t="s">
        <v>68</v>
      </c>
    </row>
    <row r="50" spans="1:25" x14ac:dyDescent="0.25">
      <c r="A50" s="4" t="s">
        <v>91</v>
      </c>
      <c r="D50" s="4" t="s">
        <v>91</v>
      </c>
    </row>
    <row r="51" spans="1:25" x14ac:dyDescent="0.25">
      <c r="A51" s="4" t="s">
        <v>36</v>
      </c>
      <c r="B51" s="19">
        <f>M29</f>
        <v>1.1100000000000001</v>
      </c>
      <c r="C51" s="1" t="s">
        <v>51</v>
      </c>
      <c r="D51" s="4" t="s">
        <v>36</v>
      </c>
      <c r="E51" s="19">
        <f>I29</f>
        <v>1.4</v>
      </c>
      <c r="F51" s="1" t="s">
        <v>51</v>
      </c>
      <c r="Q51" s="1" t="s">
        <v>92</v>
      </c>
      <c r="S51" s="17">
        <f>1.2*2*B72*B72*3.1415/4+1.2*B72*3.1415*(X33-0.05)</f>
        <v>2.0568028800000002</v>
      </c>
      <c r="T51" s="1" t="s">
        <v>67</v>
      </c>
      <c r="U51" s="29">
        <v>50</v>
      </c>
      <c r="V51" s="1" t="s">
        <v>68</v>
      </c>
      <c r="X51" s="33">
        <f>S51*U51*1.4</f>
        <v>143.9762016</v>
      </c>
      <c r="Y51" s="1" t="s">
        <v>68</v>
      </c>
    </row>
    <row r="52" spans="1:25" x14ac:dyDescent="0.25">
      <c r="A52" s="4" t="s">
        <v>26</v>
      </c>
      <c r="B52" s="19">
        <f>B24*B27*B28</f>
        <v>9.0404599999999995</v>
      </c>
      <c r="C52" s="1" t="s">
        <v>44</v>
      </c>
      <c r="D52" s="4" t="s">
        <v>26</v>
      </c>
      <c r="E52" s="19">
        <f>I24*I27*I28</f>
        <v>11.99</v>
      </c>
      <c r="F52" s="1" t="s">
        <v>44</v>
      </c>
      <c r="G52" s="37" t="s">
        <v>93</v>
      </c>
      <c r="O52" s="1" t="s">
        <v>94</v>
      </c>
    </row>
    <row r="53" spans="1:25" x14ac:dyDescent="0.25">
      <c r="A53" s="4" t="s">
        <v>38</v>
      </c>
      <c r="B53" s="19">
        <f>B30</f>
        <v>310</v>
      </c>
      <c r="C53" s="1" t="s">
        <v>52</v>
      </c>
      <c r="D53" s="4" t="s">
        <v>38</v>
      </c>
      <c r="E53" s="19">
        <f>I30</f>
        <v>310</v>
      </c>
      <c r="F53" s="1" t="s">
        <v>52</v>
      </c>
      <c r="O53" s="18">
        <v>20</v>
      </c>
      <c r="Q53" s="1" t="s">
        <v>95</v>
      </c>
      <c r="S53" s="17">
        <f>B299</f>
        <v>139.69999999999999</v>
      </c>
      <c r="T53" s="1" t="s">
        <v>52</v>
      </c>
      <c r="U53" s="33">
        <f>E299/1000</f>
        <v>1.6775</v>
      </c>
      <c r="V53" s="1" t="s">
        <v>58</v>
      </c>
      <c r="X53" s="30">
        <f>E301</f>
        <v>203.12318844535091</v>
      </c>
      <c r="Y53" s="1" t="s">
        <v>68</v>
      </c>
    </row>
    <row r="54" spans="1:25" x14ac:dyDescent="0.25">
      <c r="A54" s="4"/>
      <c r="D54" s="4"/>
    </row>
    <row r="55" spans="1:25" x14ac:dyDescent="0.25">
      <c r="A55" s="4" t="s">
        <v>96</v>
      </c>
      <c r="D55" s="4" t="s">
        <v>96</v>
      </c>
      <c r="Q55" s="1" t="s">
        <v>97</v>
      </c>
      <c r="S55" s="17">
        <f>B310</f>
        <v>76.199999999999989</v>
      </c>
      <c r="T55" s="1" t="s">
        <v>52</v>
      </c>
      <c r="U55" s="1">
        <f>E310/1000</f>
        <v>1.1025</v>
      </c>
      <c r="V55" s="1" t="s">
        <v>58</v>
      </c>
      <c r="X55" s="30">
        <f>E311</f>
        <v>39.718487760446237</v>
      </c>
      <c r="Y55" s="1" t="s">
        <v>68</v>
      </c>
    </row>
    <row r="56" spans="1:25" x14ac:dyDescent="0.25">
      <c r="A56" s="4" t="s">
        <v>78</v>
      </c>
      <c r="B56" s="17">
        <f>1000*B51*B52/B53</f>
        <v>32.370679354838707</v>
      </c>
      <c r="C56" s="1" t="s">
        <v>98</v>
      </c>
      <c r="D56" s="4" t="s">
        <v>78</v>
      </c>
      <c r="E56" s="17">
        <f>1000*E51*E52/E53</f>
        <v>54.148387096774194</v>
      </c>
      <c r="F56" s="1" t="s">
        <v>98</v>
      </c>
      <c r="G56" s="1" t="s">
        <v>99</v>
      </c>
      <c r="J56" s="1" t="s">
        <v>100</v>
      </c>
      <c r="L56" s="29">
        <v>38</v>
      </c>
      <c r="M56" s="1" t="s">
        <v>68</v>
      </c>
      <c r="N56" s="38" t="s">
        <v>101</v>
      </c>
    </row>
    <row r="57" spans="1:25" ht="15.6" x14ac:dyDescent="0.3">
      <c r="X57" s="39">
        <f>SUM(X39:X56)</f>
        <v>5707.0224361160226</v>
      </c>
      <c r="Y57" s="1" t="s">
        <v>68</v>
      </c>
    </row>
    <row r="58" spans="1:25" x14ac:dyDescent="0.25">
      <c r="A58" s="4"/>
      <c r="J58" s="1" t="s">
        <v>102</v>
      </c>
      <c r="K58" s="40">
        <v>0</v>
      </c>
      <c r="L58" s="33">
        <f>S45*(AD33*2+AE33*2)*L56*K58</f>
        <v>0</v>
      </c>
      <c r="M58" s="1" t="s">
        <v>68</v>
      </c>
      <c r="N58" s="41">
        <f>S45*(AD33*2+AE33*2)</f>
        <v>74.4572</v>
      </c>
      <c r="O58" s="1" t="s">
        <v>67</v>
      </c>
    </row>
    <row r="59" spans="1:25" x14ac:dyDescent="0.25">
      <c r="A59" s="3" t="s">
        <v>103</v>
      </c>
      <c r="K59" s="42"/>
      <c r="L59" s="33"/>
      <c r="X59" s="30"/>
    </row>
    <row r="60" spans="1:25" x14ac:dyDescent="0.25">
      <c r="A60" s="4"/>
      <c r="J60" s="1" t="s">
        <v>104</v>
      </c>
      <c r="K60" s="40">
        <v>0</v>
      </c>
      <c r="L60" s="33">
        <f>K60*(4*AE33+8*2+AD33*4)*0.05*L56*1.1*S45/2+K60*L56*0.08*0.12*24*S45/2</f>
        <v>0</v>
      </c>
      <c r="M60" s="1" t="s">
        <v>68</v>
      </c>
    </row>
    <row r="61" spans="1:25" x14ac:dyDescent="0.25">
      <c r="A61" s="4"/>
      <c r="B61" s="1" t="s">
        <v>105</v>
      </c>
      <c r="K61" s="42"/>
      <c r="L61" s="33"/>
    </row>
    <row r="62" spans="1:25" x14ac:dyDescent="0.25">
      <c r="A62" s="4"/>
      <c r="J62" s="1" t="s">
        <v>106</v>
      </c>
      <c r="K62" s="40">
        <v>1</v>
      </c>
      <c r="L62" s="33">
        <f>K62*(4*AE33+8*2+AD33*4)*0.05*L56*1.1*S45/2+K62*L56*0.08*0.12*24*S45/2</f>
        <v>544.44431599999996</v>
      </c>
      <c r="M62" s="1" t="s">
        <v>68</v>
      </c>
    </row>
    <row r="63" spans="1:25" x14ac:dyDescent="0.25">
      <c r="A63" s="4" t="s">
        <v>23</v>
      </c>
      <c r="K63" s="42"/>
      <c r="L63" s="33"/>
    </row>
    <row r="64" spans="1:25" x14ac:dyDescent="0.25">
      <c r="A64" s="4" t="s">
        <v>107</v>
      </c>
      <c r="B64" s="1" t="s">
        <v>108</v>
      </c>
      <c r="J64" s="1" t="s">
        <v>109</v>
      </c>
      <c r="K64" s="40">
        <v>0</v>
      </c>
      <c r="L64" s="33">
        <f>K64*L56*0.08*0.12*24*S45/2</f>
        <v>0</v>
      </c>
      <c r="M64" s="1" t="s">
        <v>68</v>
      </c>
    </row>
    <row r="65" spans="1:14" x14ac:dyDescent="0.25">
      <c r="A65" s="4" t="s">
        <v>110</v>
      </c>
      <c r="B65" s="38">
        <v>3.1415000000000002</v>
      </c>
    </row>
    <row r="66" spans="1:14" x14ac:dyDescent="0.25">
      <c r="A66" s="4" t="s">
        <v>111</v>
      </c>
      <c r="B66" s="1" t="s">
        <v>112</v>
      </c>
      <c r="J66" s="1" t="s">
        <v>113</v>
      </c>
      <c r="M66" s="41">
        <f>(INT(S45/2)+1)*(AD33*2+AE33*2)*3</f>
        <v>121.19999999999999</v>
      </c>
      <c r="N66" s="1" t="s">
        <v>58</v>
      </c>
    </row>
    <row r="67" spans="1:14" x14ac:dyDescent="0.25">
      <c r="A67" s="4" t="s">
        <v>114</v>
      </c>
      <c r="B67" s="1" t="s">
        <v>115</v>
      </c>
    </row>
    <row r="68" spans="1:14" x14ac:dyDescent="0.25">
      <c r="A68" s="4"/>
    </row>
    <row r="69" spans="1:14" x14ac:dyDescent="0.25">
      <c r="A69" s="4" t="s">
        <v>91</v>
      </c>
    </row>
    <row r="70" spans="1:14" x14ac:dyDescent="0.25">
      <c r="A70" s="4"/>
    </row>
    <row r="71" spans="1:14" x14ac:dyDescent="0.25">
      <c r="A71" s="4" t="s">
        <v>111</v>
      </c>
      <c r="B71" s="43">
        <f>J37</f>
        <v>20.6</v>
      </c>
      <c r="C71" s="1" t="s">
        <v>58</v>
      </c>
    </row>
    <row r="72" spans="1:14" x14ac:dyDescent="0.25">
      <c r="A72" s="4" t="s">
        <v>114</v>
      </c>
      <c r="B72" s="17">
        <f>L49</f>
        <v>0.62</v>
      </c>
      <c r="C72" s="1" t="s">
        <v>58</v>
      </c>
    </row>
    <row r="73" spans="1:14" x14ac:dyDescent="0.25">
      <c r="A73" s="4"/>
    </row>
    <row r="74" spans="1:14" x14ac:dyDescent="0.25">
      <c r="A74" s="4" t="s">
        <v>116</v>
      </c>
    </row>
    <row r="75" spans="1:14" x14ac:dyDescent="0.25">
      <c r="A75" s="4" t="s">
        <v>107</v>
      </c>
      <c r="B75" s="44">
        <f>3.1415*B72+2*B71</f>
        <v>43.147730000000003</v>
      </c>
      <c r="C75" s="1" t="s">
        <v>46</v>
      </c>
    </row>
    <row r="76" spans="1:14" x14ac:dyDescent="0.25">
      <c r="A76" s="4"/>
    </row>
    <row r="77" spans="1:14" x14ac:dyDescent="0.25">
      <c r="A77" s="4"/>
    </row>
    <row r="78" spans="1:14" x14ac:dyDescent="0.25">
      <c r="A78" s="3" t="s">
        <v>117</v>
      </c>
    </row>
    <row r="79" spans="1:14" x14ac:dyDescent="0.25">
      <c r="A79" s="4"/>
    </row>
    <row r="80" spans="1:14" x14ac:dyDescent="0.25">
      <c r="A80" s="4"/>
      <c r="B80" s="1" t="s">
        <v>118</v>
      </c>
    </row>
    <row r="81" spans="1:5" x14ac:dyDescent="0.25">
      <c r="A81" s="4"/>
      <c r="C81" s="1" t="s">
        <v>75</v>
      </c>
    </row>
    <row r="82" spans="1:5" x14ac:dyDescent="0.25">
      <c r="A82" s="4" t="s">
        <v>23</v>
      </c>
    </row>
    <row r="83" spans="1:5" x14ac:dyDescent="0.25">
      <c r="A83" s="4" t="s">
        <v>119</v>
      </c>
      <c r="B83" s="1" t="s">
        <v>120</v>
      </c>
    </row>
    <row r="84" spans="1:5" x14ac:dyDescent="0.25">
      <c r="A84" s="4" t="s">
        <v>107</v>
      </c>
      <c r="B84" s="1" t="s">
        <v>121</v>
      </c>
    </row>
    <row r="85" spans="1:5" x14ac:dyDescent="0.25">
      <c r="A85" s="4" t="s">
        <v>28</v>
      </c>
      <c r="B85" s="1" t="s">
        <v>29</v>
      </c>
    </row>
    <row r="86" spans="1:5" x14ac:dyDescent="0.25">
      <c r="A86" s="4" t="s">
        <v>38</v>
      </c>
      <c r="B86" s="1" t="s">
        <v>39</v>
      </c>
    </row>
    <row r="87" spans="1:5" x14ac:dyDescent="0.25">
      <c r="A87" s="4"/>
    </row>
    <row r="88" spans="1:5" x14ac:dyDescent="0.25">
      <c r="A88" s="4" t="s">
        <v>91</v>
      </c>
    </row>
    <row r="89" spans="1:5" x14ac:dyDescent="0.25">
      <c r="A89" s="4" t="s">
        <v>107</v>
      </c>
      <c r="B89" s="44">
        <f>B75</f>
        <v>43.147730000000003</v>
      </c>
      <c r="C89" s="1" t="s">
        <v>58</v>
      </c>
    </row>
    <row r="90" spans="1:5" x14ac:dyDescent="0.25">
      <c r="A90" s="4" t="s">
        <v>28</v>
      </c>
      <c r="B90" s="19">
        <f>B25</f>
        <v>1</v>
      </c>
      <c r="C90" s="1" t="s">
        <v>46</v>
      </c>
    </row>
    <row r="91" spans="1:5" x14ac:dyDescent="0.25">
      <c r="A91" s="4" t="s">
        <v>38</v>
      </c>
      <c r="B91" s="19">
        <f>B30</f>
        <v>310</v>
      </c>
      <c r="C91" s="1" t="s">
        <v>52</v>
      </c>
    </row>
    <row r="92" spans="1:5" x14ac:dyDescent="0.25">
      <c r="A92" s="4"/>
    </row>
    <row r="93" spans="1:5" x14ac:dyDescent="0.25">
      <c r="A93" s="4" t="s">
        <v>116</v>
      </c>
    </row>
    <row r="94" spans="1:5" x14ac:dyDescent="0.25">
      <c r="A94" s="4" t="s">
        <v>119</v>
      </c>
      <c r="B94" s="44">
        <f>1000*B89*B90/B91</f>
        <v>139.18622580645163</v>
      </c>
      <c r="C94" s="1" t="s">
        <v>46</v>
      </c>
      <c r="D94" s="34">
        <f>ROUNDUP(B94,1)</f>
        <v>139.19999999999999</v>
      </c>
      <c r="E94" s="1" t="s">
        <v>86</v>
      </c>
    </row>
    <row r="95" spans="1:5" x14ac:dyDescent="0.25">
      <c r="A95" s="4"/>
    </row>
    <row r="96" spans="1:5" x14ac:dyDescent="0.25">
      <c r="A96" s="3" t="s">
        <v>122</v>
      </c>
    </row>
    <row r="98" spans="1:4" x14ac:dyDescent="0.25">
      <c r="A98" s="4"/>
      <c r="B98" s="1" t="s">
        <v>123</v>
      </c>
    </row>
    <row r="99" spans="1:4" x14ac:dyDescent="0.25">
      <c r="C99" s="38">
        <v>2</v>
      </c>
      <c r="D99" s="1">
        <v>4</v>
      </c>
    </row>
    <row r="100" spans="1:4" x14ac:dyDescent="0.25">
      <c r="A100" s="4" t="s">
        <v>23</v>
      </c>
    </row>
    <row r="101" spans="1:4" x14ac:dyDescent="0.25">
      <c r="A101" s="4" t="s">
        <v>124</v>
      </c>
      <c r="B101" s="1" t="s">
        <v>125</v>
      </c>
    </row>
    <row r="102" spans="1:4" x14ac:dyDescent="0.25">
      <c r="A102" s="4" t="s">
        <v>126</v>
      </c>
      <c r="B102" s="1" t="s">
        <v>127</v>
      </c>
    </row>
    <row r="103" spans="1:4" x14ac:dyDescent="0.25">
      <c r="A103" s="4" t="s">
        <v>119</v>
      </c>
      <c r="B103" s="1" t="s">
        <v>128</v>
      </c>
    </row>
    <row r="104" spans="1:4" x14ac:dyDescent="0.25">
      <c r="A104" s="4" t="s">
        <v>129</v>
      </c>
      <c r="B104" s="1" t="s">
        <v>130</v>
      </c>
    </row>
    <row r="105" spans="1:4" x14ac:dyDescent="0.25">
      <c r="A105" s="4" t="s">
        <v>107</v>
      </c>
      <c r="B105" s="1" t="s">
        <v>121</v>
      </c>
    </row>
    <row r="106" spans="1:4" x14ac:dyDescent="0.25">
      <c r="A106" s="4" t="s">
        <v>131</v>
      </c>
      <c r="B106" s="1" t="s">
        <v>132</v>
      </c>
    </row>
    <row r="108" spans="1:4" x14ac:dyDescent="0.25">
      <c r="A108" s="4" t="s">
        <v>91</v>
      </c>
    </row>
    <row r="109" spans="1:4" x14ac:dyDescent="0.25">
      <c r="A109" s="4" t="s">
        <v>126</v>
      </c>
      <c r="B109" s="17">
        <f>V47</f>
        <v>16.135560000000002</v>
      </c>
      <c r="C109" s="1" t="s">
        <v>68</v>
      </c>
    </row>
    <row r="110" spans="1:4" x14ac:dyDescent="0.25">
      <c r="A110" s="4" t="s">
        <v>119</v>
      </c>
      <c r="B110" s="43">
        <f>B94</f>
        <v>139.18622580645163</v>
      </c>
      <c r="C110" s="1" t="s">
        <v>46</v>
      </c>
    </row>
    <row r="111" spans="1:4" x14ac:dyDescent="0.25">
      <c r="A111" s="4" t="s">
        <v>129</v>
      </c>
      <c r="B111" s="43">
        <f>B223</f>
        <v>11.593982399999998</v>
      </c>
      <c r="C111" s="1" t="s">
        <v>98</v>
      </c>
    </row>
    <row r="112" spans="1:4" x14ac:dyDescent="0.25">
      <c r="A112" s="4" t="s">
        <v>107</v>
      </c>
      <c r="B112" s="44">
        <f>B75</f>
        <v>43.147730000000003</v>
      </c>
      <c r="C112" s="1" t="s">
        <v>58</v>
      </c>
    </row>
    <row r="113" spans="1:5" x14ac:dyDescent="0.25">
      <c r="A113" s="4" t="s">
        <v>131</v>
      </c>
      <c r="B113" s="17">
        <f>I29*I24*I27</f>
        <v>16.785999999999998</v>
      </c>
      <c r="C113" s="1" t="s">
        <v>68</v>
      </c>
    </row>
    <row r="115" spans="1:5" x14ac:dyDescent="0.25">
      <c r="A115" s="4" t="s">
        <v>116</v>
      </c>
    </row>
    <row r="116" spans="1:5" x14ac:dyDescent="0.25">
      <c r="A116" s="4" t="s">
        <v>124</v>
      </c>
      <c r="B116" s="17">
        <f>(B109*B110+B111*B112)/2+(B113*B110)/4</f>
        <v>1957.1458565435246</v>
      </c>
      <c r="C116" s="1" t="s">
        <v>133</v>
      </c>
    </row>
    <row r="117" spans="1:5" x14ac:dyDescent="0.25">
      <c r="A117" s="4"/>
    </row>
    <row r="118" spans="1:5" x14ac:dyDescent="0.25">
      <c r="A118" s="3" t="s">
        <v>134</v>
      </c>
    </row>
    <row r="119" spans="1:5" x14ac:dyDescent="0.25">
      <c r="A119" s="4"/>
    </row>
    <row r="120" spans="1:5" x14ac:dyDescent="0.25">
      <c r="A120" s="4"/>
      <c r="B120" s="1" t="s">
        <v>1385</v>
      </c>
      <c r="E120" s="1" t="s">
        <v>136</v>
      </c>
    </row>
    <row r="121" spans="1:5" x14ac:dyDescent="0.25">
      <c r="A121" s="4"/>
    </row>
    <row r="122" spans="1:5" x14ac:dyDescent="0.25">
      <c r="A122" s="4"/>
      <c r="B122" s="45" t="s">
        <v>1384</v>
      </c>
      <c r="C122" s="45"/>
      <c r="D122" s="45"/>
      <c r="E122" s="45" t="s">
        <v>138</v>
      </c>
    </row>
    <row r="123" spans="1:5" x14ac:dyDescent="0.25">
      <c r="A123" s="4"/>
      <c r="B123" s="45"/>
      <c r="C123" s="62" t="s">
        <v>140</v>
      </c>
      <c r="E123" s="45"/>
    </row>
    <row r="124" spans="1:5" x14ac:dyDescent="0.25">
      <c r="A124" s="4"/>
    </row>
    <row r="125" spans="1:5" x14ac:dyDescent="0.25">
      <c r="A125" s="4" t="s">
        <v>23</v>
      </c>
      <c r="E125" s="38"/>
    </row>
    <row r="126" spans="1:5" x14ac:dyDescent="0.25">
      <c r="A126" s="4" t="s">
        <v>141</v>
      </c>
      <c r="B126" s="1" t="s">
        <v>142</v>
      </c>
    </row>
    <row r="127" spans="1:5" x14ac:dyDescent="0.25">
      <c r="A127" s="4" t="s">
        <v>78</v>
      </c>
      <c r="B127" s="1" t="s">
        <v>79</v>
      </c>
    </row>
    <row r="128" spans="1:5" x14ac:dyDescent="0.25">
      <c r="A128" s="4" t="s">
        <v>111</v>
      </c>
      <c r="B128" s="1" t="s">
        <v>112</v>
      </c>
    </row>
    <row r="129" spans="1:3" x14ac:dyDescent="0.25">
      <c r="A129" s="4" t="s">
        <v>143</v>
      </c>
      <c r="B129" s="1" t="s">
        <v>144</v>
      </c>
    </row>
    <row r="130" spans="1:3" x14ac:dyDescent="0.25">
      <c r="A130" s="4"/>
      <c r="B130" s="1" t="s">
        <v>145</v>
      </c>
    </row>
    <row r="131" spans="1:3" x14ac:dyDescent="0.25">
      <c r="A131" s="4"/>
      <c r="B131" s="1" t="s">
        <v>146</v>
      </c>
    </row>
    <row r="132" spans="1:3" x14ac:dyDescent="0.25">
      <c r="A132" s="4" t="s">
        <v>131</v>
      </c>
      <c r="B132" s="1" t="s">
        <v>132</v>
      </c>
    </row>
    <row r="133" spans="1:3" x14ac:dyDescent="0.25">
      <c r="A133" s="4" t="s">
        <v>147</v>
      </c>
      <c r="B133" s="1" t="s">
        <v>120</v>
      </c>
    </row>
    <row r="134" spans="1:3" x14ac:dyDescent="0.25">
      <c r="A134" s="4"/>
    </row>
    <row r="135" spans="1:3" x14ac:dyDescent="0.25">
      <c r="A135" s="4"/>
    </row>
    <row r="136" spans="1:3" x14ac:dyDescent="0.25">
      <c r="A136" s="4" t="s">
        <v>91</v>
      </c>
    </row>
    <row r="137" spans="1:3" x14ac:dyDescent="0.25">
      <c r="A137" s="4" t="s">
        <v>78</v>
      </c>
      <c r="B137" s="43">
        <f>E56</f>
        <v>54.148387096774194</v>
      </c>
      <c r="C137" s="1" t="s">
        <v>98</v>
      </c>
    </row>
    <row r="138" spans="1:3" x14ac:dyDescent="0.25">
      <c r="A138" s="4" t="s">
        <v>111</v>
      </c>
      <c r="B138" s="43">
        <f>B71</f>
        <v>20.6</v>
      </c>
      <c r="C138" s="1" t="s">
        <v>58</v>
      </c>
    </row>
    <row r="139" spans="1:3" x14ac:dyDescent="0.25">
      <c r="A139" s="4" t="s">
        <v>143</v>
      </c>
      <c r="B139" s="48">
        <v>7</v>
      </c>
      <c r="C139" s="1" t="s">
        <v>58</v>
      </c>
    </row>
    <row r="140" spans="1:3" x14ac:dyDescent="0.25">
      <c r="A140" s="4" t="s">
        <v>131</v>
      </c>
      <c r="B140" s="44">
        <f>B113</f>
        <v>16.785999999999998</v>
      </c>
      <c r="C140" s="1" t="s">
        <v>68</v>
      </c>
    </row>
    <row r="141" spans="1:3" x14ac:dyDescent="0.25">
      <c r="A141" s="4" t="s">
        <v>129</v>
      </c>
      <c r="B141" s="44">
        <f>B111</f>
        <v>11.593982399999998</v>
      </c>
      <c r="C141" s="1" t="s">
        <v>68</v>
      </c>
    </row>
    <row r="142" spans="1:3" x14ac:dyDescent="0.25">
      <c r="A142" s="4" t="s">
        <v>147</v>
      </c>
      <c r="B142" s="44">
        <f>B94</f>
        <v>139.18622580645163</v>
      </c>
      <c r="C142" s="1" t="s">
        <v>46</v>
      </c>
    </row>
    <row r="143" spans="1:3" x14ac:dyDescent="0.25">
      <c r="A143" s="4"/>
    </row>
    <row r="144" spans="1:3" x14ac:dyDescent="0.25">
      <c r="A144" s="4" t="s">
        <v>116</v>
      </c>
    </row>
    <row r="145" spans="1:4" x14ac:dyDescent="0.25">
      <c r="A145" s="4" t="s">
        <v>141</v>
      </c>
      <c r="B145" s="17">
        <f>(B138+12*B72)*B140/(B30/1000)</f>
        <v>1518.3207741935482</v>
      </c>
      <c r="C145" s="1" t="s">
        <v>148</v>
      </c>
      <c r="D145" s="1" t="s">
        <v>149</v>
      </c>
    </row>
    <row r="146" spans="1:4" x14ac:dyDescent="0.25">
      <c r="A146" s="4" t="s">
        <v>141</v>
      </c>
      <c r="B146" s="49">
        <f>0.8*B140*B142*(B138+B139)/B138</f>
        <v>2504.2364125935483</v>
      </c>
      <c r="C146" s="1" t="s">
        <v>148</v>
      </c>
      <c r="D146" s="1" t="s">
        <v>150</v>
      </c>
    </row>
    <row r="147" spans="1:4" x14ac:dyDescent="0.25">
      <c r="A147" s="4"/>
    </row>
    <row r="148" spans="1:4" x14ac:dyDescent="0.25">
      <c r="A148" s="3" t="s">
        <v>151</v>
      </c>
    </row>
    <row r="149" spans="1:4" x14ac:dyDescent="0.25">
      <c r="A149" s="4"/>
    </row>
    <row r="150" spans="1:4" x14ac:dyDescent="0.25">
      <c r="B150" s="1" t="s">
        <v>152</v>
      </c>
    </row>
    <row r="152" spans="1:4" x14ac:dyDescent="0.25">
      <c r="A152" s="4" t="s">
        <v>153</v>
      </c>
    </row>
    <row r="153" spans="1:4" x14ac:dyDescent="0.25">
      <c r="A153" s="4" t="s">
        <v>154</v>
      </c>
      <c r="B153" s="1" t="s">
        <v>155</v>
      </c>
    </row>
    <row r="154" spans="1:4" x14ac:dyDescent="0.25">
      <c r="A154" s="4" t="s">
        <v>141</v>
      </c>
      <c r="B154" s="1" t="s">
        <v>156</v>
      </c>
    </row>
    <row r="155" spans="1:4" x14ac:dyDescent="0.25">
      <c r="A155" s="4" t="s">
        <v>157</v>
      </c>
      <c r="B155" s="1" t="s">
        <v>158</v>
      </c>
    </row>
    <row r="156" spans="1:4" x14ac:dyDescent="0.25">
      <c r="A156" s="4"/>
      <c r="B156" s="1" t="s">
        <v>159</v>
      </c>
    </row>
    <row r="157" spans="1:4" x14ac:dyDescent="0.25">
      <c r="B157" s="1" t="s">
        <v>160</v>
      </c>
    </row>
    <row r="158" spans="1:4" x14ac:dyDescent="0.25">
      <c r="A158" s="4" t="s">
        <v>91</v>
      </c>
    </row>
    <row r="159" spans="1:4" x14ac:dyDescent="0.25">
      <c r="A159" s="4" t="s">
        <v>141</v>
      </c>
      <c r="B159" s="44">
        <f>B146</f>
        <v>2504.2364125935483</v>
      </c>
      <c r="C159" s="1" t="s">
        <v>148</v>
      </c>
    </row>
    <row r="160" spans="1:4" x14ac:dyDescent="0.25">
      <c r="A160" s="4" t="s">
        <v>157</v>
      </c>
      <c r="B160" s="50">
        <v>0.85</v>
      </c>
      <c r="C160" s="1" t="s">
        <v>50</v>
      </c>
    </row>
    <row r="162" spans="1:3" x14ac:dyDescent="0.25">
      <c r="A162" s="4" t="s">
        <v>116</v>
      </c>
    </row>
    <row r="163" spans="1:3" x14ac:dyDescent="0.25">
      <c r="A163" s="4" t="s">
        <v>154</v>
      </c>
      <c r="B163" s="17">
        <f>(1+B160)*B159</f>
        <v>4632.8373632980647</v>
      </c>
      <c r="C163" s="1" t="s">
        <v>148</v>
      </c>
    </row>
    <row r="164" spans="1:3" x14ac:dyDescent="0.25">
      <c r="A164" s="4"/>
    </row>
    <row r="165" spans="1:3" x14ac:dyDescent="0.25">
      <c r="A165" s="3" t="s">
        <v>161</v>
      </c>
    </row>
    <row r="167" spans="1:3" x14ac:dyDescent="0.25">
      <c r="B167" s="1" t="s">
        <v>162</v>
      </c>
    </row>
    <row r="168" spans="1:3" x14ac:dyDescent="0.25">
      <c r="B168" s="51" t="s">
        <v>163</v>
      </c>
    </row>
    <row r="169" spans="1:3" x14ac:dyDescent="0.25">
      <c r="B169" s="1" t="s">
        <v>164</v>
      </c>
    </row>
    <row r="171" spans="1:3" x14ac:dyDescent="0.25">
      <c r="B171" s="1" t="s">
        <v>165</v>
      </c>
    </row>
    <row r="172" spans="1:3" x14ac:dyDescent="0.25">
      <c r="B172" s="1" t="s">
        <v>166</v>
      </c>
    </row>
    <row r="173" spans="1:3" x14ac:dyDescent="0.25">
      <c r="B173" s="1" t="s">
        <v>167</v>
      </c>
    </row>
    <row r="175" spans="1:3" x14ac:dyDescent="0.25">
      <c r="B175" s="1" t="s">
        <v>168</v>
      </c>
    </row>
    <row r="176" spans="1:3" x14ac:dyDescent="0.25">
      <c r="B176" s="1" t="s">
        <v>169</v>
      </c>
    </row>
    <row r="177" spans="1:3" x14ac:dyDescent="0.25">
      <c r="A177" s="1" t="s">
        <v>43</v>
      </c>
    </row>
    <row r="178" spans="1:3" x14ac:dyDescent="0.25">
      <c r="A178" s="4" t="s">
        <v>170</v>
      </c>
      <c r="B178" s="18">
        <v>0.35</v>
      </c>
      <c r="C178" s="1" t="s">
        <v>46</v>
      </c>
    </row>
    <row r="179" spans="1:3" x14ac:dyDescent="0.25">
      <c r="A179" s="4" t="s">
        <v>171</v>
      </c>
      <c r="B179" s="18">
        <v>180</v>
      </c>
      <c r="C179" s="1" t="s">
        <v>172</v>
      </c>
    </row>
    <row r="181" spans="1:3" x14ac:dyDescent="0.25">
      <c r="A181" s="4" t="s">
        <v>116</v>
      </c>
    </row>
    <row r="182" spans="1:3" x14ac:dyDescent="0.25">
      <c r="A182" s="4" t="s">
        <v>173</v>
      </c>
      <c r="B182" s="19">
        <f>1/(POWER(2.71828,(0.0174*B178*B179)))</f>
        <v>0.33413864657348746</v>
      </c>
    </row>
    <row r="183" spans="1:3" x14ac:dyDescent="0.25">
      <c r="A183" s="4"/>
    </row>
    <row r="184" spans="1:3" x14ac:dyDescent="0.25">
      <c r="A184" s="3" t="s">
        <v>174</v>
      </c>
    </row>
    <row r="185" spans="1:3" x14ac:dyDescent="0.25">
      <c r="A185" s="4"/>
    </row>
    <row r="186" spans="1:3" x14ac:dyDescent="0.25">
      <c r="B186" s="1" t="s">
        <v>175</v>
      </c>
    </row>
    <row r="188" spans="1:3" x14ac:dyDescent="0.25">
      <c r="A188" s="4" t="s">
        <v>176</v>
      </c>
      <c r="B188"/>
    </row>
    <row r="189" spans="1:3" x14ac:dyDescent="0.25">
      <c r="A189" s="4" t="s">
        <v>177</v>
      </c>
      <c r="B189" s="19">
        <f>B182*B159</f>
        <v>836.76216560405373</v>
      </c>
      <c r="C189" s="1" t="s">
        <v>133</v>
      </c>
    </row>
    <row r="190" spans="1:3" x14ac:dyDescent="0.25">
      <c r="A190" s="4"/>
      <c r="B190"/>
    </row>
    <row r="191" spans="1:3" x14ac:dyDescent="0.25">
      <c r="A191" s="4" t="s">
        <v>178</v>
      </c>
      <c r="B191" s="44">
        <f>B71*1.5%</f>
        <v>0.309</v>
      </c>
      <c r="C191" s="1" t="s">
        <v>58</v>
      </c>
    </row>
    <row r="194" spans="1:4" x14ac:dyDescent="0.25">
      <c r="A194" s="3" t="s">
        <v>179</v>
      </c>
    </row>
    <row r="195" spans="1:4" x14ac:dyDescent="0.25">
      <c r="A195" s="3"/>
    </row>
    <row r="196" spans="1:4" x14ac:dyDescent="0.25">
      <c r="A196" s="3" t="s">
        <v>180</v>
      </c>
    </row>
    <row r="197" spans="1:4" x14ac:dyDescent="0.25">
      <c r="A197" s="3"/>
    </row>
    <row r="198" spans="1:4" x14ac:dyDescent="0.25">
      <c r="A198" s="3"/>
      <c r="B198" s="1" t="s">
        <v>181</v>
      </c>
      <c r="D198" s="1" t="s">
        <v>182</v>
      </c>
    </row>
    <row r="199" spans="1:4" x14ac:dyDescent="0.25">
      <c r="A199" s="3"/>
      <c r="B199" s="42" t="s">
        <v>183</v>
      </c>
      <c r="D199" s="1" t="s">
        <v>184</v>
      </c>
    </row>
    <row r="200" spans="1:4" x14ac:dyDescent="0.25">
      <c r="A200" s="3"/>
      <c r="B200" s="42"/>
    </row>
    <row r="201" spans="1:4" x14ac:dyDescent="0.25">
      <c r="A201" s="52" t="s">
        <v>185</v>
      </c>
    </row>
    <row r="202" spans="1:4" x14ac:dyDescent="0.25">
      <c r="A202" s="53" t="s">
        <v>186</v>
      </c>
      <c r="B202" s="1" t="s">
        <v>187</v>
      </c>
    </row>
    <row r="203" spans="1:4" x14ac:dyDescent="0.25">
      <c r="A203" s="4" t="s">
        <v>188</v>
      </c>
      <c r="B203" s="1" t="s">
        <v>189</v>
      </c>
    </row>
    <row r="204" spans="1:4" x14ac:dyDescent="0.25">
      <c r="A204" s="4" t="s">
        <v>190</v>
      </c>
      <c r="B204" s="1" t="s">
        <v>191</v>
      </c>
    </row>
    <row r="205" spans="1:4" x14ac:dyDescent="0.25">
      <c r="A205" s="4" t="s">
        <v>154</v>
      </c>
      <c r="B205" s="1" t="s">
        <v>192</v>
      </c>
    </row>
    <row r="206" spans="1:4" x14ac:dyDescent="0.25">
      <c r="A206" s="4" t="s">
        <v>70</v>
      </c>
      <c r="B206" s="1" t="s">
        <v>193</v>
      </c>
    </row>
    <row r="207" spans="1:4" x14ac:dyDescent="0.25">
      <c r="A207" s="4" t="s">
        <v>194</v>
      </c>
      <c r="B207" s="1" t="s">
        <v>195</v>
      </c>
    </row>
    <row r="208" spans="1:4" x14ac:dyDescent="0.25">
      <c r="A208" s="52" t="s">
        <v>43</v>
      </c>
    </row>
    <row r="209" spans="1:11" x14ac:dyDescent="0.25">
      <c r="A209" s="4" t="s">
        <v>154</v>
      </c>
      <c r="B209" s="17">
        <f>B163</f>
        <v>4632.8373632980647</v>
      </c>
      <c r="C209" s="1" t="s">
        <v>133</v>
      </c>
    </row>
    <row r="210" spans="1:11" x14ac:dyDescent="0.25">
      <c r="A210" s="4" t="s">
        <v>190</v>
      </c>
      <c r="B210" s="17">
        <f>W33*25.4/10</f>
        <v>55.879999999999995</v>
      </c>
      <c r="C210" s="1" t="s">
        <v>196</v>
      </c>
    </row>
    <row r="211" spans="1:11" x14ac:dyDescent="0.25">
      <c r="A211" s="4" t="s">
        <v>197</v>
      </c>
      <c r="B211" s="19">
        <f>B163</f>
        <v>4632.8373632980647</v>
      </c>
      <c r="C211" s="1" t="s">
        <v>133</v>
      </c>
    </row>
    <row r="213" spans="1:11" x14ac:dyDescent="0.25">
      <c r="A213" s="4" t="s">
        <v>70</v>
      </c>
      <c r="B213" s="34">
        <f>J41</f>
        <v>33</v>
      </c>
      <c r="C213" s="1" t="s">
        <v>71</v>
      </c>
    </row>
    <row r="214" spans="1:11" x14ac:dyDescent="0.25">
      <c r="A214" s="4"/>
    </row>
    <row r="215" spans="1:11" x14ac:dyDescent="0.25">
      <c r="A215" s="52" t="s">
        <v>55</v>
      </c>
    </row>
    <row r="216" spans="1:11" x14ac:dyDescent="0.25">
      <c r="A216" s="52"/>
    </row>
    <row r="217" spans="1:11" x14ac:dyDescent="0.25">
      <c r="A217" s="4" t="s">
        <v>188</v>
      </c>
      <c r="B217" s="19">
        <f>B211/B210</f>
        <v>82.906896265176542</v>
      </c>
      <c r="C217" s="1" t="s">
        <v>198</v>
      </c>
    </row>
    <row r="218" spans="1:11" x14ac:dyDescent="0.25">
      <c r="A218" s="4" t="s">
        <v>186</v>
      </c>
      <c r="B218" s="19">
        <f>B217/B213</f>
        <v>2.5123301898538344</v>
      </c>
      <c r="C218" s="1" t="s">
        <v>81</v>
      </c>
    </row>
    <row r="219" spans="1:11" x14ac:dyDescent="0.25">
      <c r="A219" s="38" t="s">
        <v>199</v>
      </c>
    </row>
    <row r="220" spans="1:11" x14ac:dyDescent="0.25">
      <c r="A220" s="4" t="s">
        <v>200</v>
      </c>
      <c r="B220" s="34">
        <f>L45</f>
        <v>4</v>
      </c>
      <c r="C220" s="1" t="s">
        <v>81</v>
      </c>
      <c r="F220" s="240" t="s">
        <v>201</v>
      </c>
      <c r="G220" s="240"/>
      <c r="H220" s="240"/>
      <c r="I220" s="240"/>
      <c r="J220" s="240"/>
      <c r="K220" s="240"/>
    </row>
    <row r="221" spans="1:11" x14ac:dyDescent="0.25">
      <c r="A221" s="4" t="s">
        <v>202</v>
      </c>
      <c r="B221" s="18">
        <v>3.2</v>
      </c>
      <c r="C221" s="1" t="s">
        <v>52</v>
      </c>
    </row>
    <row r="222" spans="1:11" x14ac:dyDescent="0.25">
      <c r="A222" s="4"/>
    </row>
    <row r="223" spans="1:11" x14ac:dyDescent="0.25">
      <c r="A223" s="55" t="s">
        <v>129</v>
      </c>
      <c r="B223" s="43">
        <f>(B220*2.3*1.33+B221*2*1.33)*B210/100</f>
        <v>11.593982399999998</v>
      </c>
      <c r="C223" s="1" t="s">
        <v>203</v>
      </c>
    </row>
    <row r="224" spans="1:11" x14ac:dyDescent="0.25">
      <c r="A224" s="4"/>
    </row>
    <row r="225" spans="1:3" x14ac:dyDescent="0.25">
      <c r="A225" s="3" t="s">
        <v>204</v>
      </c>
    </row>
    <row r="227" spans="1:3" x14ac:dyDescent="0.25">
      <c r="B227" s="1" t="s">
        <v>205</v>
      </c>
    </row>
    <row r="228" spans="1:3" x14ac:dyDescent="0.25">
      <c r="B228" s="1" t="s">
        <v>206</v>
      </c>
    </row>
    <row r="229" spans="1:3" x14ac:dyDescent="0.25">
      <c r="A229" s="1" t="s">
        <v>207</v>
      </c>
    </row>
    <row r="230" spans="1:3" x14ac:dyDescent="0.25">
      <c r="A230" s="4" t="s">
        <v>197</v>
      </c>
      <c r="B230" s="19">
        <f>B211</f>
        <v>4632.8373632980647</v>
      </c>
      <c r="C230" s="1" t="s">
        <v>133</v>
      </c>
    </row>
    <row r="231" spans="1:3" x14ac:dyDescent="0.25">
      <c r="A231" s="4" t="s">
        <v>190</v>
      </c>
      <c r="B231" s="19">
        <f>B210</f>
        <v>55.879999999999995</v>
      </c>
      <c r="C231" s="1" t="s">
        <v>196</v>
      </c>
    </row>
    <row r="232" spans="1:3" x14ac:dyDescent="0.25">
      <c r="A232" s="4" t="s">
        <v>208</v>
      </c>
      <c r="B232" s="19">
        <f>B220</f>
        <v>4</v>
      </c>
      <c r="C232" s="1" t="s">
        <v>46</v>
      </c>
    </row>
    <row r="233" spans="1:3" x14ac:dyDescent="0.25">
      <c r="A233" s="4" t="s">
        <v>209</v>
      </c>
      <c r="B233" s="19">
        <f>B213</f>
        <v>33</v>
      </c>
      <c r="C233" s="1" t="s">
        <v>210</v>
      </c>
    </row>
    <row r="235" spans="1:3" x14ac:dyDescent="0.25">
      <c r="A235" s="4" t="s">
        <v>211</v>
      </c>
      <c r="B235" s="17">
        <f>B230*100/(B231*B232*B233)</f>
        <v>62.80825474634586</v>
      </c>
      <c r="C235" s="32" t="s">
        <v>212</v>
      </c>
    </row>
    <row r="236" spans="1:3" x14ac:dyDescent="0.25">
      <c r="A236" s="4"/>
    </row>
    <row r="238" spans="1:3" x14ac:dyDescent="0.25">
      <c r="A238" s="3" t="s">
        <v>213</v>
      </c>
      <c r="B238" s="3"/>
    </row>
    <row r="240" spans="1:3" x14ac:dyDescent="0.25">
      <c r="A240" s="3" t="s">
        <v>214</v>
      </c>
    </row>
    <row r="241" spans="1:2" x14ac:dyDescent="0.25">
      <c r="B241" s="1" t="s">
        <v>215</v>
      </c>
    </row>
    <row r="243" spans="1:2" ht="15" x14ac:dyDescent="0.25">
      <c r="B243" s="1" t="s">
        <v>216</v>
      </c>
    </row>
    <row r="244" spans="1:2" x14ac:dyDescent="0.25">
      <c r="B244" s="4">
        <v>2</v>
      </c>
    </row>
    <row r="246" spans="1:2" ht="15" x14ac:dyDescent="0.25">
      <c r="B246" s="1" t="s">
        <v>217</v>
      </c>
    </row>
    <row r="247" spans="1:2" x14ac:dyDescent="0.25">
      <c r="B247" s="1" t="s">
        <v>218</v>
      </c>
    </row>
    <row r="249" spans="1:2" ht="17.399999999999999" x14ac:dyDescent="0.25">
      <c r="B249" s="1" t="s">
        <v>219</v>
      </c>
    </row>
    <row r="252" spans="1:2" ht="15" x14ac:dyDescent="0.25">
      <c r="B252" s="1" t="s">
        <v>220</v>
      </c>
    </row>
    <row r="253" spans="1:2" x14ac:dyDescent="0.25">
      <c r="B253" s="1" t="s">
        <v>221</v>
      </c>
    </row>
    <row r="255" spans="1:2" x14ac:dyDescent="0.25">
      <c r="A255" s="3" t="s">
        <v>222</v>
      </c>
    </row>
    <row r="257" spans="1:2" x14ac:dyDescent="0.25">
      <c r="B257" s="1" t="s">
        <v>223</v>
      </c>
    </row>
    <row r="259" spans="1:2" ht="15" x14ac:dyDescent="0.25">
      <c r="B259" s="1" t="s">
        <v>224</v>
      </c>
    </row>
    <row r="260" spans="1:2" x14ac:dyDescent="0.25">
      <c r="B260" s="4">
        <v>2</v>
      </c>
    </row>
    <row r="262" spans="1:2" ht="15" x14ac:dyDescent="0.25">
      <c r="B262" s="1" t="s">
        <v>225</v>
      </c>
    </row>
    <row r="263" spans="1:2" x14ac:dyDescent="0.25">
      <c r="B263" s="1" t="s">
        <v>221</v>
      </c>
    </row>
    <row r="265" spans="1:2" x14ac:dyDescent="0.25">
      <c r="A265" s="1" t="s">
        <v>23</v>
      </c>
    </row>
    <row r="266" spans="1:2" x14ac:dyDescent="0.25">
      <c r="B266" s="1" t="s">
        <v>226</v>
      </c>
    </row>
    <row r="267" spans="1:2" x14ac:dyDescent="0.25">
      <c r="B267" s="1" t="s">
        <v>227</v>
      </c>
    </row>
    <row r="268" spans="1:2" x14ac:dyDescent="0.25">
      <c r="B268" s="1" t="s">
        <v>228</v>
      </c>
    </row>
    <row r="269" spans="1:2" x14ac:dyDescent="0.25">
      <c r="B269" s="1" t="s">
        <v>229</v>
      </c>
    </row>
    <row r="270" spans="1:2" ht="15.6" x14ac:dyDescent="0.25">
      <c r="B270" s="52" t="s">
        <v>230</v>
      </c>
    </row>
    <row r="271" spans="1:2" x14ac:dyDescent="0.25">
      <c r="B271" s="1" t="s">
        <v>231</v>
      </c>
    </row>
    <row r="272" spans="1:2" x14ac:dyDescent="0.25">
      <c r="B272" s="1" t="s">
        <v>232</v>
      </c>
    </row>
    <row r="273" spans="1:16" x14ac:dyDescent="0.25">
      <c r="B273" s="1" t="s">
        <v>233</v>
      </c>
    </row>
    <row r="274" spans="1:16" x14ac:dyDescent="0.25">
      <c r="B274" s="1" t="s">
        <v>234</v>
      </c>
    </row>
    <row r="275" spans="1:16" x14ac:dyDescent="0.25">
      <c r="B275" s="1" t="s">
        <v>235</v>
      </c>
    </row>
    <row r="276" spans="1:16" x14ac:dyDescent="0.25">
      <c r="B276" s="1" t="s">
        <v>236</v>
      </c>
    </row>
    <row r="277" spans="1:16" x14ac:dyDescent="0.25">
      <c r="B277" s="1" t="s">
        <v>237</v>
      </c>
    </row>
    <row r="278" spans="1:16" x14ac:dyDescent="0.25">
      <c r="B278" s="1" t="s">
        <v>238</v>
      </c>
    </row>
    <row r="279" spans="1:16" x14ac:dyDescent="0.25">
      <c r="B279" s="1" t="s">
        <v>239</v>
      </c>
    </row>
    <row r="281" spans="1:16" x14ac:dyDescent="0.25">
      <c r="A281" s="3" t="s">
        <v>240</v>
      </c>
      <c r="K281" s="9" t="s">
        <v>241</v>
      </c>
      <c r="L281" s="9"/>
      <c r="O281" s="241" t="s">
        <v>242</v>
      </c>
      <c r="P281" s="241"/>
    </row>
    <row r="282" spans="1:16" ht="15.6" x14ac:dyDescent="0.3">
      <c r="A282" s="1" t="s">
        <v>243</v>
      </c>
      <c r="K282" s="9" t="s">
        <v>244</v>
      </c>
      <c r="L282" s="9" t="s">
        <v>245</v>
      </c>
      <c r="O282" s="56">
        <v>25</v>
      </c>
      <c r="P282" s="56">
        <v>140</v>
      </c>
    </row>
    <row r="283" spans="1:16" x14ac:dyDescent="0.25">
      <c r="K283" s="9">
        <v>20</v>
      </c>
      <c r="L283" s="9">
        <v>67</v>
      </c>
      <c r="O283" s="56">
        <v>30</v>
      </c>
      <c r="P283" s="56">
        <v>150</v>
      </c>
    </row>
    <row r="284" spans="1:16" x14ac:dyDescent="0.25">
      <c r="A284" s="4" t="s">
        <v>246</v>
      </c>
      <c r="B284" s="18">
        <v>120</v>
      </c>
      <c r="C284" s="1" t="s">
        <v>133</v>
      </c>
      <c r="K284" s="9">
        <v>25</v>
      </c>
      <c r="L284" s="9">
        <v>77</v>
      </c>
      <c r="O284" s="56">
        <v>35</v>
      </c>
      <c r="P284" s="56">
        <v>180</v>
      </c>
    </row>
    <row r="285" spans="1:16" ht="14.4" x14ac:dyDescent="0.3">
      <c r="A285" s="4" t="s">
        <v>247</v>
      </c>
      <c r="B285" s="57">
        <f>(VLOOKUP(D26,P11:AC31,14,)+I298/2)/10-6</f>
        <v>16</v>
      </c>
      <c r="C285" s="1" t="s">
        <v>196</v>
      </c>
      <c r="K285" s="9">
        <v>30</v>
      </c>
      <c r="L285" s="9">
        <v>82</v>
      </c>
      <c r="O285" s="56">
        <v>40</v>
      </c>
      <c r="P285" s="56">
        <v>210</v>
      </c>
    </row>
    <row r="286" spans="1:16" x14ac:dyDescent="0.25">
      <c r="A286" s="4" t="s">
        <v>248</v>
      </c>
      <c r="B286" s="17">
        <f>B163</f>
        <v>4632.8373632980647</v>
      </c>
      <c r="C286" s="1" t="s">
        <v>68</v>
      </c>
      <c r="K286" s="9">
        <v>35</v>
      </c>
      <c r="L286" s="9">
        <v>85</v>
      </c>
      <c r="O286" s="56">
        <v>45</v>
      </c>
      <c r="P286" s="56">
        <v>240</v>
      </c>
    </row>
    <row r="287" spans="1:16" x14ac:dyDescent="0.25">
      <c r="A287" s="4" t="s">
        <v>147</v>
      </c>
      <c r="B287" s="17">
        <f>B377</f>
        <v>22.5</v>
      </c>
      <c r="C287" s="1" t="s">
        <v>249</v>
      </c>
      <c r="K287" s="9">
        <v>40</v>
      </c>
      <c r="L287" s="9">
        <v>85</v>
      </c>
      <c r="O287" s="56">
        <v>50</v>
      </c>
      <c r="P287" s="56">
        <v>240</v>
      </c>
    </row>
    <row r="288" spans="1:16" x14ac:dyDescent="0.25">
      <c r="A288" s="4" t="s">
        <v>114</v>
      </c>
      <c r="B288" s="17">
        <f>B72*100</f>
        <v>62</v>
      </c>
      <c r="C288" s="1" t="s">
        <v>196</v>
      </c>
      <c r="K288" s="9">
        <v>45</v>
      </c>
      <c r="L288" s="9">
        <v>90</v>
      </c>
      <c r="O288" s="56">
        <v>55</v>
      </c>
      <c r="P288" s="56">
        <v>280</v>
      </c>
    </row>
    <row r="289" spans="1:16" x14ac:dyDescent="0.25">
      <c r="A289" s="4" t="s">
        <v>30</v>
      </c>
      <c r="B289" s="17">
        <f>B26</f>
        <v>1.5249999999999999</v>
      </c>
      <c r="C289" s="1" t="s">
        <v>48</v>
      </c>
      <c r="K289" s="9">
        <v>50</v>
      </c>
      <c r="L289" s="9">
        <v>95</v>
      </c>
      <c r="O289" s="56">
        <v>60</v>
      </c>
      <c r="P289" s="56">
        <v>280</v>
      </c>
    </row>
    <row r="290" spans="1:16" x14ac:dyDescent="0.25">
      <c r="A290" s="4" t="s">
        <v>250</v>
      </c>
      <c r="B290" s="50">
        <v>2</v>
      </c>
      <c r="C290" s="1" t="s">
        <v>46</v>
      </c>
      <c r="K290" s="9">
        <v>55</v>
      </c>
      <c r="L290" s="9">
        <v>105</v>
      </c>
      <c r="O290" s="56">
        <v>65</v>
      </c>
      <c r="P290" s="56">
        <v>280</v>
      </c>
    </row>
    <row r="291" spans="1:16" x14ac:dyDescent="0.25">
      <c r="A291" s="4" t="s">
        <v>251</v>
      </c>
      <c r="B291" s="50">
        <v>1.5</v>
      </c>
      <c r="C291" s="1" t="s">
        <v>46</v>
      </c>
      <c r="K291" s="9">
        <v>60</v>
      </c>
      <c r="L291" s="9">
        <v>110</v>
      </c>
      <c r="O291" s="56">
        <v>70</v>
      </c>
      <c r="P291" s="56">
        <v>345</v>
      </c>
    </row>
    <row r="292" spans="1:16" x14ac:dyDescent="0.25">
      <c r="A292" s="4" t="s">
        <v>252</v>
      </c>
      <c r="B292" s="19">
        <f>B285*B286/2</f>
        <v>37062.698906384518</v>
      </c>
      <c r="C292" s="1" t="s">
        <v>253</v>
      </c>
      <c r="K292" s="9">
        <v>65</v>
      </c>
      <c r="L292" s="9">
        <v>115</v>
      </c>
      <c r="O292" s="56">
        <v>75</v>
      </c>
      <c r="P292" s="56">
        <v>345</v>
      </c>
    </row>
    <row r="293" spans="1:16" x14ac:dyDescent="0.25">
      <c r="A293" s="4" t="s">
        <v>254</v>
      </c>
      <c r="B293" s="19">
        <f>B287*38*B288/B289</f>
        <v>34760.655737704918</v>
      </c>
      <c r="C293" s="1" t="s">
        <v>253</v>
      </c>
      <c r="K293" s="9">
        <v>70</v>
      </c>
      <c r="L293" s="9">
        <v>120</v>
      </c>
      <c r="O293" s="56">
        <v>80</v>
      </c>
      <c r="P293" s="56">
        <v>405</v>
      </c>
    </row>
    <row r="294" spans="1:16" x14ac:dyDescent="0.25">
      <c r="A294" s="4" t="s">
        <v>255</v>
      </c>
      <c r="B294" s="19">
        <f>POWER((POWER(B291*B292,2)+POWER(B290*B293,2)),0.5)</f>
        <v>89016.352218386892</v>
      </c>
      <c r="C294" s="1" t="s">
        <v>253</v>
      </c>
      <c r="K294" s="9">
        <v>75</v>
      </c>
      <c r="L294" s="9">
        <v>125</v>
      </c>
      <c r="O294" s="56">
        <v>85</v>
      </c>
      <c r="P294" s="56">
        <v>405</v>
      </c>
    </row>
    <row r="295" spans="1:16" x14ac:dyDescent="0.25">
      <c r="K295" s="9">
        <v>80</v>
      </c>
      <c r="L295" s="9">
        <v>140</v>
      </c>
      <c r="O295" s="56">
        <v>90</v>
      </c>
      <c r="P295" s="56">
        <v>405</v>
      </c>
    </row>
    <row r="296" spans="1:16" x14ac:dyDescent="0.25">
      <c r="A296" s="1" t="s">
        <v>256</v>
      </c>
      <c r="D296" s="1" t="s">
        <v>257</v>
      </c>
      <c r="K296" s="9">
        <v>85</v>
      </c>
      <c r="L296" s="9">
        <v>145</v>
      </c>
      <c r="O296" s="56">
        <v>95</v>
      </c>
      <c r="P296" s="56">
        <v>405</v>
      </c>
    </row>
    <row r="297" spans="1:16" x14ac:dyDescent="0.25">
      <c r="A297" s="4" t="s">
        <v>258</v>
      </c>
      <c r="B297" s="19">
        <f>10*POWER(((16*B294)/(3.1415*560)),1/3)</f>
        <v>93.201212359249979</v>
      </c>
      <c r="C297" s="1" t="s">
        <v>52</v>
      </c>
      <c r="D297" s="4" t="s">
        <v>258</v>
      </c>
      <c r="E297" s="17">
        <f>B337</f>
        <v>129.59152855107914</v>
      </c>
      <c r="F297" s="1" t="s">
        <v>52</v>
      </c>
      <c r="H297" s="4" t="s">
        <v>259</v>
      </c>
      <c r="I297" s="19" cm="1">
        <f t="array" ref="I297">SUMPRODUCT(LARGE((K283:K311&gt;E297)*(K283:K311),COUNTIF(K283:K311,"&gt;"&amp;E297)))-O53</f>
        <v>115</v>
      </c>
      <c r="J297" s="1" t="s">
        <v>52</v>
      </c>
      <c r="K297" s="9">
        <v>90</v>
      </c>
      <c r="L297" s="9">
        <v>160</v>
      </c>
      <c r="O297" s="56">
        <v>100</v>
      </c>
      <c r="P297" s="56">
        <v>485</v>
      </c>
    </row>
    <row r="298" spans="1:16" x14ac:dyDescent="0.25">
      <c r="A298" s="1" t="s">
        <v>199</v>
      </c>
      <c r="H298" s="4" t="s">
        <v>260</v>
      </c>
      <c r="I298" s="18">
        <v>190</v>
      </c>
      <c r="J298" s="1" t="s">
        <v>52</v>
      </c>
      <c r="K298" s="9">
        <v>100</v>
      </c>
      <c r="L298" s="9">
        <v>175</v>
      </c>
      <c r="O298" s="56">
        <v>105</v>
      </c>
      <c r="P298" s="56">
        <v>485</v>
      </c>
    </row>
    <row r="299" spans="1:16" x14ac:dyDescent="0.25">
      <c r="A299" s="4" t="s">
        <v>261</v>
      </c>
      <c r="B299" s="43">
        <f>ROUNDUP(E297/12.7,0)/2*25.4</f>
        <v>139.69999999999999</v>
      </c>
      <c r="C299" s="1" t="s">
        <v>52</v>
      </c>
      <c r="E299" s="1">
        <f>B329*10+VLOOKUP(I297-5,K283:L311,2,)+I297/2+P313</f>
        <v>1677.5</v>
      </c>
      <c r="F299" s="1" t="s">
        <v>52</v>
      </c>
      <c r="K299" s="9">
        <v>110</v>
      </c>
      <c r="L299" s="9">
        <v>185</v>
      </c>
      <c r="O299" s="56">
        <v>110</v>
      </c>
      <c r="P299" s="56">
        <v>580</v>
      </c>
    </row>
    <row r="300" spans="1:16" x14ac:dyDescent="0.25">
      <c r="K300" s="9">
        <v>115</v>
      </c>
      <c r="L300" s="9">
        <v>190</v>
      </c>
      <c r="O300" s="56">
        <v>115</v>
      </c>
      <c r="P300" s="56">
        <v>580</v>
      </c>
    </row>
    <row r="301" spans="1:16" x14ac:dyDescent="0.25">
      <c r="A301" s="3" t="s">
        <v>262</v>
      </c>
      <c r="E301" s="30">
        <f>(((B299/100)*(B299/100)*3.1415/4)*E299/100)*7.9</f>
        <v>203.12318844535091</v>
      </c>
      <c r="F301" s="1" t="s">
        <v>68</v>
      </c>
      <c r="K301" s="9">
        <v>125</v>
      </c>
      <c r="L301" s="9">
        <v>205</v>
      </c>
      <c r="O301" s="56">
        <v>120</v>
      </c>
      <c r="P301" s="56">
        <v>580</v>
      </c>
    </row>
    <row r="302" spans="1:16" ht="15.6" x14ac:dyDescent="0.3">
      <c r="A302" s="1" t="s">
        <v>243</v>
      </c>
      <c r="K302" s="9">
        <v>135</v>
      </c>
      <c r="L302" s="9">
        <v>180</v>
      </c>
      <c r="O302" s="56">
        <v>125</v>
      </c>
      <c r="P302" s="56">
        <v>580</v>
      </c>
    </row>
    <row r="303" spans="1:16" x14ac:dyDescent="0.25">
      <c r="A303" s="4" t="s">
        <v>247</v>
      </c>
      <c r="B303" s="34">
        <f>B285</f>
        <v>16</v>
      </c>
      <c r="C303" s="1" t="s">
        <v>196</v>
      </c>
      <c r="K303" s="9">
        <v>140</v>
      </c>
      <c r="L303" s="9">
        <v>190</v>
      </c>
      <c r="O303" s="56">
        <v>135</v>
      </c>
      <c r="P303" s="56">
        <v>660</v>
      </c>
    </row>
    <row r="304" spans="1:16" x14ac:dyDescent="0.25">
      <c r="A304" s="4" t="s">
        <v>263</v>
      </c>
      <c r="B304" s="17">
        <f>B189</f>
        <v>836.76216560405373</v>
      </c>
      <c r="C304" s="1" t="s">
        <v>68</v>
      </c>
      <c r="K304" s="9">
        <v>150</v>
      </c>
      <c r="L304" s="9">
        <v>205</v>
      </c>
      <c r="O304" s="56">
        <v>140</v>
      </c>
      <c r="P304" s="56">
        <v>660</v>
      </c>
    </row>
    <row r="305" spans="1:16" x14ac:dyDescent="0.25">
      <c r="A305" s="4" t="s">
        <v>251</v>
      </c>
      <c r="B305" s="50">
        <v>1.5</v>
      </c>
      <c r="C305" s="1" t="s">
        <v>46</v>
      </c>
      <c r="K305" s="9">
        <v>160</v>
      </c>
      <c r="L305" s="9">
        <v>210</v>
      </c>
      <c r="O305" s="56">
        <v>150</v>
      </c>
      <c r="P305" s="56">
        <v>660</v>
      </c>
    </row>
    <row r="306" spans="1:16" x14ac:dyDescent="0.25">
      <c r="A306" s="4"/>
      <c r="H306" s="1" t="s">
        <v>264</v>
      </c>
      <c r="I306" s="18">
        <v>5</v>
      </c>
      <c r="K306" s="9">
        <v>170</v>
      </c>
      <c r="L306" s="9">
        <v>220</v>
      </c>
      <c r="O306" s="56">
        <v>170</v>
      </c>
      <c r="P306" s="56">
        <v>760</v>
      </c>
    </row>
    <row r="307" spans="1:16" x14ac:dyDescent="0.25">
      <c r="A307" s="1" t="s">
        <v>256</v>
      </c>
      <c r="D307" s="1" t="s">
        <v>257</v>
      </c>
      <c r="K307" s="9">
        <v>180</v>
      </c>
      <c r="L307" s="9">
        <v>235</v>
      </c>
      <c r="O307" s="56">
        <v>180</v>
      </c>
      <c r="P307" s="56">
        <v>760</v>
      </c>
    </row>
    <row r="308" spans="1:16" x14ac:dyDescent="0.25">
      <c r="A308" s="4" t="s">
        <v>258</v>
      </c>
      <c r="B308" s="19">
        <f>10*POWER((32*B285*B304*B305)/(3.1415*560*2),1/3)</f>
        <v>56.737394671322221</v>
      </c>
      <c r="C308" s="1" t="s">
        <v>52</v>
      </c>
      <c r="D308" s="4" t="s">
        <v>258</v>
      </c>
      <c r="E308" s="17">
        <f>B351</f>
        <v>75.726638750710535</v>
      </c>
      <c r="F308" s="1" t="s">
        <v>52</v>
      </c>
      <c r="H308" s="4" t="s">
        <v>259</v>
      </c>
      <c r="I308" s="19" cm="1">
        <f t="array" ref="I308">SUMPRODUCT(LARGE((K283:K311&gt;E308)*(K283:K311),COUNTIF(K283:K311,"&gt;"&amp;E308)))-I306</f>
        <v>75</v>
      </c>
      <c r="J308" s="1" t="s">
        <v>52</v>
      </c>
      <c r="K308" s="9">
        <v>200</v>
      </c>
      <c r="L308" s="9">
        <v>255</v>
      </c>
      <c r="O308" s="56">
        <v>200</v>
      </c>
      <c r="P308" s="56">
        <v>760</v>
      </c>
    </row>
    <row r="309" spans="1:16" x14ac:dyDescent="0.25">
      <c r="A309" s="1" t="s">
        <v>265</v>
      </c>
      <c r="K309" s="9">
        <v>220</v>
      </c>
      <c r="L309" s="9">
        <v>265</v>
      </c>
      <c r="O309" s="56">
        <v>220</v>
      </c>
      <c r="P309" s="56">
        <v>800</v>
      </c>
    </row>
    <row r="310" spans="1:16" x14ac:dyDescent="0.25">
      <c r="A310" s="4" t="s">
        <v>266</v>
      </c>
      <c r="B310" s="18">
        <f>3*25.4</f>
        <v>76.199999999999989</v>
      </c>
      <c r="C310" s="1" t="s">
        <v>52</v>
      </c>
      <c r="E310" s="1">
        <f>B329*10+VLOOKUP(I308-10,K283:L311,2,)+I308/2</f>
        <v>1102.5</v>
      </c>
      <c r="F310" s="1" t="s">
        <v>52</v>
      </c>
      <c r="K310" s="9">
        <v>240</v>
      </c>
      <c r="L310" s="9">
        <v>285</v>
      </c>
      <c r="O310" s="56">
        <v>240</v>
      </c>
      <c r="P310" s="56">
        <v>900</v>
      </c>
    </row>
    <row r="311" spans="1:16" x14ac:dyDescent="0.25">
      <c r="E311" s="30">
        <f>(((B310/100)*(B310/100)*3.1415/4)*E310/100)*7.9</f>
        <v>39.718487760446237</v>
      </c>
      <c r="F311" s="1" t="s">
        <v>68</v>
      </c>
      <c r="K311" s="9">
        <v>260</v>
      </c>
      <c r="L311" s="9">
        <v>295</v>
      </c>
      <c r="O311" s="56">
        <v>260</v>
      </c>
      <c r="P311" s="56">
        <v>1000</v>
      </c>
    </row>
    <row r="312" spans="1:16" x14ac:dyDescent="0.25">
      <c r="A312" s="3" t="s">
        <v>267</v>
      </c>
    </row>
    <row r="313" spans="1:16" x14ac:dyDescent="0.25">
      <c r="A313" s="3"/>
      <c r="P313" s="1">
        <f>VLOOKUP(I297-10,O282:P311,2,)</f>
        <v>485</v>
      </c>
    </row>
    <row r="314" spans="1:16" x14ac:dyDescent="0.25">
      <c r="B314" s="1" t="s">
        <v>268</v>
      </c>
    </row>
    <row r="315" spans="1:16" ht="15.6" x14ac:dyDescent="0.25">
      <c r="B315" s="52" t="s">
        <v>269</v>
      </c>
    </row>
    <row r="316" spans="1:16" x14ac:dyDescent="0.25">
      <c r="A316" s="1" t="s">
        <v>270</v>
      </c>
    </row>
    <row r="317" spans="1:16" x14ac:dyDescent="0.25">
      <c r="A317" s="4" t="s">
        <v>271</v>
      </c>
      <c r="B317" s="1" t="s">
        <v>272</v>
      </c>
    </row>
    <row r="318" spans="1:16" x14ac:dyDescent="0.25">
      <c r="A318" s="4" t="s">
        <v>248</v>
      </c>
      <c r="B318" s="1" t="s">
        <v>273</v>
      </c>
    </row>
    <row r="319" spans="1:16" x14ac:dyDescent="0.25">
      <c r="A319" s="4" t="s">
        <v>274</v>
      </c>
      <c r="B319" s="1" t="s">
        <v>275</v>
      </c>
    </row>
    <row r="320" spans="1:16" x14ac:dyDescent="0.25">
      <c r="A320" s="4" t="s">
        <v>276</v>
      </c>
      <c r="B320" s="1" t="s">
        <v>277</v>
      </c>
    </row>
    <row r="321" spans="1:11" x14ac:dyDescent="0.25">
      <c r="A321" s="4" t="s">
        <v>278</v>
      </c>
      <c r="B321" s="1" t="s">
        <v>279</v>
      </c>
    </row>
    <row r="322" spans="1:11" x14ac:dyDescent="0.25">
      <c r="A322" s="4" t="s">
        <v>280</v>
      </c>
      <c r="B322" s="1" t="s">
        <v>281</v>
      </c>
      <c r="D322" s="52"/>
    </row>
    <row r="323" spans="1:11" ht="15.6" x14ac:dyDescent="0.25">
      <c r="A323" s="4" t="s">
        <v>282</v>
      </c>
      <c r="B323" s="52" t="s">
        <v>283</v>
      </c>
    </row>
    <row r="324" spans="1:11" x14ac:dyDescent="0.25">
      <c r="A324" s="4"/>
    </row>
    <row r="325" spans="1:11" ht="13.8" x14ac:dyDescent="0.25">
      <c r="A325" s="1" t="s">
        <v>284</v>
      </c>
      <c r="I325" s="58" t="s">
        <v>285</v>
      </c>
      <c r="K325" s="58" t="s">
        <v>286</v>
      </c>
    </row>
    <row r="327" spans="1:11" x14ac:dyDescent="0.25">
      <c r="A327" s="4" t="s">
        <v>248</v>
      </c>
      <c r="B327" s="17">
        <f>B286</f>
        <v>4632.8373632980647</v>
      </c>
      <c r="C327" s="1" t="s">
        <v>133</v>
      </c>
    </row>
    <row r="328" spans="1:11" ht="15" x14ac:dyDescent="0.25">
      <c r="A328" s="4" t="s">
        <v>274</v>
      </c>
      <c r="B328" s="50">
        <v>1.5</v>
      </c>
      <c r="C328" s="1" t="s">
        <v>287</v>
      </c>
      <c r="K328" s="1" t="s">
        <v>288</v>
      </c>
    </row>
    <row r="329" spans="1:11" ht="14.4" x14ac:dyDescent="0.3">
      <c r="A329" s="4" t="s">
        <v>276</v>
      </c>
      <c r="B329" s="59">
        <f>(VLOOKUP(D26,P11:AD31,15,)+I298+80)/10</f>
        <v>95</v>
      </c>
      <c r="C329" s="1" t="s">
        <v>196</v>
      </c>
      <c r="K329" s="1" t="s">
        <v>289</v>
      </c>
    </row>
    <row r="330" spans="1:11" ht="14.4" x14ac:dyDescent="0.3">
      <c r="A330" s="4" t="s">
        <v>278</v>
      </c>
      <c r="B330" s="60">
        <f>(B210)+2</f>
        <v>57.879999999999995</v>
      </c>
      <c r="C330" s="1" t="s">
        <v>196</v>
      </c>
    </row>
    <row r="331" spans="1:11" x14ac:dyDescent="0.25">
      <c r="A331" s="4" t="s">
        <v>280</v>
      </c>
      <c r="B331" s="17">
        <f>B299/10</f>
        <v>13.969999999999999</v>
      </c>
      <c r="C331" s="1" t="s">
        <v>196</v>
      </c>
      <c r="J331" s="4" t="s">
        <v>290</v>
      </c>
      <c r="K331" s="1" t="s">
        <v>291</v>
      </c>
    </row>
    <row r="332" spans="1:11" x14ac:dyDescent="0.25">
      <c r="A332" s="4" t="s">
        <v>282</v>
      </c>
      <c r="B332" s="61">
        <v>2100000</v>
      </c>
      <c r="C332" s="1" t="s">
        <v>292</v>
      </c>
      <c r="E332" s="1" t="s">
        <v>293</v>
      </c>
      <c r="J332" s="4" t="s">
        <v>294</v>
      </c>
      <c r="K332" s="1" t="s">
        <v>295</v>
      </c>
    </row>
    <row r="333" spans="1:11" x14ac:dyDescent="0.25">
      <c r="E333" s="4">
        <v>2000</v>
      </c>
      <c r="J333" s="4" t="s">
        <v>296</v>
      </c>
      <c r="K333" s="1" t="s">
        <v>297</v>
      </c>
    </row>
    <row r="334" spans="1:11" x14ac:dyDescent="0.25">
      <c r="J334" s="4" t="s">
        <v>298</v>
      </c>
      <c r="K334" s="1" t="s">
        <v>299</v>
      </c>
    </row>
    <row r="335" spans="1:11" x14ac:dyDescent="0.25">
      <c r="A335" s="4" t="s">
        <v>271</v>
      </c>
      <c r="B335" s="61">
        <f>4*B327*B328*(B329-B330)*(2*B329*B329+2*B329*B330-B330*B330)/(3*3.1415*B332*B331*B331*B331*B331)</f>
        <v>3.5174444191237234E-2</v>
      </c>
      <c r="C335" s="1" t="s">
        <v>196</v>
      </c>
      <c r="D335" s="1" t="s">
        <v>300</v>
      </c>
      <c r="E335" s="61">
        <f>B329/E333</f>
        <v>4.7500000000000001E-2</v>
      </c>
      <c r="F335" s="1" t="s">
        <v>196</v>
      </c>
      <c r="J335" s="4" t="s">
        <v>114</v>
      </c>
      <c r="K335" s="1" t="s">
        <v>301</v>
      </c>
    </row>
    <row r="336" spans="1:11" x14ac:dyDescent="0.25">
      <c r="A336" s="4"/>
      <c r="J336" s="4"/>
    </row>
    <row r="337" spans="1:14" x14ac:dyDescent="0.25">
      <c r="A337" s="4" t="s">
        <v>280</v>
      </c>
      <c r="B337" s="17">
        <f>10*((E333*4*B327*B328*(B329-B330)*(2*B329^2+2*B329*B330-B330^2))/(3*PI()*B332*B329))^(1/4)</f>
        <v>129.59152855107914</v>
      </c>
      <c r="C337" s="1" t="s">
        <v>52</v>
      </c>
      <c r="J337" s="4" t="s">
        <v>294</v>
      </c>
      <c r="K337" s="43">
        <f>B327/B210</f>
        <v>82.906896265176542</v>
      </c>
      <c r="L337" s="1" t="s">
        <v>198</v>
      </c>
      <c r="N337" s="1" t="s">
        <v>302</v>
      </c>
    </row>
    <row r="338" spans="1:14" x14ac:dyDescent="0.25">
      <c r="J338" s="4" t="s">
        <v>296</v>
      </c>
      <c r="K338" s="50">
        <v>2.92E-2</v>
      </c>
      <c r="L338" s="1" t="s">
        <v>303</v>
      </c>
    </row>
    <row r="339" spans="1:14" x14ac:dyDescent="0.25">
      <c r="A339" s="1" t="s">
        <v>304</v>
      </c>
      <c r="J339" s="4" t="s">
        <v>298</v>
      </c>
      <c r="K339" s="50">
        <v>560</v>
      </c>
      <c r="L339" s="38" t="s">
        <v>305</v>
      </c>
    </row>
    <row r="340" spans="1:14" x14ac:dyDescent="0.25">
      <c r="J340" s="4" t="s">
        <v>306</v>
      </c>
      <c r="K340" s="17">
        <f>B288</f>
        <v>62</v>
      </c>
      <c r="L340" s="1" t="s">
        <v>307</v>
      </c>
    </row>
    <row r="341" spans="1:14" x14ac:dyDescent="0.25">
      <c r="A341" s="4" t="s">
        <v>248</v>
      </c>
      <c r="B341" s="19">
        <f>B304</f>
        <v>836.76216560405373</v>
      </c>
      <c r="C341" s="1" t="s">
        <v>133</v>
      </c>
    </row>
    <row r="342" spans="1:14" x14ac:dyDescent="0.25">
      <c r="A342" s="4" t="s">
        <v>274</v>
      </c>
      <c r="B342" s="50">
        <v>1.5</v>
      </c>
      <c r="C342" s="1" t="s">
        <v>287</v>
      </c>
      <c r="J342" s="4" t="s">
        <v>290</v>
      </c>
      <c r="K342" s="17">
        <f>10*(K338*(3*K337*K340)/K339)^0.5</f>
        <v>8.9670421842934172</v>
      </c>
      <c r="L342" s="1" t="s">
        <v>52</v>
      </c>
    </row>
    <row r="343" spans="1:14" ht="14.4" x14ac:dyDescent="0.3">
      <c r="A343" s="4" t="s">
        <v>276</v>
      </c>
      <c r="B343" s="59">
        <f>B329-4</f>
        <v>91</v>
      </c>
      <c r="C343" s="1" t="s">
        <v>196</v>
      </c>
      <c r="J343" s="4" t="s">
        <v>290</v>
      </c>
      <c r="K343" s="18">
        <v>9.5</v>
      </c>
      <c r="L343" s="1" t="s">
        <v>52</v>
      </c>
    </row>
    <row r="344" spans="1:14" ht="14.4" x14ac:dyDescent="0.3">
      <c r="A344" s="4" t="s">
        <v>278</v>
      </c>
      <c r="B344" s="59">
        <f>B330</f>
        <v>57.879999999999995</v>
      </c>
      <c r="C344" s="1" t="s">
        <v>196</v>
      </c>
    </row>
    <row r="345" spans="1:14" x14ac:dyDescent="0.25">
      <c r="A345" s="4" t="s">
        <v>280</v>
      </c>
      <c r="B345" s="17">
        <f>B310/10</f>
        <v>7.6199999999999992</v>
      </c>
      <c r="C345" s="1" t="s">
        <v>196</v>
      </c>
      <c r="L345" s="62" t="s">
        <v>308</v>
      </c>
    </row>
    <row r="346" spans="1:14" x14ac:dyDescent="0.25">
      <c r="A346" s="4" t="s">
        <v>282</v>
      </c>
      <c r="B346" s="50">
        <v>2100000</v>
      </c>
      <c r="C346" s="1" t="s">
        <v>292</v>
      </c>
      <c r="E346" s="1" t="s">
        <v>309</v>
      </c>
      <c r="K346" s="1" t="s">
        <v>1301</v>
      </c>
    </row>
    <row r="347" spans="1:14" x14ac:dyDescent="0.25">
      <c r="E347" s="4">
        <v>1500</v>
      </c>
      <c r="K347" s="1" t="s">
        <v>311</v>
      </c>
    </row>
    <row r="349" spans="1:14" x14ac:dyDescent="0.25">
      <c r="A349" s="4" t="s">
        <v>271</v>
      </c>
      <c r="B349" s="61">
        <f>4*B341*B342*(B343-B344)*(2*B343*B343+2*B343*B344-B344*B344)/(3*3.1415*B346*B345*B345*B345*B345)</f>
        <v>5.9174933440178372E-2</v>
      </c>
      <c r="C349" s="1" t="s">
        <v>196</v>
      </c>
      <c r="D349" s="1" t="s">
        <v>300</v>
      </c>
      <c r="E349" s="61">
        <f>B343/E347</f>
        <v>6.0666666666666667E-2</v>
      </c>
      <c r="F349" s="1" t="s">
        <v>196</v>
      </c>
      <c r="J349" s="4" t="s">
        <v>290</v>
      </c>
      <c r="K349" s="1" t="s">
        <v>312</v>
      </c>
    </row>
    <row r="350" spans="1:14" x14ac:dyDescent="0.25">
      <c r="J350" s="4" t="s">
        <v>294</v>
      </c>
      <c r="K350" s="1" t="s">
        <v>295</v>
      </c>
    </row>
    <row r="351" spans="1:14" x14ac:dyDescent="0.25">
      <c r="A351" s="4" t="s">
        <v>280</v>
      </c>
      <c r="B351" s="17">
        <f>10*((E347*4*B341*B342*(B343-B344)*(2*B343^2+2*B343*B344-B344^2))/(3*PI()*B346*B343))^(1/4)</f>
        <v>75.726638750710535</v>
      </c>
      <c r="C351" s="1" t="s">
        <v>52</v>
      </c>
      <c r="J351" s="4" t="s">
        <v>313</v>
      </c>
      <c r="K351" s="1" t="s">
        <v>314</v>
      </c>
    </row>
    <row r="352" spans="1:14" x14ac:dyDescent="0.25">
      <c r="J352" s="4" t="s">
        <v>278</v>
      </c>
      <c r="K352" s="1" t="s">
        <v>315</v>
      </c>
    </row>
    <row r="353" spans="1:15" ht="15.6" x14ac:dyDescent="0.25">
      <c r="A353" s="3" t="s">
        <v>316</v>
      </c>
      <c r="J353" s="4" t="s">
        <v>317</v>
      </c>
      <c r="K353" s="52" t="s">
        <v>283</v>
      </c>
    </row>
    <row r="355" spans="1:15" x14ac:dyDescent="0.25">
      <c r="A355" s="3"/>
      <c r="B355" s="3" t="s">
        <v>318</v>
      </c>
      <c r="C355" s="3"/>
    </row>
    <row r="356" spans="1:15" x14ac:dyDescent="0.25">
      <c r="A356" s="3"/>
      <c r="B356" s="3"/>
      <c r="C356" s="3" t="s">
        <v>319</v>
      </c>
      <c r="J356" s="4" t="s">
        <v>290</v>
      </c>
      <c r="K356" s="44">
        <f>K343/10</f>
        <v>0.95</v>
      </c>
      <c r="L356" s="1" t="s">
        <v>307</v>
      </c>
    </row>
    <row r="357" spans="1:15" x14ac:dyDescent="0.25">
      <c r="A357" s="52" t="s">
        <v>23</v>
      </c>
      <c r="J357" s="4" t="s">
        <v>313</v>
      </c>
      <c r="K357" s="44">
        <f>B231</f>
        <v>55.879999999999995</v>
      </c>
      <c r="L357" s="1" t="s">
        <v>307</v>
      </c>
    </row>
    <row r="358" spans="1:15" x14ac:dyDescent="0.25">
      <c r="A358" s="4" t="s">
        <v>147</v>
      </c>
      <c r="B358" s="1" t="s">
        <v>320</v>
      </c>
      <c r="J358" s="4" t="s">
        <v>321</v>
      </c>
      <c r="K358" s="43">
        <f>B396*100/2</f>
        <v>31</v>
      </c>
      <c r="L358" s="1" t="s">
        <v>307</v>
      </c>
    </row>
    <row r="359" spans="1:15" x14ac:dyDescent="0.25">
      <c r="A359" s="4" t="s">
        <v>322</v>
      </c>
      <c r="B359" s="1" t="s">
        <v>323</v>
      </c>
    </row>
    <row r="360" spans="1:15" s="3" customFormat="1" ht="14.4" x14ac:dyDescent="0.3">
      <c r="A360" s="4" t="s">
        <v>78</v>
      </c>
      <c r="B360" s="1" t="s">
        <v>79</v>
      </c>
      <c r="C360" s="1"/>
      <c r="J360" s="4" t="s">
        <v>324</v>
      </c>
      <c r="K360" s="44">
        <f>(B332*K357*K358*(K356^3)/K337)^0.25</f>
        <v>78.316701212983062</v>
      </c>
      <c r="M360" s="4" t="s">
        <v>278</v>
      </c>
      <c r="N360" s="60">
        <f>B330</f>
        <v>57.879999999999995</v>
      </c>
      <c r="O360" s="1" t="s">
        <v>196</v>
      </c>
    </row>
    <row r="361" spans="1:15" x14ac:dyDescent="0.25">
      <c r="A361" s="4" t="s">
        <v>28</v>
      </c>
      <c r="B361" s="1" t="s">
        <v>29</v>
      </c>
    </row>
    <row r="362" spans="1:15" x14ac:dyDescent="0.25">
      <c r="A362" s="4" t="s">
        <v>111</v>
      </c>
      <c r="B362" s="1" t="s">
        <v>112</v>
      </c>
      <c r="K362" s="1" t="s">
        <v>1302</v>
      </c>
    </row>
    <row r="363" spans="1:15" x14ac:dyDescent="0.25">
      <c r="A363" s="4" t="s">
        <v>114</v>
      </c>
      <c r="B363" s="1" t="s">
        <v>115</v>
      </c>
    </row>
    <row r="364" spans="1:15" x14ac:dyDescent="0.25">
      <c r="A364" s="4" t="s">
        <v>326</v>
      </c>
      <c r="B364" s="1" t="s">
        <v>327</v>
      </c>
    </row>
    <row r="366" spans="1:15" x14ac:dyDescent="0.25">
      <c r="A366" s="1" t="s">
        <v>91</v>
      </c>
    </row>
    <row r="367" spans="1:15" x14ac:dyDescent="0.25">
      <c r="A367" s="4" t="s">
        <v>322</v>
      </c>
      <c r="B367" s="19">
        <f>B26</f>
        <v>1.5249999999999999</v>
      </c>
      <c r="C367" s="1" t="s">
        <v>48</v>
      </c>
    </row>
    <row r="368" spans="1:15" x14ac:dyDescent="0.25">
      <c r="A368" s="4" t="s">
        <v>328</v>
      </c>
      <c r="B368" s="17">
        <f>E56</f>
        <v>54.148387096774194</v>
      </c>
      <c r="C368" s="1" t="s">
        <v>98</v>
      </c>
    </row>
    <row r="369" spans="1:3" x14ac:dyDescent="0.25">
      <c r="A369" s="4" t="s">
        <v>111</v>
      </c>
      <c r="B369" s="19">
        <f>B71</f>
        <v>20.6</v>
      </c>
      <c r="C369" s="1" t="s">
        <v>58</v>
      </c>
    </row>
    <row r="370" spans="1:3" x14ac:dyDescent="0.25">
      <c r="A370" s="4" t="s">
        <v>114</v>
      </c>
      <c r="B370" s="63">
        <f>B72</f>
        <v>0.62</v>
      </c>
      <c r="C370" s="1" t="s">
        <v>58</v>
      </c>
    </row>
    <row r="371" spans="1:3" x14ac:dyDescent="0.25">
      <c r="A371" s="4" t="s">
        <v>326</v>
      </c>
      <c r="B371" s="18">
        <v>0.96</v>
      </c>
      <c r="C371" s="1" t="s">
        <v>50</v>
      </c>
    </row>
    <row r="372" spans="1:3" x14ac:dyDescent="0.25">
      <c r="A372" s="4"/>
    </row>
    <row r="373" spans="1:3" x14ac:dyDescent="0.25">
      <c r="A373" s="4" t="s">
        <v>55</v>
      </c>
    </row>
    <row r="374" spans="1:3" x14ac:dyDescent="0.25">
      <c r="A374" s="4" t="s">
        <v>147</v>
      </c>
      <c r="B374" s="44">
        <f>B367*B368*(B369+10*B370)/(75*B371)</f>
        <v>30.73673028673835</v>
      </c>
      <c r="C374" s="1" t="s">
        <v>249</v>
      </c>
    </row>
    <row r="375" spans="1:3" x14ac:dyDescent="0.25">
      <c r="A375" s="4" t="s">
        <v>329</v>
      </c>
      <c r="B375" s="18">
        <v>30</v>
      </c>
      <c r="C375" s="1" t="s">
        <v>330</v>
      </c>
    </row>
    <row r="376" spans="1:3" x14ac:dyDescent="0.25">
      <c r="A376" s="4" t="s">
        <v>331</v>
      </c>
      <c r="B376" s="19">
        <f>B375/B374</f>
        <v>0.9760309479939635</v>
      </c>
      <c r="C376" s="1" t="s">
        <v>332</v>
      </c>
    </row>
    <row r="377" spans="1:3" x14ac:dyDescent="0.25">
      <c r="A377" s="4" t="s">
        <v>147</v>
      </c>
      <c r="B377" s="19">
        <f>B375*0.75</f>
        <v>22.5</v>
      </c>
      <c r="C377" s="1" t="s">
        <v>333</v>
      </c>
    </row>
    <row r="380" spans="1:3" x14ac:dyDescent="0.25">
      <c r="A380" s="3" t="s">
        <v>334</v>
      </c>
    </row>
    <row r="381" spans="1:3" x14ac:dyDescent="0.25">
      <c r="A381" s="3"/>
    </row>
    <row r="382" spans="1:3" x14ac:dyDescent="0.25">
      <c r="B382" s="52" t="s">
        <v>335</v>
      </c>
    </row>
    <row r="383" spans="1:3" x14ac:dyDescent="0.25">
      <c r="B383" s="52" t="s">
        <v>336</v>
      </c>
    </row>
    <row r="385" spans="1:3" x14ac:dyDescent="0.25">
      <c r="B385" s="52" t="s">
        <v>337</v>
      </c>
    </row>
    <row r="386" spans="1:3" x14ac:dyDescent="0.25">
      <c r="B386" s="52" t="s">
        <v>338</v>
      </c>
    </row>
    <row r="387" spans="1:3" x14ac:dyDescent="0.25">
      <c r="A387" s="52" t="s">
        <v>23</v>
      </c>
    </row>
    <row r="388" spans="1:3" x14ac:dyDescent="0.25">
      <c r="B388" s="1" t="s">
        <v>339</v>
      </c>
    </row>
    <row r="389" spans="1:3" x14ac:dyDescent="0.25">
      <c r="B389" s="1" t="s">
        <v>340</v>
      </c>
      <c r="C389" s="64"/>
    </row>
    <row r="390" spans="1:3" x14ac:dyDescent="0.25">
      <c r="B390" s="1" t="s">
        <v>341</v>
      </c>
    </row>
    <row r="391" spans="1:3" x14ac:dyDescent="0.25">
      <c r="B391" s="1" t="s">
        <v>342</v>
      </c>
      <c r="C391" s="64"/>
    </row>
    <row r="392" spans="1:3" x14ac:dyDescent="0.25">
      <c r="B392" s="1" t="s">
        <v>343</v>
      </c>
      <c r="C392" s="64"/>
    </row>
    <row r="393" spans="1:3" x14ac:dyDescent="0.25">
      <c r="B393" s="64"/>
    </row>
    <row r="394" spans="1:3" x14ac:dyDescent="0.25">
      <c r="A394" s="1" t="s">
        <v>344</v>
      </c>
      <c r="B394" s="64"/>
    </row>
    <row r="395" spans="1:3" x14ac:dyDescent="0.25">
      <c r="A395" s="4" t="s">
        <v>345</v>
      </c>
      <c r="B395" s="17">
        <f>(POWER(((6.56-((100-B235)/40))*(2*POWER(B220,1/2)+0.0122*B213)),2))*1.05/1000</f>
        <v>0.64514358761744472</v>
      </c>
      <c r="C395" s="1" t="s">
        <v>58</v>
      </c>
    </row>
    <row r="396" spans="1:3" x14ac:dyDescent="0.25">
      <c r="A396" s="4" t="s">
        <v>114</v>
      </c>
      <c r="B396" s="17">
        <f>B370</f>
        <v>0.62</v>
      </c>
      <c r="C396" s="1" t="s">
        <v>58</v>
      </c>
    </row>
    <row r="397" spans="1:3" x14ac:dyDescent="0.25">
      <c r="A397" s="4" t="s">
        <v>26</v>
      </c>
      <c r="B397" s="17">
        <f>B367</f>
        <v>1.5249999999999999</v>
      </c>
      <c r="C397" s="38" t="s">
        <v>48</v>
      </c>
    </row>
    <row r="398" spans="1:3" x14ac:dyDescent="0.25">
      <c r="A398" s="4" t="s">
        <v>346</v>
      </c>
      <c r="B398" s="18">
        <v>1750</v>
      </c>
      <c r="C398" s="38" t="s">
        <v>347</v>
      </c>
    </row>
    <row r="399" spans="1:3" x14ac:dyDescent="0.25">
      <c r="A399" s="4" t="s">
        <v>348</v>
      </c>
      <c r="B399" s="65">
        <f>B397*60/B396/3.1415</f>
        <v>46.977763858440341</v>
      </c>
      <c r="C399" s="38" t="s">
        <v>347</v>
      </c>
    </row>
    <row r="401" spans="1:11" x14ac:dyDescent="0.25">
      <c r="A401" s="1" t="s">
        <v>349</v>
      </c>
    </row>
    <row r="402" spans="1:11" x14ac:dyDescent="0.25">
      <c r="A402" s="1" t="s">
        <v>350</v>
      </c>
      <c r="B402" s="66">
        <v>1</v>
      </c>
      <c r="C402" s="65">
        <f>B398/B399</f>
        <v>37.251666666666665</v>
      </c>
      <c r="F402" s="240" t="s">
        <v>1392</v>
      </c>
      <c r="G402" s="240"/>
      <c r="H402" s="240"/>
      <c r="I402" s="240"/>
      <c r="J402" s="240"/>
      <c r="K402" s="240"/>
    </row>
    <row r="404" spans="1:11" x14ac:dyDescent="0.25">
      <c r="F404" s="242" t="s">
        <v>1393</v>
      </c>
      <c r="G404" s="243"/>
      <c r="H404" s="243"/>
      <c r="I404" s="243"/>
      <c r="J404" s="243"/>
      <c r="K404" s="244"/>
    </row>
    <row r="405" spans="1:11" x14ac:dyDescent="0.25">
      <c r="A405" s="3" t="s">
        <v>351</v>
      </c>
    </row>
    <row r="407" spans="1:11" x14ac:dyDescent="0.25">
      <c r="A407" s="3" t="s">
        <v>352</v>
      </c>
    </row>
    <row r="408" spans="1:11" ht="15" x14ac:dyDescent="0.25">
      <c r="A408" s="1" t="s">
        <v>353</v>
      </c>
    </row>
    <row r="409" spans="1:11" x14ac:dyDescent="0.25">
      <c r="A409" s="1" t="s">
        <v>354</v>
      </c>
    </row>
    <row r="410" spans="1:11" x14ac:dyDescent="0.25">
      <c r="A410" s="1" t="s">
        <v>355</v>
      </c>
    </row>
    <row r="411" spans="1:11" x14ac:dyDescent="0.25">
      <c r="B411" s="1" t="s">
        <v>356</v>
      </c>
    </row>
    <row r="412" spans="1:11" x14ac:dyDescent="0.25">
      <c r="B412" s="1" t="s">
        <v>357</v>
      </c>
    </row>
    <row r="413" spans="1:11" x14ac:dyDescent="0.25">
      <c r="B413" s="1" t="s">
        <v>358</v>
      </c>
    </row>
    <row r="414" spans="1:11" x14ac:dyDescent="0.25">
      <c r="B414" s="1" t="s">
        <v>359</v>
      </c>
    </row>
    <row r="415" spans="1:11" x14ac:dyDescent="0.25">
      <c r="B415" s="1" t="s">
        <v>360</v>
      </c>
    </row>
    <row r="416" spans="1:11" x14ac:dyDescent="0.25">
      <c r="B416" s="1" t="s">
        <v>361</v>
      </c>
    </row>
    <row r="417" spans="1:4" x14ac:dyDescent="0.25">
      <c r="A417" s="1" t="s">
        <v>55</v>
      </c>
    </row>
    <row r="419" spans="1:4" x14ac:dyDescent="0.25">
      <c r="A419" s="3" t="s">
        <v>362</v>
      </c>
    </row>
    <row r="421" spans="1:4" x14ac:dyDescent="0.25">
      <c r="A421" s="4" t="s">
        <v>278</v>
      </c>
      <c r="B421" s="67">
        <v>7030</v>
      </c>
      <c r="C421" s="1" t="s">
        <v>46</v>
      </c>
    </row>
    <row r="422" spans="1:4" x14ac:dyDescent="0.25">
      <c r="A422" s="4" t="s">
        <v>363</v>
      </c>
      <c r="B422" s="67">
        <v>1.5</v>
      </c>
      <c r="C422" s="1" t="s">
        <v>46</v>
      </c>
    </row>
    <row r="423" spans="1:4" x14ac:dyDescent="0.25">
      <c r="A423" s="4" t="s">
        <v>364</v>
      </c>
      <c r="B423" s="66">
        <f>B375</f>
        <v>30</v>
      </c>
      <c r="C423" s="1" t="s">
        <v>249</v>
      </c>
    </row>
    <row r="424" spans="1:4" x14ac:dyDescent="0.25">
      <c r="A424" s="4" t="s">
        <v>365</v>
      </c>
      <c r="B424" s="54">
        <v>1750</v>
      </c>
      <c r="C424" s="1" t="s">
        <v>347</v>
      </c>
    </row>
    <row r="426" spans="1:4" x14ac:dyDescent="0.25">
      <c r="A426" s="1" t="s">
        <v>256</v>
      </c>
      <c r="B426" s="4" t="s">
        <v>366</v>
      </c>
      <c r="C426" s="17">
        <f>B421*B422*B423/B424</f>
        <v>180.77142857142857</v>
      </c>
      <c r="D426" s="1" t="s">
        <v>367</v>
      </c>
    </row>
    <row r="428" spans="1:4" x14ac:dyDescent="0.25">
      <c r="A428" s="1" t="s">
        <v>265</v>
      </c>
      <c r="B428" s="1" t="s">
        <v>368</v>
      </c>
    </row>
    <row r="430" spans="1:4" x14ac:dyDescent="0.25">
      <c r="A430" s="3" t="s">
        <v>369</v>
      </c>
    </row>
    <row r="432" spans="1:4" x14ac:dyDescent="0.25">
      <c r="A432" s="4" t="s">
        <v>278</v>
      </c>
      <c r="B432" s="67">
        <v>7030</v>
      </c>
      <c r="C432" s="1" t="s">
        <v>46</v>
      </c>
    </row>
    <row r="433" spans="1:6" x14ac:dyDescent="0.25">
      <c r="A433" s="4" t="s">
        <v>363</v>
      </c>
      <c r="B433" s="67">
        <v>1.5</v>
      </c>
      <c r="C433" s="1" t="s">
        <v>46</v>
      </c>
    </row>
    <row r="434" spans="1:6" x14ac:dyDescent="0.25">
      <c r="A434" s="4" t="s">
        <v>364</v>
      </c>
      <c r="B434" s="66">
        <f>B423</f>
        <v>30</v>
      </c>
      <c r="C434" s="1" t="s">
        <v>249</v>
      </c>
    </row>
    <row r="435" spans="1:6" x14ac:dyDescent="0.25">
      <c r="A435" s="4" t="s">
        <v>365</v>
      </c>
      <c r="B435" s="68">
        <f>B399</f>
        <v>46.977763858440341</v>
      </c>
      <c r="C435" s="1" t="s">
        <v>347</v>
      </c>
    </row>
    <row r="436" spans="1:6" x14ac:dyDescent="0.25">
      <c r="A436" s="4"/>
    </row>
    <row r="437" spans="1:6" x14ac:dyDescent="0.25">
      <c r="A437" s="1" t="s">
        <v>256</v>
      </c>
    </row>
    <row r="439" spans="1:6" x14ac:dyDescent="0.25">
      <c r="A439" s="4" t="s">
        <v>366</v>
      </c>
      <c r="B439" s="69">
        <f>B432*B433*B434/B435</f>
        <v>6734.0369999999994</v>
      </c>
      <c r="C439" s="1" t="s">
        <v>367</v>
      </c>
      <c r="D439" s="4" t="s">
        <v>370</v>
      </c>
      <c r="E439" s="67">
        <v>6.5</v>
      </c>
      <c r="F439" s="1" t="s">
        <v>46</v>
      </c>
    </row>
    <row r="440" spans="1:6" x14ac:dyDescent="0.25">
      <c r="A440" s="4" t="s">
        <v>366</v>
      </c>
      <c r="B440" s="69">
        <f>B432*B433*B434/(9.8*B435)</f>
        <v>687.14663265306115</v>
      </c>
      <c r="C440" s="1" t="s">
        <v>371</v>
      </c>
      <c r="D440" s="4" t="s">
        <v>372</v>
      </c>
      <c r="E440" s="69">
        <f>B439*E439/15</f>
        <v>2918.0826999999995</v>
      </c>
      <c r="F440" s="1" t="s">
        <v>373</v>
      </c>
    </row>
    <row r="442" spans="1:6" x14ac:dyDescent="0.25">
      <c r="A442" s="1" t="s">
        <v>265</v>
      </c>
      <c r="B442" s="1" t="s">
        <v>374</v>
      </c>
    </row>
    <row r="444" spans="1:6" x14ac:dyDescent="0.25">
      <c r="A444" s="3" t="s">
        <v>375</v>
      </c>
    </row>
    <row r="445" spans="1:6" x14ac:dyDescent="0.25">
      <c r="A445" s="3" t="s">
        <v>376</v>
      </c>
    </row>
    <row r="447" spans="1:6" x14ac:dyDescent="0.25">
      <c r="A447" s="3" t="s">
        <v>377</v>
      </c>
    </row>
    <row r="450" spans="1:4" x14ac:dyDescent="0.25">
      <c r="B450" s="1" t="s">
        <v>378</v>
      </c>
      <c r="D450" s="70" t="s">
        <v>379</v>
      </c>
    </row>
    <row r="451" spans="1:4" x14ac:dyDescent="0.25">
      <c r="C451" s="42" t="s">
        <v>380</v>
      </c>
      <c r="D451" s="42" t="s">
        <v>381</v>
      </c>
    </row>
    <row r="453" spans="1:4" x14ac:dyDescent="0.25">
      <c r="A453" s="1" t="s">
        <v>382</v>
      </c>
    </row>
    <row r="455" spans="1:4" x14ac:dyDescent="0.25">
      <c r="B455" s="1" t="s">
        <v>383</v>
      </c>
    </row>
    <row r="456" spans="1:4" x14ac:dyDescent="0.25">
      <c r="C456" s="1" t="s">
        <v>384</v>
      </c>
    </row>
    <row r="458" spans="1:4" x14ac:dyDescent="0.25">
      <c r="A458" s="1" t="s">
        <v>385</v>
      </c>
    </row>
    <row r="460" spans="1:4" x14ac:dyDescent="0.25">
      <c r="A460" s="4" t="s">
        <v>386</v>
      </c>
      <c r="B460" s="1" t="s">
        <v>387</v>
      </c>
    </row>
    <row r="461" spans="1:4" x14ac:dyDescent="0.25">
      <c r="A461" s="4" t="s">
        <v>28</v>
      </c>
      <c r="B461" s="1" t="s">
        <v>388</v>
      </c>
    </row>
    <row r="462" spans="1:4" x14ac:dyDescent="0.25">
      <c r="A462" s="4" t="s">
        <v>248</v>
      </c>
      <c r="B462" s="1" t="s">
        <v>389</v>
      </c>
    </row>
    <row r="463" spans="1:4" x14ac:dyDescent="0.25">
      <c r="A463" s="4" t="s">
        <v>278</v>
      </c>
      <c r="B463" s="1" t="s">
        <v>390</v>
      </c>
    </row>
    <row r="465" spans="1:4" x14ac:dyDescent="0.25">
      <c r="A465" s="3" t="s">
        <v>391</v>
      </c>
    </row>
    <row r="466" spans="1:4" x14ac:dyDescent="0.25">
      <c r="B466" s="4" t="s">
        <v>386</v>
      </c>
      <c r="C466" s="18">
        <v>50000</v>
      </c>
      <c r="D466" s="1" t="s">
        <v>392</v>
      </c>
    </row>
    <row r="467" spans="1:4" x14ac:dyDescent="0.25">
      <c r="B467" s="4" t="s">
        <v>28</v>
      </c>
      <c r="C467" s="17">
        <f>B435</f>
        <v>46.977763858440341</v>
      </c>
      <c r="D467" s="1" t="s">
        <v>347</v>
      </c>
    </row>
    <row r="468" spans="1:4" x14ac:dyDescent="0.25">
      <c r="B468" s="4" t="s">
        <v>248</v>
      </c>
      <c r="C468" s="69">
        <f>9.8*B327/2</f>
        <v>22700.903080160519</v>
      </c>
      <c r="D468" s="1" t="s">
        <v>393</v>
      </c>
    </row>
    <row r="469" spans="1:4" x14ac:dyDescent="0.25">
      <c r="A469" s="4" t="s">
        <v>394</v>
      </c>
      <c r="B469" s="4"/>
    </row>
    <row r="470" spans="1:4" x14ac:dyDescent="0.25">
      <c r="B470" s="4" t="s">
        <v>278</v>
      </c>
      <c r="C470" s="69">
        <f>C468*POWER((C466*C467*60/1000000),1/3)</f>
        <v>118135.65663452612</v>
      </c>
      <c r="D470" s="1" t="s">
        <v>393</v>
      </c>
    </row>
    <row r="471" spans="1:4" x14ac:dyDescent="0.25">
      <c r="B471" s="4"/>
    </row>
    <row r="473" spans="1:4" x14ac:dyDescent="0.25">
      <c r="A473" s="3" t="s">
        <v>395</v>
      </c>
    </row>
    <row r="474" spans="1:4" x14ac:dyDescent="0.25">
      <c r="B474" s="4" t="s">
        <v>386</v>
      </c>
      <c r="C474" s="18">
        <v>50000</v>
      </c>
      <c r="D474" s="1" t="s">
        <v>392</v>
      </c>
    </row>
    <row r="475" spans="1:4" x14ac:dyDescent="0.25">
      <c r="B475" s="4" t="s">
        <v>28</v>
      </c>
      <c r="C475" s="17">
        <f>C467</f>
        <v>46.977763858440341</v>
      </c>
      <c r="D475" s="1" t="s">
        <v>347</v>
      </c>
    </row>
    <row r="476" spans="1:4" x14ac:dyDescent="0.25">
      <c r="B476" s="4" t="s">
        <v>248</v>
      </c>
      <c r="C476" s="69">
        <f>9.8*B341/2</f>
        <v>4100.1346114598637</v>
      </c>
      <c r="D476" s="1" t="s">
        <v>393</v>
      </c>
    </row>
    <row r="477" spans="1:4" x14ac:dyDescent="0.25">
      <c r="A477" s="4" t="s">
        <v>394</v>
      </c>
    </row>
    <row r="478" spans="1:4" x14ac:dyDescent="0.25">
      <c r="B478" s="4" t="s">
        <v>278</v>
      </c>
      <c r="C478" s="69">
        <f>C476*POWER((C474*C475*60/1000000),1/3)</f>
        <v>21337.128875638264</v>
      </c>
      <c r="D478" s="1" t="s">
        <v>393</v>
      </c>
    </row>
    <row r="482" spans="2:2" x14ac:dyDescent="0.25">
      <c r="B482" s="1" t="s">
        <v>396</v>
      </c>
    </row>
    <row r="483" spans="2:2" x14ac:dyDescent="0.25">
      <c r="B483" s="1" t="s">
        <v>397</v>
      </c>
    </row>
    <row r="484" spans="2:2" x14ac:dyDescent="0.25">
      <c r="B484" s="1" t="s">
        <v>398</v>
      </c>
    </row>
  </sheetData>
  <sheetProtection selectLockedCells="1" selectUnlockedCells="1"/>
  <mergeCells count="4">
    <mergeCell ref="F220:K220"/>
    <mergeCell ref="O281:P281"/>
    <mergeCell ref="F402:K402"/>
    <mergeCell ref="F404:K404"/>
  </mergeCells>
  <conditionalFormatting sqref="P11:P12">
    <cfRule type="expression" dxfId="55" priority="146">
      <formula>AD8&gt;0</formula>
    </cfRule>
  </conditionalFormatting>
  <conditionalFormatting sqref="P11:P31">
    <cfRule type="expression" dxfId="54" priority="145">
      <formula>$AD$11&gt;0</formula>
    </cfRule>
  </conditionalFormatting>
  <conditionalFormatting sqref="P13:P31">
    <cfRule type="expression" dxfId="53" priority="148">
      <formula>AC10&gt;0</formula>
    </cfRule>
  </conditionalFormatting>
  <conditionalFormatting sqref="Q11:R11">
    <cfRule type="expression" dxfId="52" priority="147">
      <formula>AD11&gt;0</formula>
    </cfRule>
  </conditionalFormatting>
  <conditionalFormatting sqref="Q14:T14">
    <cfRule type="expression" dxfId="51" priority="122">
      <formula>$AD$14&gt;0</formula>
    </cfRule>
  </conditionalFormatting>
  <conditionalFormatting sqref="Q15:T15">
    <cfRule type="expression" dxfId="50" priority="124">
      <formula>$AD$15&gt;0</formula>
    </cfRule>
  </conditionalFormatting>
  <conditionalFormatting sqref="Q11:AE11">
    <cfRule type="expression" dxfId="49" priority="23">
      <formula>$AD$11&gt;0</formula>
    </cfRule>
  </conditionalFormatting>
  <conditionalFormatting sqref="Q12:AE12">
    <cfRule type="expression" dxfId="48" priority="21">
      <formula>$AD$12&gt;0</formula>
    </cfRule>
  </conditionalFormatting>
  <conditionalFormatting sqref="Q13:AE13">
    <cfRule type="expression" dxfId="47" priority="20">
      <formula>$AD$13&gt;0</formula>
    </cfRule>
  </conditionalFormatting>
  <conditionalFormatting sqref="Q14:AE14">
    <cfRule type="expression" priority="19">
      <formula>$AD$14&gt;0</formula>
    </cfRule>
  </conditionalFormatting>
  <conditionalFormatting sqref="Q15:AE15">
    <cfRule type="expression" priority="18">
      <formula>$AD$15&gt;0</formula>
    </cfRule>
  </conditionalFormatting>
  <conditionalFormatting sqref="Q16:AE16">
    <cfRule type="expression" dxfId="46" priority="17">
      <formula>$AD$16&gt;0</formula>
    </cfRule>
  </conditionalFormatting>
  <conditionalFormatting sqref="Q17:AE17">
    <cfRule type="expression" dxfId="45" priority="16">
      <formula>$AD$17&gt;0</formula>
    </cfRule>
  </conditionalFormatting>
  <conditionalFormatting sqref="Q18:AE18">
    <cfRule type="expression" dxfId="44" priority="15">
      <formula>$AD$18&gt;0</formula>
    </cfRule>
  </conditionalFormatting>
  <conditionalFormatting sqref="Q19:AE19">
    <cfRule type="expression" dxfId="43" priority="14">
      <formula>$AD$19&gt;0</formula>
    </cfRule>
  </conditionalFormatting>
  <conditionalFormatting sqref="Q20:AE20">
    <cfRule type="expression" dxfId="42" priority="13">
      <formula>$AD$20&gt;0</formula>
    </cfRule>
  </conditionalFormatting>
  <conditionalFormatting sqref="Q21:AE21">
    <cfRule type="expression" dxfId="41" priority="12">
      <formula>$AD$21&gt;0</formula>
    </cfRule>
  </conditionalFormatting>
  <conditionalFormatting sqref="Q22:AE22">
    <cfRule type="expression" dxfId="40" priority="11">
      <formula>$AD$22&gt;0</formula>
    </cfRule>
  </conditionalFormatting>
  <conditionalFormatting sqref="Q23:AE23">
    <cfRule type="expression" dxfId="39" priority="22">
      <formula>$AD$23&gt;0</formula>
    </cfRule>
  </conditionalFormatting>
  <conditionalFormatting sqref="Q24:AE24">
    <cfRule type="expression" dxfId="38" priority="10">
      <formula>$AD$24&gt;0</formula>
    </cfRule>
  </conditionalFormatting>
  <conditionalFormatting sqref="Q25:AE25">
    <cfRule type="expression" dxfId="37" priority="9">
      <formula>$AD$25&gt;0</formula>
    </cfRule>
  </conditionalFormatting>
  <conditionalFormatting sqref="Q26:AE26">
    <cfRule type="expression" dxfId="36" priority="8">
      <formula>$AD$26&gt;0</formula>
    </cfRule>
  </conditionalFormatting>
  <conditionalFormatting sqref="Q27:AE27">
    <cfRule type="expression" dxfId="35" priority="7">
      <formula>$AD$27&gt;0</formula>
    </cfRule>
  </conditionalFormatting>
  <conditionalFormatting sqref="Q28:AE28">
    <cfRule type="expression" dxfId="34" priority="6">
      <formula>$AD$28&gt;0</formula>
    </cfRule>
  </conditionalFormatting>
  <conditionalFormatting sqref="Q29:AE29">
    <cfRule type="expression" dxfId="33" priority="5">
      <formula>$AD$29&gt;0</formula>
    </cfRule>
  </conditionalFormatting>
  <conditionalFormatting sqref="Q30:AE30">
    <cfRule type="expression" dxfId="32" priority="4">
      <formula>$AD$30</formula>
    </cfRule>
  </conditionalFormatting>
  <conditionalFormatting sqref="Q31:AE31">
    <cfRule type="expression" dxfId="31" priority="3">
      <formula>$AD$31</formula>
    </cfRule>
  </conditionalFormatting>
  <conditionalFormatting sqref="S11:AE11">
    <cfRule type="expression" dxfId="30" priority="24">
      <formula>AG8&gt;0</formula>
    </cfRule>
  </conditionalFormatting>
  <conditionalFormatting sqref="V14:AE14">
    <cfRule type="expression" dxfId="29" priority="1">
      <formula>$AD$14&gt;0</formula>
    </cfRule>
  </conditionalFormatting>
  <conditionalFormatting sqref="V15:AE15">
    <cfRule type="expression" dxfId="28" priority="2">
      <formula>$AD$15&gt;0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D4ED-7363-4EAA-B060-470F2B6424B6}">
  <sheetPr>
    <tabColor theme="9" tint="0.59999389629810485"/>
  </sheetPr>
  <dimension ref="A1:U460"/>
  <sheetViews>
    <sheetView topLeftCell="A28" zoomScaleNormal="100" zoomScaleSheetLayoutView="100" workbookViewId="0">
      <selection activeCell="C5" sqref="C5"/>
    </sheetView>
  </sheetViews>
  <sheetFormatPr defaultColWidth="9.21875" defaultRowHeight="13.2" x14ac:dyDescent="0.25"/>
  <cols>
    <col min="1" max="1" width="3.44140625" style="167" customWidth="1"/>
    <col min="2" max="2" width="72.77734375" style="208" customWidth="1"/>
    <col min="3" max="3" width="10.77734375" style="208" customWidth="1"/>
    <col min="4" max="4" width="6.21875" style="208" customWidth="1"/>
    <col min="5" max="5" width="7.77734375" style="208" customWidth="1"/>
    <col min="6" max="6" width="5.44140625" style="208" customWidth="1"/>
    <col min="7" max="7" width="8.77734375" style="208" customWidth="1"/>
    <col min="8" max="8" width="10" style="167" customWidth="1"/>
    <col min="9" max="10" width="9.44140625" style="167" bestFit="1" customWidth="1"/>
    <col min="11" max="11" width="9.44140625" style="167" customWidth="1"/>
    <col min="12" max="12" width="9.44140625" style="167" bestFit="1" customWidth="1"/>
    <col min="13" max="13" width="10.21875" style="167" customWidth="1"/>
    <col min="14" max="16384" width="9.21875" style="167"/>
  </cols>
  <sheetData>
    <row r="1" spans="1:21" ht="17.399999999999999" x14ac:dyDescent="0.3">
      <c r="A1" s="163"/>
      <c r="B1" s="163"/>
      <c r="C1" s="163"/>
      <c r="D1" s="163"/>
      <c r="E1" s="163"/>
      <c r="F1" s="163"/>
      <c r="G1" s="164"/>
      <c r="H1" s="165"/>
      <c r="I1" s="166" t="s">
        <v>1057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</row>
    <row r="2" spans="1:21" ht="17.399999999999999" x14ac:dyDescent="0.3">
      <c r="A2" s="163"/>
      <c r="B2" s="166" t="s">
        <v>1058</v>
      </c>
      <c r="C2" s="163"/>
      <c r="D2" s="163"/>
      <c r="E2" s="163"/>
      <c r="F2" s="163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</row>
    <row r="3" spans="1:21" ht="15" x14ac:dyDescent="0.25">
      <c r="A3" s="163"/>
      <c r="B3" s="163"/>
      <c r="C3" s="163"/>
      <c r="D3" s="163"/>
      <c r="E3" s="163"/>
      <c r="F3" s="163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</row>
    <row r="4" spans="1:21" ht="15" x14ac:dyDescent="0.25">
      <c r="A4" s="163"/>
      <c r="B4" s="163"/>
      <c r="C4" s="168"/>
      <c r="D4" s="163"/>
      <c r="E4" s="163"/>
      <c r="F4" s="163"/>
      <c r="G4" s="164"/>
      <c r="H4" s="164"/>
      <c r="I4" s="169" t="s">
        <v>1059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</row>
    <row r="5" spans="1:21" ht="15" x14ac:dyDescent="0.25">
      <c r="A5" s="163"/>
      <c r="B5" s="170" t="s">
        <v>1060</v>
      </c>
      <c r="C5" s="171">
        <v>160</v>
      </c>
      <c r="D5" s="163" t="s">
        <v>56</v>
      </c>
      <c r="E5" s="163"/>
      <c r="F5" s="163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</row>
    <row r="6" spans="1:21" ht="15" x14ac:dyDescent="0.25">
      <c r="A6" s="163"/>
      <c r="B6" s="170" t="s">
        <v>1061</v>
      </c>
      <c r="C6" s="171">
        <v>1</v>
      </c>
      <c r="D6" s="163" t="s">
        <v>51</v>
      </c>
      <c r="E6" s="163"/>
      <c r="F6" s="163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</row>
    <row r="7" spans="1:21" ht="15" x14ac:dyDescent="0.25">
      <c r="A7" s="163"/>
      <c r="B7" s="170" t="s">
        <v>1062</v>
      </c>
      <c r="C7" s="172">
        <f>C5*C6</f>
        <v>160</v>
      </c>
      <c r="D7" s="163" t="s">
        <v>57</v>
      </c>
      <c r="E7" s="163"/>
      <c r="F7" s="163"/>
      <c r="G7" s="164"/>
      <c r="H7" s="164"/>
      <c r="I7" s="164" t="s">
        <v>1063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</row>
    <row r="8" spans="1:21" ht="15" x14ac:dyDescent="0.25">
      <c r="A8" s="163"/>
      <c r="B8" s="170" t="s">
        <v>1064</v>
      </c>
      <c r="C8" s="173">
        <v>0</v>
      </c>
      <c r="D8" s="163"/>
      <c r="E8" s="163"/>
      <c r="F8" s="163"/>
      <c r="G8" s="164"/>
      <c r="H8" s="164"/>
      <c r="I8" s="174" t="s">
        <v>1065</v>
      </c>
      <c r="J8" s="175">
        <f>C30</f>
        <v>2.9</v>
      </c>
      <c r="K8" s="164" t="s">
        <v>58</v>
      </c>
      <c r="L8" s="164"/>
      <c r="M8" s="164"/>
      <c r="N8" s="164"/>
      <c r="O8" s="164"/>
      <c r="P8" s="164"/>
      <c r="Q8" s="164"/>
      <c r="R8" s="164"/>
      <c r="S8" s="164"/>
      <c r="T8" s="164"/>
      <c r="U8" s="164"/>
    </row>
    <row r="9" spans="1:21" ht="15" x14ac:dyDescent="0.25">
      <c r="A9" s="163"/>
      <c r="B9" s="170" t="s">
        <v>1066</v>
      </c>
      <c r="C9" s="172">
        <f>(C5-C5*C8)</f>
        <v>160</v>
      </c>
      <c r="D9" s="163" t="s">
        <v>56</v>
      </c>
      <c r="E9" s="163"/>
      <c r="F9" s="163"/>
      <c r="G9" s="164"/>
      <c r="H9" s="164"/>
      <c r="I9" s="174" t="s">
        <v>306</v>
      </c>
      <c r="J9" s="175">
        <f>C28</f>
        <v>1.25</v>
      </c>
      <c r="K9" s="164" t="s">
        <v>58</v>
      </c>
      <c r="L9" s="164"/>
      <c r="M9" s="164"/>
      <c r="N9" s="164"/>
      <c r="O9" s="164"/>
      <c r="P9" s="164"/>
      <c r="Q9" s="164"/>
      <c r="R9" s="164"/>
      <c r="S9" s="164"/>
      <c r="T9" s="164"/>
      <c r="U9" s="164"/>
    </row>
    <row r="10" spans="1:21" ht="15" x14ac:dyDescent="0.25">
      <c r="A10" s="163"/>
      <c r="B10" s="170" t="s">
        <v>1067</v>
      </c>
      <c r="C10" s="172">
        <f>C9*C6</f>
        <v>160</v>
      </c>
      <c r="D10" s="163" t="s">
        <v>57</v>
      </c>
      <c r="E10" s="163"/>
      <c r="F10" s="163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</row>
    <row r="11" spans="1:21" ht="15" x14ac:dyDescent="0.25">
      <c r="A11" s="163"/>
      <c r="B11" s="170" t="s">
        <v>1068</v>
      </c>
      <c r="C11" s="176">
        <f>100-C13</f>
        <v>2</v>
      </c>
      <c r="D11" s="163" t="s">
        <v>212</v>
      </c>
      <c r="E11" s="163"/>
      <c r="F11" s="163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</row>
    <row r="12" spans="1:21" ht="15" x14ac:dyDescent="0.25">
      <c r="A12" s="163"/>
      <c r="B12" s="170" t="s">
        <v>1069</v>
      </c>
      <c r="C12" s="172">
        <f>C10*C11/100</f>
        <v>3.2</v>
      </c>
      <c r="D12" s="163" t="s">
        <v>57</v>
      </c>
      <c r="E12" s="177"/>
      <c r="F12" s="163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</row>
    <row r="13" spans="1:21" ht="15" x14ac:dyDescent="0.25">
      <c r="A13" s="163"/>
      <c r="B13" s="170" t="s">
        <v>1070</v>
      </c>
      <c r="C13" s="178">
        <v>98</v>
      </c>
      <c r="D13" s="163" t="s">
        <v>212</v>
      </c>
      <c r="E13" s="163"/>
      <c r="F13" s="163"/>
      <c r="G13" s="164"/>
      <c r="H13" s="164"/>
      <c r="I13" s="169" t="s">
        <v>1071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</row>
    <row r="14" spans="1:21" ht="15" x14ac:dyDescent="0.25">
      <c r="A14" s="163"/>
      <c r="B14" s="170" t="s">
        <v>1072</v>
      </c>
      <c r="C14" s="172">
        <f>C10*C13/100</f>
        <v>156.80000000000001</v>
      </c>
      <c r="D14" s="163" t="s">
        <v>57</v>
      </c>
      <c r="E14" s="163"/>
      <c r="F14" s="163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</row>
    <row r="15" spans="1:21" ht="15" x14ac:dyDescent="0.25">
      <c r="A15" s="163"/>
      <c r="B15" s="170" t="s">
        <v>1073</v>
      </c>
      <c r="C15" s="171">
        <v>21</v>
      </c>
      <c r="D15" s="163" t="s">
        <v>1074</v>
      </c>
      <c r="E15" s="163"/>
      <c r="F15" s="163"/>
      <c r="G15" s="164"/>
      <c r="H15" s="164"/>
      <c r="I15" s="164" t="s">
        <v>1075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</row>
    <row r="16" spans="1:21" ht="15" x14ac:dyDescent="0.25">
      <c r="A16" s="163"/>
      <c r="B16" s="170" t="s">
        <v>1076</v>
      </c>
      <c r="C16" s="171">
        <v>10</v>
      </c>
      <c r="D16" s="163" t="s">
        <v>52</v>
      </c>
      <c r="E16" s="163"/>
      <c r="F16" s="163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</row>
    <row r="17" spans="1:21" ht="30" x14ac:dyDescent="0.25">
      <c r="A17" s="163"/>
      <c r="B17" s="179" t="s">
        <v>1077</v>
      </c>
      <c r="C17" s="180">
        <f>((F43-F44)/5)*(C11-E44)+F44</f>
        <v>0.90480000000000005</v>
      </c>
      <c r="D17" s="163"/>
      <c r="E17" s="163"/>
      <c r="F17" s="163"/>
      <c r="G17" s="164"/>
      <c r="H17" s="164"/>
      <c r="I17" s="164"/>
      <c r="J17" s="164" t="s">
        <v>1078</v>
      </c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</row>
    <row r="18" spans="1:21" ht="30.75" customHeight="1" x14ac:dyDescent="0.25">
      <c r="A18" s="163"/>
      <c r="B18" s="179" t="s">
        <v>1079</v>
      </c>
      <c r="C18" s="180">
        <v>2</v>
      </c>
      <c r="D18" s="171">
        <v>90</v>
      </c>
      <c r="E18" s="163" t="s">
        <v>212</v>
      </c>
      <c r="F18" s="163"/>
      <c r="G18" s="164"/>
      <c r="H18" s="164"/>
      <c r="I18" s="164"/>
      <c r="J18" s="164" t="s">
        <v>1080</v>
      </c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</row>
    <row r="19" spans="1:21" ht="30" x14ac:dyDescent="0.25">
      <c r="A19" s="163"/>
      <c r="B19" s="179" t="s">
        <v>1081</v>
      </c>
      <c r="C19" s="171">
        <v>1.1499999999999999</v>
      </c>
      <c r="D19" s="163"/>
      <c r="E19" s="163"/>
      <c r="F19" s="163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</row>
    <row r="20" spans="1:21" ht="30" x14ac:dyDescent="0.25">
      <c r="A20" s="163"/>
      <c r="B20" s="179" t="s">
        <v>1082</v>
      </c>
      <c r="C20" s="171">
        <v>1</v>
      </c>
      <c r="D20" s="163"/>
      <c r="E20" s="163"/>
      <c r="F20" s="163"/>
      <c r="G20" s="163"/>
      <c r="H20" s="164"/>
      <c r="I20" s="164" t="s">
        <v>1083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</row>
    <row r="21" spans="1:21" ht="30" x14ac:dyDescent="0.25">
      <c r="A21" s="163"/>
      <c r="B21" s="179" t="s">
        <v>1084</v>
      </c>
      <c r="C21" s="171">
        <v>1</v>
      </c>
      <c r="D21" s="163"/>
      <c r="E21" s="163"/>
      <c r="F21" s="163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</row>
    <row r="22" spans="1:21" ht="30" x14ac:dyDescent="0.25">
      <c r="A22" s="163"/>
      <c r="B22" s="179" t="s">
        <v>1085</v>
      </c>
      <c r="C22" s="171">
        <v>1</v>
      </c>
      <c r="D22" s="163"/>
      <c r="E22" s="163"/>
      <c r="F22" s="163"/>
      <c r="G22" s="164"/>
      <c r="H22" s="164"/>
      <c r="I22" s="164"/>
      <c r="J22" s="164" t="s">
        <v>1086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</row>
    <row r="23" spans="1:21" ht="30" x14ac:dyDescent="0.25">
      <c r="A23" s="163"/>
      <c r="B23" s="179" t="s">
        <v>1087</v>
      </c>
      <c r="C23" s="171">
        <v>1</v>
      </c>
      <c r="D23" s="163"/>
      <c r="E23" s="163"/>
      <c r="F23" s="163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</row>
    <row r="24" spans="1:21" ht="30" x14ac:dyDescent="0.25">
      <c r="A24" s="163"/>
      <c r="B24" s="179" t="s">
        <v>1088</v>
      </c>
      <c r="C24" s="171">
        <v>1.1000000000000001</v>
      </c>
      <c r="D24" s="163"/>
      <c r="E24" s="163"/>
      <c r="F24" s="163"/>
      <c r="G24" s="164"/>
      <c r="H24" s="164"/>
      <c r="I24" s="174" t="s">
        <v>306</v>
      </c>
      <c r="J24" s="175">
        <f>C28</f>
        <v>1.25</v>
      </c>
      <c r="K24" s="164" t="s">
        <v>58</v>
      </c>
      <c r="L24" s="164"/>
      <c r="M24" s="164"/>
      <c r="N24" s="164"/>
      <c r="O24" s="164"/>
      <c r="P24" s="164"/>
      <c r="Q24" s="164"/>
      <c r="R24" s="164"/>
      <c r="S24" s="164"/>
      <c r="T24" s="164"/>
      <c r="U24" s="164"/>
    </row>
    <row r="25" spans="1:21" ht="15" x14ac:dyDescent="0.25">
      <c r="A25" s="163"/>
      <c r="B25" s="163"/>
      <c r="C25" s="163"/>
      <c r="D25" s="163"/>
      <c r="E25" s="163"/>
      <c r="F25" s="163"/>
      <c r="G25" s="164"/>
      <c r="H25" s="164"/>
      <c r="I25" s="174" t="s">
        <v>1089</v>
      </c>
      <c r="J25" s="181">
        <f>42.2/(J24^0.5)</f>
        <v>37.744827460196454</v>
      </c>
      <c r="K25" s="164" t="s">
        <v>347</v>
      </c>
      <c r="L25" s="164"/>
      <c r="M25" s="164"/>
      <c r="N25" s="164"/>
      <c r="O25" s="164"/>
      <c r="P25" s="164"/>
      <c r="Q25" s="164"/>
      <c r="R25" s="164"/>
      <c r="S25" s="164"/>
      <c r="T25" s="164"/>
      <c r="U25" s="164"/>
    </row>
    <row r="26" spans="1:21" ht="15" x14ac:dyDescent="0.25">
      <c r="A26" s="163"/>
      <c r="B26" s="163"/>
      <c r="C26" s="163"/>
      <c r="D26" s="163"/>
      <c r="E26" s="163"/>
      <c r="F26" s="163"/>
      <c r="G26" s="164"/>
      <c r="H26" s="164"/>
      <c r="I26" s="174"/>
      <c r="J26" s="182">
        <v>0.45</v>
      </c>
      <c r="K26" s="164" t="s">
        <v>1090</v>
      </c>
      <c r="L26" s="164"/>
      <c r="M26" s="164"/>
      <c r="N26" s="164"/>
      <c r="O26" s="164"/>
      <c r="P26" s="164"/>
      <c r="Q26" s="164"/>
      <c r="R26" s="164"/>
      <c r="S26" s="164"/>
      <c r="T26" s="164"/>
      <c r="U26" s="164"/>
    </row>
    <row r="27" spans="1:21" ht="15" x14ac:dyDescent="0.25">
      <c r="A27" s="163"/>
      <c r="B27" s="170" t="s">
        <v>1091</v>
      </c>
      <c r="C27" s="183">
        <f>C9/(C15*C17*C18*C19*C20*C21*C22*C23*C24)</f>
        <v>3.3283391604231185</v>
      </c>
      <c r="D27" s="163" t="s">
        <v>67</v>
      </c>
      <c r="E27" s="184">
        <f>C31/C27</f>
        <v>1.1405083187247751</v>
      </c>
      <c r="F27" s="163" t="s">
        <v>1092</v>
      </c>
      <c r="G27" s="164"/>
      <c r="H27" s="164"/>
      <c r="I27" s="17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</row>
    <row r="28" spans="1:21" ht="15" x14ac:dyDescent="0.25">
      <c r="A28" s="163"/>
      <c r="B28" s="170" t="s">
        <v>1093</v>
      </c>
      <c r="C28" s="171">
        <v>1.25</v>
      </c>
      <c r="D28" s="163"/>
      <c r="E28" s="184"/>
      <c r="F28" s="163"/>
      <c r="G28" s="164"/>
      <c r="H28" s="164"/>
      <c r="I28" s="174" t="s">
        <v>1094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</row>
    <row r="29" spans="1:21" ht="15" x14ac:dyDescent="0.25">
      <c r="A29" s="163"/>
      <c r="B29" s="170" t="s">
        <v>1095</v>
      </c>
      <c r="C29" s="183">
        <f>3.141516*C28</f>
        <v>3.926895</v>
      </c>
      <c r="D29" s="163" t="s">
        <v>58</v>
      </c>
      <c r="E29" s="185" t="s">
        <v>1096</v>
      </c>
      <c r="F29" s="186">
        <f>C30/C28</f>
        <v>2.3199999999999998</v>
      </c>
      <c r="G29" s="164"/>
      <c r="H29" s="164"/>
      <c r="I29" s="174" t="s">
        <v>1097</v>
      </c>
      <c r="J29" s="181">
        <f>J25*J26</f>
        <v>16.985172357088405</v>
      </c>
      <c r="K29" s="164" t="s">
        <v>1098</v>
      </c>
      <c r="L29" s="164"/>
      <c r="M29" s="164"/>
      <c r="N29" s="164"/>
      <c r="O29" s="164"/>
      <c r="P29" s="164"/>
      <c r="Q29" s="164"/>
      <c r="R29" s="164"/>
      <c r="S29" s="164"/>
      <c r="T29" s="164"/>
      <c r="U29" s="164"/>
    </row>
    <row r="30" spans="1:21" ht="15" x14ac:dyDescent="0.25">
      <c r="A30" s="163"/>
      <c r="B30" s="170" t="s">
        <v>1099</v>
      </c>
      <c r="C30" s="171">
        <v>2.9</v>
      </c>
      <c r="D30" s="163" t="s">
        <v>58</v>
      </c>
      <c r="E30" s="177"/>
      <c r="F30" s="163"/>
      <c r="G30" s="164"/>
      <c r="H30" s="164"/>
      <c r="I30" s="164"/>
      <c r="J30" s="164">
        <v>1750</v>
      </c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</row>
    <row r="31" spans="1:21" ht="15" x14ac:dyDescent="0.25">
      <c r="A31" s="163"/>
      <c r="B31" s="170" t="s">
        <v>1100</v>
      </c>
      <c r="C31" s="187">
        <f>C29*C30*1/3</f>
        <v>3.7959985000000001</v>
      </c>
      <c r="D31" s="163" t="s">
        <v>67</v>
      </c>
      <c r="E31" s="188" t="s">
        <v>1101</v>
      </c>
      <c r="F31" s="163"/>
      <c r="G31" s="164"/>
      <c r="H31" s="164"/>
      <c r="I31" s="164"/>
      <c r="J31" s="189">
        <f>J30/J29</f>
        <v>103.03104161728886</v>
      </c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</row>
    <row r="32" spans="1:21" ht="15" x14ac:dyDescent="0.25">
      <c r="A32" s="163"/>
      <c r="B32" s="163"/>
      <c r="C32" s="163"/>
      <c r="D32" s="163"/>
      <c r="E32" s="163"/>
      <c r="F32" s="163"/>
      <c r="G32" s="164"/>
      <c r="H32" s="164"/>
      <c r="I32" s="169" t="s">
        <v>1102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</row>
    <row r="33" spans="1:21" ht="15" x14ac:dyDescent="0.25">
      <c r="A33" s="163"/>
      <c r="B33" s="163" t="s">
        <v>1103</v>
      </c>
      <c r="C33" s="163"/>
      <c r="D33" s="163"/>
      <c r="E33" s="163"/>
      <c r="F33" s="163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</row>
    <row r="34" spans="1:21" ht="15" x14ac:dyDescent="0.25">
      <c r="A34" s="163"/>
      <c r="B34" s="170" t="s">
        <v>1104</v>
      </c>
      <c r="C34" s="190">
        <f>C5*C11/(C6*100)</f>
        <v>3.2</v>
      </c>
      <c r="D34" s="163" t="s">
        <v>56</v>
      </c>
      <c r="E34" s="163"/>
      <c r="F34" s="163"/>
      <c r="G34" s="164"/>
      <c r="H34" s="164"/>
      <c r="I34" s="164" t="s">
        <v>1105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</row>
    <row r="35" spans="1:21" ht="15" x14ac:dyDescent="0.25">
      <c r="A35" s="163"/>
      <c r="B35" s="170" t="s">
        <v>1106</v>
      </c>
      <c r="C35" s="171">
        <v>30</v>
      </c>
      <c r="D35" s="163" t="s">
        <v>431</v>
      </c>
      <c r="E35" s="163"/>
      <c r="F35" s="163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</row>
    <row r="36" spans="1:21" ht="16.2" x14ac:dyDescent="0.3">
      <c r="A36" s="163"/>
      <c r="B36" s="170" t="s">
        <v>1099</v>
      </c>
      <c r="C36" s="190">
        <f>C30</f>
        <v>2.9</v>
      </c>
      <c r="D36" s="163" t="s">
        <v>58</v>
      </c>
      <c r="E36" s="163"/>
      <c r="F36" s="163"/>
      <c r="G36" s="164"/>
      <c r="H36" s="164"/>
      <c r="I36" s="164" t="s">
        <v>1107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</row>
    <row r="37" spans="1:21" ht="15" x14ac:dyDescent="0.25">
      <c r="A37" s="163"/>
      <c r="B37" s="163"/>
      <c r="C37" s="163"/>
      <c r="D37" s="163"/>
      <c r="E37" s="163"/>
      <c r="F37" s="163"/>
      <c r="G37" s="164"/>
      <c r="H37" s="164"/>
      <c r="I37" s="164" t="s">
        <v>1108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</row>
    <row r="38" spans="1:21" ht="15" x14ac:dyDescent="0.25">
      <c r="A38" s="163"/>
      <c r="B38" s="191" t="s">
        <v>1404</v>
      </c>
      <c r="C38" s="163"/>
      <c r="D38" s="163"/>
      <c r="E38" s="163"/>
      <c r="F38" s="163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</row>
    <row r="39" spans="1:21" ht="15" x14ac:dyDescent="0.25">
      <c r="A39" s="163"/>
      <c r="B39" s="192"/>
      <c r="C39" s="193"/>
      <c r="D39" s="193"/>
      <c r="E39" s="193"/>
      <c r="F39" s="193"/>
      <c r="G39" s="164"/>
      <c r="H39" s="164"/>
      <c r="I39" s="164" t="s">
        <v>1109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</row>
    <row r="40" spans="1:21" x14ac:dyDescent="0.25"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</row>
    <row r="41" spans="1:21" x14ac:dyDescent="0.25">
      <c r="B41" s="164"/>
      <c r="C41" s="164"/>
      <c r="D41" s="164"/>
      <c r="E41" s="164"/>
      <c r="F41" s="164"/>
      <c r="G41" s="164"/>
      <c r="H41" s="164"/>
      <c r="I41" s="164" t="s">
        <v>1110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</row>
    <row r="42" spans="1:21" ht="15" x14ac:dyDescent="0.25">
      <c r="B42" s="192"/>
      <c r="C42" s="245" t="s">
        <v>1111</v>
      </c>
      <c r="D42" s="245"/>
      <c r="E42" s="167"/>
      <c r="F42" s="194" t="s">
        <v>1112</v>
      </c>
      <c r="G42" s="164"/>
      <c r="H42" s="164"/>
      <c r="I42" s="164" t="s">
        <v>1113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</row>
    <row r="43" spans="1:21" ht="15" x14ac:dyDescent="0.25">
      <c r="B43" s="192"/>
      <c r="C43" s="195" t="s">
        <v>1114</v>
      </c>
      <c r="D43" s="195"/>
      <c r="E43" s="196" cm="1">
        <f t="array" ref="E43">SUMPRODUCT(LARGE((C44:C63&gt;C11)*(C44:C63),COUNTIF(C44:C63,"&gt;"&amp;C11)))</f>
        <v>5</v>
      </c>
      <c r="F43" s="197">
        <f>VLOOKUP(E43,C44:D63,2,)</f>
        <v>0.91200000000000003</v>
      </c>
      <c r="G43" s="164"/>
      <c r="H43" s="164"/>
      <c r="I43" s="164" t="s">
        <v>1115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</row>
    <row r="44" spans="1:21" x14ac:dyDescent="0.25">
      <c r="B44" s="164"/>
      <c r="C44" s="195">
        <v>0</v>
      </c>
      <c r="D44" s="195">
        <v>0.9</v>
      </c>
      <c r="E44" s="196">
        <f>E43-5</f>
        <v>0</v>
      </c>
      <c r="F44" s="197">
        <f>VLOOKUP(E44,C44:D63,2,)</f>
        <v>0.9</v>
      </c>
      <c r="G44" s="164"/>
      <c r="H44" s="164"/>
      <c r="I44" s="164" t="s">
        <v>1116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</row>
    <row r="45" spans="1:21" x14ac:dyDescent="0.25">
      <c r="B45" s="164"/>
      <c r="C45" s="195">
        <v>5</v>
      </c>
      <c r="D45" s="195">
        <v>0.91200000000000003</v>
      </c>
      <c r="E45" s="167"/>
      <c r="F45" s="167"/>
      <c r="G45" s="164"/>
      <c r="H45" s="164"/>
      <c r="I45" s="164" t="s">
        <v>1117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</row>
    <row r="46" spans="1:21" x14ac:dyDescent="0.25">
      <c r="B46" s="164"/>
      <c r="C46" s="195">
        <v>10</v>
      </c>
      <c r="D46" s="195">
        <v>0.92500000000000004</v>
      </c>
      <c r="E46" s="167"/>
      <c r="F46" s="167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</row>
    <row r="47" spans="1:21" x14ac:dyDescent="0.25">
      <c r="B47" s="164"/>
      <c r="C47" s="195">
        <v>15</v>
      </c>
      <c r="D47" s="195">
        <v>0.95</v>
      </c>
      <c r="E47" s="167"/>
      <c r="F47" s="167"/>
      <c r="G47" s="164"/>
      <c r="H47" s="164"/>
      <c r="I47" s="164" t="s">
        <v>91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</row>
    <row r="48" spans="1:21" x14ac:dyDescent="0.25">
      <c r="B48" s="164"/>
      <c r="C48" s="195">
        <v>20</v>
      </c>
      <c r="D48" s="195">
        <v>0.97499999999999998</v>
      </c>
      <c r="E48" s="167"/>
      <c r="F48" s="167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</row>
    <row r="49" spans="2:21" x14ac:dyDescent="0.25">
      <c r="B49" s="164"/>
      <c r="C49" s="195">
        <v>25</v>
      </c>
      <c r="D49" s="195">
        <v>1</v>
      </c>
      <c r="E49" s="167"/>
      <c r="F49" s="167"/>
      <c r="G49" s="164"/>
      <c r="H49" s="164"/>
      <c r="I49" s="174" t="s">
        <v>613</v>
      </c>
      <c r="J49" s="175">
        <v>4</v>
      </c>
      <c r="K49" s="164" t="s">
        <v>1118</v>
      </c>
      <c r="L49" s="164"/>
      <c r="M49" s="164"/>
      <c r="N49" s="164"/>
      <c r="O49" s="164"/>
      <c r="P49" s="164"/>
      <c r="Q49" s="164"/>
      <c r="R49" s="164"/>
      <c r="S49" s="164"/>
      <c r="T49" s="164"/>
      <c r="U49" s="164"/>
    </row>
    <row r="50" spans="2:21" x14ac:dyDescent="0.25">
      <c r="B50" s="164"/>
      <c r="C50" s="195">
        <v>30</v>
      </c>
      <c r="D50" s="195">
        <v>1.02</v>
      </c>
      <c r="E50" s="167"/>
      <c r="F50" s="167"/>
      <c r="G50" s="164"/>
      <c r="H50" s="164"/>
      <c r="I50" s="174" t="s">
        <v>1119</v>
      </c>
      <c r="J50" s="175">
        <v>15</v>
      </c>
      <c r="K50" s="164" t="s">
        <v>1120</v>
      </c>
      <c r="L50" s="164"/>
      <c r="M50" s="164"/>
      <c r="N50" s="164"/>
      <c r="O50" s="164"/>
      <c r="P50" s="164"/>
      <c r="Q50" s="164"/>
      <c r="R50" s="164"/>
      <c r="S50" s="164"/>
      <c r="T50" s="164"/>
      <c r="U50" s="164"/>
    </row>
    <row r="51" spans="2:21" x14ac:dyDescent="0.25">
      <c r="B51" s="164"/>
      <c r="C51" s="195">
        <v>35</v>
      </c>
      <c r="D51" s="195">
        <v>1.06</v>
      </c>
      <c r="E51" s="167"/>
      <c r="F51" s="167"/>
      <c r="G51" s="164"/>
      <c r="H51" s="164"/>
      <c r="I51" s="174" t="s">
        <v>1121</v>
      </c>
      <c r="J51" s="181">
        <f>J29</f>
        <v>16.985172357088405</v>
      </c>
      <c r="K51" s="164" t="s">
        <v>347</v>
      </c>
      <c r="L51" s="164"/>
      <c r="M51" s="164"/>
      <c r="N51" s="164"/>
      <c r="O51" s="164"/>
      <c r="P51" s="164"/>
      <c r="Q51" s="164"/>
      <c r="R51" s="164"/>
      <c r="S51" s="164"/>
      <c r="T51" s="164"/>
      <c r="U51" s="164"/>
    </row>
    <row r="52" spans="2:21" x14ac:dyDescent="0.25">
      <c r="B52" s="164"/>
      <c r="C52" s="195">
        <v>40</v>
      </c>
      <c r="D52" s="195">
        <v>1.085</v>
      </c>
      <c r="E52" s="167"/>
      <c r="F52" s="167"/>
      <c r="G52" s="164"/>
      <c r="H52" s="164"/>
      <c r="I52" s="174" t="s">
        <v>276</v>
      </c>
      <c r="J52" s="181">
        <v>3.3</v>
      </c>
      <c r="K52" s="164" t="s">
        <v>58</v>
      </c>
      <c r="L52" s="164"/>
      <c r="M52" s="164"/>
      <c r="N52" s="164"/>
      <c r="O52" s="164"/>
      <c r="P52" s="164"/>
      <c r="Q52" s="164"/>
      <c r="R52" s="164"/>
      <c r="S52" s="164"/>
      <c r="T52" s="164"/>
      <c r="U52" s="164"/>
    </row>
    <row r="53" spans="2:21" x14ac:dyDescent="0.25">
      <c r="B53" s="164"/>
      <c r="C53" s="195">
        <v>45</v>
      </c>
      <c r="D53" s="195">
        <v>1.1200000000000001</v>
      </c>
      <c r="E53" s="167"/>
      <c r="F53" s="167"/>
      <c r="G53" s="164"/>
      <c r="H53" s="164"/>
      <c r="I53" s="174" t="s">
        <v>306</v>
      </c>
      <c r="J53" s="181">
        <v>1.3</v>
      </c>
      <c r="K53" s="164" t="s">
        <v>58</v>
      </c>
      <c r="L53" s="164"/>
      <c r="M53" s="164"/>
      <c r="N53" s="164"/>
      <c r="O53" s="164"/>
      <c r="P53" s="164"/>
      <c r="Q53" s="164"/>
      <c r="R53" s="164"/>
      <c r="S53" s="164"/>
      <c r="T53" s="164"/>
      <c r="U53" s="164"/>
    </row>
    <row r="54" spans="2:21" x14ac:dyDescent="0.25">
      <c r="B54" s="164"/>
      <c r="C54" s="195">
        <v>50</v>
      </c>
      <c r="D54" s="195">
        <v>1.1599999999999999</v>
      </c>
      <c r="E54" s="167"/>
      <c r="F54" s="167"/>
      <c r="G54" s="164"/>
      <c r="H54" s="164"/>
      <c r="I54" s="17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</row>
    <row r="55" spans="2:21" x14ac:dyDescent="0.25">
      <c r="B55" s="164"/>
      <c r="C55" s="195">
        <v>55</v>
      </c>
      <c r="D55" s="195">
        <v>1.22</v>
      </c>
      <c r="E55" s="167"/>
      <c r="F55" s="167"/>
      <c r="G55" s="164"/>
      <c r="H55" s="164"/>
      <c r="I55" s="174" t="s">
        <v>1094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</row>
    <row r="56" spans="2:21" x14ac:dyDescent="0.25">
      <c r="B56" s="164"/>
      <c r="C56" s="195">
        <v>60</v>
      </c>
      <c r="D56" s="195">
        <v>1.26</v>
      </c>
      <c r="E56" s="167"/>
      <c r="F56" s="167"/>
      <c r="G56" s="164"/>
      <c r="H56" s="164"/>
      <c r="I56" s="174" t="s">
        <v>1122</v>
      </c>
      <c r="J56" s="181">
        <f>(5.13*(J50^0.5)*J52)/(J49*J53*J51)</f>
        <v>0.74234131631358402</v>
      </c>
      <c r="K56" s="164" t="s">
        <v>1123</v>
      </c>
      <c r="L56" s="164"/>
      <c r="M56" s="164"/>
      <c r="N56" s="164"/>
      <c r="O56" s="164"/>
      <c r="P56" s="164"/>
      <c r="Q56" s="164"/>
      <c r="R56" s="164"/>
      <c r="S56" s="164"/>
      <c r="T56" s="164"/>
      <c r="U56" s="164"/>
    </row>
    <row r="57" spans="2:21" x14ac:dyDescent="0.25">
      <c r="B57" s="164"/>
      <c r="C57" s="195">
        <v>65</v>
      </c>
      <c r="D57" s="195">
        <v>1.36</v>
      </c>
      <c r="E57" s="167"/>
      <c r="F57" s="167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</row>
    <row r="58" spans="2:21" x14ac:dyDescent="0.25">
      <c r="B58" s="164"/>
      <c r="C58" s="195">
        <v>70</v>
      </c>
      <c r="D58" s="195">
        <v>1.54</v>
      </c>
      <c r="E58" s="167"/>
      <c r="F58" s="167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</row>
    <row r="59" spans="2:21" x14ac:dyDescent="0.25">
      <c r="B59" s="164"/>
      <c r="C59" s="195">
        <v>75</v>
      </c>
      <c r="D59" s="195">
        <v>1.76</v>
      </c>
      <c r="E59" s="167"/>
      <c r="F59" s="167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</row>
    <row r="60" spans="2:21" x14ac:dyDescent="0.25">
      <c r="B60" s="164"/>
      <c r="C60" s="195">
        <v>80</v>
      </c>
      <c r="D60" s="195">
        <v>1.98</v>
      </c>
      <c r="E60" s="167"/>
      <c r="F60" s="167"/>
      <c r="G60" s="164"/>
      <c r="H60" s="164"/>
      <c r="I60" s="169" t="s">
        <v>1124</v>
      </c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</row>
    <row r="61" spans="2:21" x14ac:dyDescent="0.25">
      <c r="B61" s="164"/>
      <c r="C61" s="195">
        <v>85</v>
      </c>
      <c r="D61" s="195">
        <v>2.6</v>
      </c>
      <c r="E61" s="167"/>
      <c r="F61" s="167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</row>
    <row r="62" spans="2:21" x14ac:dyDescent="0.25">
      <c r="B62" s="164"/>
      <c r="C62" s="195">
        <v>90</v>
      </c>
      <c r="D62" s="195">
        <v>3.2</v>
      </c>
      <c r="E62" s="167"/>
      <c r="F62" s="167"/>
      <c r="G62" s="164"/>
      <c r="H62" s="164"/>
      <c r="I62" s="164" t="s">
        <v>1125</v>
      </c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</row>
    <row r="63" spans="2:21" x14ac:dyDescent="0.25">
      <c r="B63" s="164"/>
      <c r="C63" s="195">
        <v>95</v>
      </c>
      <c r="D63" s="195">
        <v>5</v>
      </c>
      <c r="E63" s="167"/>
      <c r="F63" s="167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</row>
    <row r="64" spans="2:21" x14ac:dyDescent="0.25">
      <c r="B64" s="164"/>
      <c r="C64" s="164"/>
      <c r="D64" s="164"/>
      <c r="E64" s="164"/>
      <c r="F64" s="164"/>
      <c r="G64" s="164"/>
      <c r="H64" s="164"/>
      <c r="I64" s="164" t="s">
        <v>1126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</row>
    <row r="65" spans="2:21" x14ac:dyDescent="0.25"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</row>
    <row r="66" spans="2:21" x14ac:dyDescent="0.25">
      <c r="B66" s="164"/>
      <c r="C66" s="164"/>
      <c r="D66" s="164"/>
      <c r="E66" s="164"/>
      <c r="F66" s="164"/>
      <c r="G66" s="164"/>
      <c r="H66" s="164"/>
      <c r="I66" s="164" t="s">
        <v>1127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</row>
    <row r="67" spans="2:21" x14ac:dyDescent="0.25">
      <c r="B67" s="164"/>
      <c r="C67" s="164"/>
      <c r="D67" s="164"/>
      <c r="E67" s="164"/>
      <c r="F67" s="164"/>
      <c r="G67" s="164"/>
      <c r="H67" s="164"/>
      <c r="I67" s="164"/>
      <c r="J67" s="198">
        <v>4</v>
      </c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</row>
    <row r="68" spans="2:21" x14ac:dyDescent="0.25">
      <c r="B68" s="164"/>
      <c r="C68" s="164"/>
      <c r="D68" s="164"/>
      <c r="E68" s="164"/>
      <c r="F68" s="164"/>
      <c r="G68" s="164"/>
      <c r="H68" s="164"/>
      <c r="I68" s="164"/>
      <c r="J68" s="198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</row>
    <row r="69" spans="2:21" x14ac:dyDescent="0.25">
      <c r="B69" s="164"/>
      <c r="C69" s="164"/>
      <c r="D69" s="164"/>
      <c r="E69" s="164"/>
      <c r="F69" s="164"/>
      <c r="G69" s="164"/>
      <c r="H69" s="164"/>
      <c r="I69" s="164" t="s">
        <v>1128</v>
      </c>
      <c r="J69" s="198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</row>
    <row r="70" spans="2:21" x14ac:dyDescent="0.25">
      <c r="B70" s="164"/>
      <c r="C70" s="164"/>
      <c r="D70" s="164"/>
      <c r="E70" s="164"/>
      <c r="F70" s="164"/>
      <c r="G70" s="164"/>
      <c r="H70" s="164"/>
      <c r="I70" s="174" t="s">
        <v>1129</v>
      </c>
      <c r="J70" s="181">
        <f>J8*3.1416*J9*J9/4</f>
        <v>3.5588437500000003</v>
      </c>
      <c r="K70" s="164" t="s">
        <v>1130</v>
      </c>
      <c r="L70" s="164"/>
      <c r="M70" s="164"/>
      <c r="N70" s="164"/>
      <c r="O70" s="164"/>
      <c r="P70" s="164"/>
      <c r="Q70" s="164"/>
      <c r="R70" s="164"/>
      <c r="S70" s="164"/>
      <c r="T70" s="164"/>
      <c r="U70" s="164"/>
    </row>
    <row r="71" spans="2:21" x14ac:dyDescent="0.25"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</row>
    <row r="72" spans="2:21" x14ac:dyDescent="0.25"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9" t="s">
        <v>1131</v>
      </c>
      <c r="N72" s="164"/>
      <c r="O72" s="164"/>
      <c r="P72" s="164"/>
      <c r="Q72" s="164"/>
      <c r="R72" s="164"/>
      <c r="S72" s="164"/>
      <c r="T72" s="164"/>
      <c r="U72" s="164"/>
    </row>
    <row r="73" spans="2:21" x14ac:dyDescent="0.25"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</row>
    <row r="74" spans="2:21" x14ac:dyDescent="0.25"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</row>
    <row r="75" spans="2:21" x14ac:dyDescent="0.25">
      <c r="B75" s="164"/>
      <c r="C75" s="164"/>
      <c r="D75" s="164"/>
      <c r="E75" s="164"/>
      <c r="F75" s="164"/>
      <c r="G75" s="164"/>
      <c r="H75" s="164"/>
      <c r="I75" s="164" t="s">
        <v>1132</v>
      </c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</row>
    <row r="76" spans="2:21" x14ac:dyDescent="0.25"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</row>
    <row r="77" spans="2:21" x14ac:dyDescent="0.25">
      <c r="B77" s="164"/>
      <c r="C77" s="164"/>
      <c r="D77" s="164"/>
      <c r="E77" s="164"/>
      <c r="F77" s="164"/>
      <c r="G77" s="164"/>
      <c r="H77" s="164"/>
      <c r="I77" s="199" t="s">
        <v>140</v>
      </c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</row>
    <row r="78" spans="2:21" x14ac:dyDescent="0.25"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</row>
    <row r="79" spans="2:21" x14ac:dyDescent="0.25">
      <c r="B79" s="164"/>
      <c r="C79" s="164"/>
      <c r="D79" s="164"/>
      <c r="E79" s="164"/>
      <c r="F79" s="164"/>
      <c r="G79" s="164"/>
      <c r="H79" s="164"/>
      <c r="I79" s="164" t="s">
        <v>1133</v>
      </c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</row>
    <row r="80" spans="2:21" x14ac:dyDescent="0.25">
      <c r="B80" s="164"/>
      <c r="C80" s="164"/>
      <c r="D80" s="164"/>
      <c r="E80" s="164"/>
      <c r="F80" s="164"/>
      <c r="G80" s="164"/>
      <c r="H80" s="164"/>
      <c r="I80" s="164" t="s">
        <v>1134</v>
      </c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</row>
    <row r="81" spans="2:21" x14ac:dyDescent="0.25"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</row>
    <row r="82" spans="2:21" x14ac:dyDescent="0.25">
      <c r="B82" s="164"/>
      <c r="C82" s="164"/>
      <c r="D82" s="164"/>
      <c r="E82" s="164"/>
      <c r="F82" s="164"/>
      <c r="G82" s="164"/>
      <c r="H82" s="164"/>
      <c r="I82" s="164" t="s">
        <v>1135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</row>
    <row r="83" spans="2:21" x14ac:dyDescent="0.25">
      <c r="B83" s="164"/>
      <c r="C83" s="164"/>
      <c r="D83" s="164"/>
      <c r="E83" s="164"/>
      <c r="F83" s="164"/>
      <c r="G83" s="164"/>
      <c r="H83" s="164"/>
      <c r="I83" s="164" t="s">
        <v>1136</v>
      </c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</row>
    <row r="84" spans="2:21" x14ac:dyDescent="0.25">
      <c r="B84" s="164"/>
      <c r="C84" s="164"/>
      <c r="D84" s="164"/>
      <c r="E84" s="164"/>
      <c r="F84" s="164"/>
      <c r="G84" s="164"/>
      <c r="H84" s="164"/>
      <c r="I84" s="164" t="s">
        <v>1137</v>
      </c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</row>
    <row r="85" spans="2:21" x14ac:dyDescent="0.25"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</row>
    <row r="86" spans="2:21" ht="15.6" x14ac:dyDescent="0.35">
      <c r="B86" s="164"/>
      <c r="C86" s="164"/>
      <c r="D86" s="164"/>
      <c r="E86" s="164"/>
      <c r="F86" s="164"/>
      <c r="G86" s="164"/>
      <c r="H86" s="164"/>
      <c r="I86" s="164" t="s">
        <v>1138</v>
      </c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</row>
    <row r="87" spans="2:21" x14ac:dyDescent="0.25"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</row>
    <row r="88" spans="2:21" x14ac:dyDescent="0.25">
      <c r="B88" s="164"/>
      <c r="C88" s="164"/>
      <c r="D88" s="164"/>
      <c r="E88" s="164"/>
      <c r="F88" s="164"/>
      <c r="G88" s="164"/>
      <c r="H88" s="164"/>
      <c r="I88" s="164" t="s">
        <v>1139</v>
      </c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</row>
    <row r="89" spans="2:21" x14ac:dyDescent="0.25">
      <c r="B89" s="164"/>
      <c r="C89" s="164"/>
      <c r="D89" s="164"/>
      <c r="E89" s="164"/>
      <c r="F89" s="164"/>
      <c r="G89" s="164"/>
      <c r="H89" s="164"/>
      <c r="I89" s="164" t="s">
        <v>1140</v>
      </c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</row>
    <row r="90" spans="2:21" x14ac:dyDescent="0.25"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</row>
    <row r="91" spans="2:21" x14ac:dyDescent="0.25">
      <c r="B91" s="164"/>
      <c r="C91" s="164"/>
      <c r="D91" s="164"/>
      <c r="E91" s="164"/>
      <c r="F91" s="164"/>
      <c r="G91" s="164"/>
      <c r="H91" s="164"/>
      <c r="I91" s="164" t="s">
        <v>91</v>
      </c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</row>
    <row r="92" spans="2:21" x14ac:dyDescent="0.25">
      <c r="B92" s="164"/>
      <c r="C92" s="164"/>
      <c r="D92" s="164"/>
      <c r="E92" s="164"/>
      <c r="F92" s="164"/>
      <c r="G92" s="164"/>
      <c r="H92" s="164"/>
      <c r="I92" s="174" t="s">
        <v>1141</v>
      </c>
      <c r="J92" s="175">
        <v>0.16</v>
      </c>
      <c r="K92" s="200">
        <v>0.10327</v>
      </c>
      <c r="L92" s="164" t="s">
        <v>1142</v>
      </c>
      <c r="M92" s="164"/>
      <c r="N92" s="164"/>
      <c r="O92" s="164"/>
      <c r="P92" s="164"/>
      <c r="Q92" s="164"/>
      <c r="R92" s="164"/>
      <c r="S92" s="164"/>
      <c r="T92" s="164"/>
      <c r="U92" s="164"/>
    </row>
    <row r="93" spans="2:21" x14ac:dyDescent="0.25">
      <c r="B93" s="164"/>
      <c r="C93" s="164"/>
      <c r="D93" s="164"/>
      <c r="E93" s="164"/>
      <c r="F93" s="164"/>
      <c r="G93" s="164"/>
      <c r="H93" s="164"/>
      <c r="I93" s="174" t="s">
        <v>306</v>
      </c>
      <c r="J93" s="201">
        <f>J24</f>
        <v>1.25</v>
      </c>
      <c r="K93" s="164" t="s">
        <v>58</v>
      </c>
      <c r="L93" s="164"/>
      <c r="M93" s="164"/>
      <c r="N93" s="164"/>
      <c r="O93" s="164"/>
      <c r="P93" s="164"/>
      <c r="Q93" s="164"/>
      <c r="R93" s="164"/>
      <c r="S93" s="164"/>
      <c r="T93" s="164"/>
      <c r="U93" s="164"/>
    </row>
    <row r="94" spans="2:21" ht="15.6" x14ac:dyDescent="0.35">
      <c r="B94" s="164"/>
      <c r="C94" s="164"/>
      <c r="D94" s="164"/>
      <c r="E94" s="164"/>
      <c r="F94" s="164"/>
      <c r="G94" s="164"/>
      <c r="H94" s="164"/>
      <c r="I94" s="174" t="s">
        <v>1143</v>
      </c>
      <c r="J94" s="175">
        <v>1</v>
      </c>
      <c r="K94" s="164" t="s">
        <v>1144</v>
      </c>
      <c r="L94" s="164"/>
      <c r="M94" s="164"/>
      <c r="N94" s="164"/>
      <c r="O94" s="164"/>
      <c r="P94" s="164"/>
      <c r="Q94" s="164"/>
      <c r="R94" s="164"/>
      <c r="S94" s="164"/>
      <c r="T94" s="164"/>
      <c r="U94" s="164"/>
    </row>
    <row r="95" spans="2:21" x14ac:dyDescent="0.25">
      <c r="B95" s="164"/>
      <c r="C95" s="164"/>
      <c r="D95" s="164"/>
      <c r="E95" s="164"/>
      <c r="F95" s="164"/>
      <c r="G95" s="164"/>
      <c r="H95" s="164"/>
      <c r="I95" s="17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</row>
    <row r="96" spans="2:21" x14ac:dyDescent="0.25">
      <c r="B96" s="164"/>
      <c r="C96" s="164"/>
      <c r="D96" s="164"/>
      <c r="E96" s="164"/>
      <c r="F96" s="164"/>
      <c r="G96" s="164"/>
      <c r="H96" s="164"/>
      <c r="I96" s="164" t="s">
        <v>1128</v>
      </c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</row>
    <row r="97" spans="2:21" x14ac:dyDescent="0.25">
      <c r="B97" s="164"/>
      <c r="C97" s="164"/>
      <c r="D97" s="164"/>
      <c r="E97" s="164"/>
      <c r="F97" s="164"/>
      <c r="G97" s="164"/>
      <c r="H97" s="164"/>
      <c r="I97" s="164" t="s">
        <v>1145</v>
      </c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</row>
    <row r="98" spans="2:21" x14ac:dyDescent="0.25"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</row>
    <row r="99" spans="2:21" x14ac:dyDescent="0.25">
      <c r="B99" s="164"/>
      <c r="C99" s="164"/>
      <c r="D99" s="164"/>
      <c r="E99" s="164"/>
      <c r="F99" s="164"/>
      <c r="G99" s="164"/>
      <c r="H99" s="164"/>
      <c r="I99" s="174" t="s">
        <v>111</v>
      </c>
      <c r="J99" s="201">
        <f>J92*J93*J94</f>
        <v>0.2</v>
      </c>
      <c r="K99" s="164" t="s">
        <v>58</v>
      </c>
      <c r="L99" s="202">
        <f>J70*1000*K92</f>
        <v>367.52179406250002</v>
      </c>
      <c r="M99" s="164" t="s">
        <v>68</v>
      </c>
      <c r="N99" s="164"/>
      <c r="O99" s="164"/>
      <c r="P99" s="164"/>
      <c r="Q99" s="164"/>
      <c r="R99" s="164"/>
      <c r="S99" s="164"/>
      <c r="T99" s="164"/>
      <c r="U99" s="164"/>
    </row>
    <row r="100" spans="2:21" x14ac:dyDescent="0.25">
      <c r="B100" s="164"/>
      <c r="C100" s="164"/>
      <c r="D100" s="164"/>
      <c r="E100" s="164"/>
      <c r="F100" s="164"/>
      <c r="G100" s="164"/>
      <c r="H100" s="164"/>
      <c r="I100" s="174"/>
      <c r="J100" s="164"/>
      <c r="K100" s="164"/>
      <c r="L100" s="202">
        <f>L99*J94</f>
        <v>367.52179406250002</v>
      </c>
      <c r="M100" s="164" t="s">
        <v>1146</v>
      </c>
      <c r="N100" s="164"/>
      <c r="O100" s="164"/>
      <c r="P100" s="164"/>
      <c r="Q100" s="164"/>
      <c r="R100" s="164"/>
      <c r="S100" s="164"/>
      <c r="T100" s="164"/>
      <c r="U100" s="164"/>
    </row>
    <row r="101" spans="2:21" x14ac:dyDescent="0.25">
      <c r="B101" s="164"/>
      <c r="C101" s="164"/>
      <c r="D101" s="164"/>
      <c r="E101" s="164"/>
      <c r="F101" s="164"/>
      <c r="G101" s="164"/>
      <c r="H101" s="164"/>
      <c r="I101" s="174"/>
      <c r="J101" s="164"/>
      <c r="K101" s="164"/>
      <c r="L101" s="202">
        <f>L100*0.5</f>
        <v>183.76089703125001</v>
      </c>
      <c r="M101" s="164"/>
      <c r="N101" s="164"/>
      <c r="O101" s="164"/>
      <c r="P101" s="164"/>
      <c r="Q101" s="164"/>
      <c r="R101" s="164"/>
      <c r="S101" s="164"/>
      <c r="T101" s="164"/>
      <c r="U101" s="164"/>
    </row>
    <row r="102" spans="2:21" x14ac:dyDescent="0.25">
      <c r="B102" s="164"/>
      <c r="C102" s="164"/>
      <c r="D102" s="164"/>
      <c r="E102" s="164"/>
      <c r="F102" s="164"/>
      <c r="G102" s="164"/>
      <c r="H102" s="169"/>
      <c r="I102" s="169" t="s">
        <v>1147</v>
      </c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</row>
    <row r="103" spans="2:21" x14ac:dyDescent="0.25">
      <c r="B103" s="164"/>
      <c r="C103" s="164"/>
      <c r="D103" s="164"/>
      <c r="E103" s="164"/>
      <c r="F103" s="164"/>
      <c r="G103" s="164"/>
      <c r="H103" s="164"/>
      <c r="I103" s="17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</row>
    <row r="104" spans="2:21" x14ac:dyDescent="0.25">
      <c r="B104" s="164"/>
      <c r="C104" s="164"/>
      <c r="D104" s="164"/>
      <c r="E104" s="164"/>
      <c r="F104" s="164"/>
      <c r="G104" s="164"/>
      <c r="H104" s="164"/>
      <c r="I104" s="164"/>
      <c r="J104" s="164" t="s">
        <v>1148</v>
      </c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</row>
    <row r="105" spans="2:21" x14ac:dyDescent="0.25"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</row>
    <row r="106" spans="2:21" x14ac:dyDescent="0.25">
      <c r="B106" s="164"/>
      <c r="C106" s="164"/>
      <c r="D106" s="164"/>
      <c r="E106" s="164"/>
      <c r="F106" s="164"/>
      <c r="G106" s="164"/>
      <c r="H106" s="164"/>
      <c r="I106" s="164" t="s">
        <v>23</v>
      </c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</row>
    <row r="107" spans="2:21" x14ac:dyDescent="0.25">
      <c r="B107" s="164"/>
      <c r="C107" s="164"/>
      <c r="D107" s="164"/>
      <c r="E107" s="164"/>
      <c r="F107" s="164"/>
      <c r="G107" s="164"/>
      <c r="H107" s="164"/>
      <c r="I107" s="164"/>
      <c r="J107" s="164" t="s">
        <v>1149</v>
      </c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</row>
    <row r="108" spans="2:21" x14ac:dyDescent="0.25">
      <c r="B108" s="164"/>
      <c r="C108" s="164"/>
      <c r="D108" s="164"/>
      <c r="E108" s="164"/>
      <c r="F108" s="164"/>
      <c r="G108" s="164"/>
      <c r="H108" s="164"/>
      <c r="I108" s="164"/>
      <c r="J108" s="164" t="s">
        <v>1150</v>
      </c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</row>
    <row r="109" spans="2:21" x14ac:dyDescent="0.25"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</row>
    <row r="110" spans="2:21" x14ac:dyDescent="0.25"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</row>
    <row r="111" spans="2:21" x14ac:dyDescent="0.25">
      <c r="B111" s="164"/>
      <c r="C111" s="164"/>
      <c r="D111" s="164"/>
      <c r="E111" s="164"/>
      <c r="F111" s="164"/>
      <c r="G111" s="164"/>
      <c r="H111" s="164"/>
      <c r="I111" s="169" t="s">
        <v>1151</v>
      </c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</row>
    <row r="112" spans="2:21" x14ac:dyDescent="0.25"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</row>
    <row r="113" spans="2:21" ht="18" x14ac:dyDescent="0.4">
      <c r="B113" s="164"/>
      <c r="C113" s="164"/>
      <c r="D113" s="164"/>
      <c r="E113" s="164"/>
      <c r="F113" s="164"/>
      <c r="G113" s="164"/>
      <c r="H113" s="164"/>
      <c r="I113" s="193" t="s">
        <v>1152</v>
      </c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</row>
    <row r="114" spans="2:21" x14ac:dyDescent="0.25"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</row>
    <row r="115" spans="2:21" x14ac:dyDescent="0.25">
      <c r="B115" s="164"/>
      <c r="C115" s="164"/>
      <c r="D115" s="164"/>
      <c r="E115" s="164"/>
      <c r="F115" s="164"/>
      <c r="G115" s="164"/>
      <c r="H115" s="164"/>
      <c r="I115" s="164" t="s">
        <v>1153</v>
      </c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</row>
    <row r="116" spans="2:21" x14ac:dyDescent="0.25">
      <c r="B116" s="164"/>
      <c r="C116" s="164"/>
      <c r="D116" s="164"/>
      <c r="E116" s="164"/>
      <c r="F116" s="164"/>
      <c r="G116" s="164"/>
      <c r="H116" s="164"/>
      <c r="I116" s="164" t="s">
        <v>1154</v>
      </c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</row>
    <row r="117" spans="2:21" x14ac:dyDescent="0.25">
      <c r="B117" s="164"/>
      <c r="C117" s="164"/>
      <c r="D117" s="164"/>
      <c r="E117" s="164"/>
      <c r="F117" s="164"/>
      <c r="G117" s="164"/>
      <c r="H117" s="164"/>
      <c r="I117" s="164" t="s">
        <v>1155</v>
      </c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  <row r="118" spans="2:21" x14ac:dyDescent="0.25">
      <c r="B118" s="164"/>
      <c r="C118" s="164"/>
      <c r="D118" s="164"/>
      <c r="E118" s="164"/>
      <c r="F118" s="164"/>
      <c r="G118" s="164"/>
      <c r="H118" s="164"/>
      <c r="I118" s="164" t="s">
        <v>1156</v>
      </c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</row>
    <row r="119" spans="2:21" x14ac:dyDescent="0.25">
      <c r="B119" s="164"/>
      <c r="C119" s="164"/>
      <c r="D119" s="164"/>
      <c r="E119" s="164"/>
      <c r="F119" s="164"/>
      <c r="G119" s="164"/>
      <c r="H119" s="164"/>
      <c r="I119" s="164" t="s">
        <v>1157</v>
      </c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</row>
    <row r="120" spans="2:21" x14ac:dyDescent="0.25">
      <c r="B120" s="164"/>
      <c r="C120" s="164"/>
      <c r="D120" s="164"/>
      <c r="E120" s="164"/>
      <c r="F120" s="164"/>
      <c r="G120" s="164"/>
      <c r="H120" s="164"/>
      <c r="I120" s="164" t="s">
        <v>1150</v>
      </c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</row>
    <row r="121" spans="2:21" x14ac:dyDescent="0.25">
      <c r="B121" s="164"/>
      <c r="C121" s="164"/>
      <c r="D121" s="164"/>
      <c r="E121" s="164"/>
      <c r="F121" s="164"/>
      <c r="G121" s="164"/>
      <c r="H121" s="164"/>
      <c r="I121" s="164" t="s">
        <v>1158</v>
      </c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</row>
    <row r="122" spans="2:21" x14ac:dyDescent="0.25">
      <c r="B122" s="164"/>
      <c r="C122" s="164"/>
      <c r="D122" s="164"/>
      <c r="E122" s="164"/>
      <c r="F122" s="164"/>
      <c r="G122" s="164"/>
      <c r="H122" s="164"/>
      <c r="I122" s="164" t="s">
        <v>1159</v>
      </c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</row>
    <row r="123" spans="2:21" x14ac:dyDescent="0.25"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</row>
    <row r="124" spans="2:21" x14ac:dyDescent="0.25">
      <c r="B124" s="164"/>
      <c r="C124" s="164"/>
      <c r="D124" s="164"/>
      <c r="E124" s="164"/>
      <c r="F124" s="164"/>
      <c r="G124" s="164"/>
      <c r="H124" s="164"/>
      <c r="I124" s="164" t="s">
        <v>91</v>
      </c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</row>
    <row r="125" spans="2:21" x14ac:dyDescent="0.25"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</row>
    <row r="126" spans="2:21" x14ac:dyDescent="0.25">
      <c r="B126" s="164"/>
      <c r="C126" s="164"/>
      <c r="D126" s="164"/>
      <c r="E126" s="164"/>
      <c r="F126" s="164"/>
      <c r="G126" s="164"/>
      <c r="H126" s="164"/>
      <c r="I126" s="174" t="s">
        <v>1097</v>
      </c>
      <c r="J126" s="181">
        <f>J29</f>
        <v>16.985172357088405</v>
      </c>
      <c r="K126" s="164" t="s">
        <v>347</v>
      </c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</row>
    <row r="127" spans="2:21" x14ac:dyDescent="0.25">
      <c r="B127" s="164"/>
      <c r="C127" s="164"/>
      <c r="D127" s="164"/>
      <c r="E127" s="164"/>
      <c r="F127" s="164"/>
      <c r="G127" s="164"/>
      <c r="H127" s="164"/>
      <c r="I127" s="174" t="s">
        <v>1160</v>
      </c>
      <c r="J127" s="181">
        <f>J93+0.4</f>
        <v>1.65</v>
      </c>
      <c r="K127" s="164" t="s">
        <v>58</v>
      </c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</row>
    <row r="128" spans="2:21" x14ac:dyDescent="0.25">
      <c r="B128" s="164"/>
      <c r="C128" s="164"/>
      <c r="D128" s="164"/>
      <c r="E128" s="164"/>
      <c r="F128" s="164"/>
      <c r="G128" s="164"/>
      <c r="H128" s="164"/>
      <c r="I128" s="174" t="s">
        <v>893</v>
      </c>
      <c r="J128" s="181">
        <f>(J127 - J99)/2</f>
        <v>0.72499999999999998</v>
      </c>
      <c r="K128" s="164" t="s">
        <v>58</v>
      </c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</row>
    <row r="129" spans="2:21" x14ac:dyDescent="0.25">
      <c r="B129" s="164"/>
      <c r="C129" s="164"/>
      <c r="D129" s="164"/>
      <c r="E129" s="164"/>
      <c r="F129" s="164"/>
      <c r="G129" s="164"/>
      <c r="H129" s="164"/>
      <c r="I129" s="174" t="s">
        <v>1119</v>
      </c>
      <c r="J129" s="203">
        <v>35</v>
      </c>
      <c r="K129" s="164" t="s">
        <v>1161</v>
      </c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</row>
    <row r="130" spans="2:21" x14ac:dyDescent="0.25">
      <c r="B130" s="164"/>
      <c r="C130" s="164"/>
      <c r="D130" s="164"/>
      <c r="E130" s="164"/>
      <c r="F130" s="164"/>
      <c r="G130" s="164"/>
      <c r="H130" s="164"/>
      <c r="I130" s="174" t="s">
        <v>1162</v>
      </c>
      <c r="J130" s="201">
        <f>SIN(RADIANS(J129))</f>
        <v>0.57357643635104605</v>
      </c>
      <c r="K130" s="164" t="s">
        <v>1163</v>
      </c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</row>
    <row r="131" spans="2:21" x14ac:dyDescent="0.25">
      <c r="B131" s="164"/>
      <c r="C131" s="164"/>
      <c r="D131" s="164"/>
      <c r="E131" s="164"/>
      <c r="F131" s="164"/>
      <c r="G131" s="164"/>
      <c r="H131" s="164"/>
      <c r="I131" s="174" t="s">
        <v>1164</v>
      </c>
      <c r="J131" s="181">
        <v>1.1000000000000001</v>
      </c>
      <c r="K131" s="164" t="s">
        <v>1165</v>
      </c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</row>
    <row r="132" spans="2:21" x14ac:dyDescent="0.25">
      <c r="B132" s="164"/>
      <c r="C132" s="164"/>
      <c r="D132" s="164"/>
      <c r="E132" s="164"/>
      <c r="F132" s="164"/>
      <c r="G132" s="164"/>
      <c r="H132" s="164"/>
      <c r="I132" s="174"/>
      <c r="J132" s="204">
        <f>K92</f>
        <v>0.10327</v>
      </c>
      <c r="K132" s="164" t="s">
        <v>1142</v>
      </c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</row>
    <row r="133" spans="2:21" x14ac:dyDescent="0.25">
      <c r="B133" s="164"/>
      <c r="C133" s="164"/>
      <c r="D133" s="164"/>
      <c r="E133" s="164"/>
      <c r="F133" s="164"/>
      <c r="G133" s="164"/>
      <c r="H133" s="164"/>
      <c r="I133" s="174" t="s">
        <v>1166</v>
      </c>
      <c r="J133" s="203">
        <f>50*3.1416*J93*J52</f>
        <v>647.95499999999981</v>
      </c>
      <c r="K133" s="164" t="s">
        <v>68</v>
      </c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</row>
    <row r="134" spans="2:21" x14ac:dyDescent="0.25">
      <c r="B134" s="164"/>
      <c r="C134" s="164"/>
      <c r="D134" s="164"/>
      <c r="E134" s="164"/>
      <c r="F134" s="164"/>
      <c r="G134" s="164"/>
      <c r="H134" s="164"/>
      <c r="I134" s="174" t="s">
        <v>1167</v>
      </c>
      <c r="J134" s="203">
        <f>J70*J132*J131*1000</f>
        <v>404.27397346875006</v>
      </c>
      <c r="K134" s="164" t="s">
        <v>68</v>
      </c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</row>
    <row r="135" spans="2:21" x14ac:dyDescent="0.25"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</row>
    <row r="136" spans="2:21" x14ac:dyDescent="0.25">
      <c r="B136" s="164"/>
      <c r="C136" s="164"/>
      <c r="D136" s="164"/>
      <c r="E136" s="164"/>
      <c r="F136" s="164"/>
      <c r="G136" s="164"/>
      <c r="H136" s="164"/>
      <c r="I136" s="174" t="s">
        <v>1168</v>
      </c>
      <c r="J136" s="203">
        <f>J134+J133</f>
        <v>1052.2289734687499</v>
      </c>
      <c r="K136" s="164" t="s">
        <v>68</v>
      </c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</row>
    <row r="137" spans="2:21" x14ac:dyDescent="0.25"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</row>
    <row r="138" spans="2:21" x14ac:dyDescent="0.25"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</row>
    <row r="139" spans="2:21" ht="15" x14ac:dyDescent="0.25">
      <c r="B139" s="164"/>
      <c r="C139" s="164"/>
      <c r="D139" s="164"/>
      <c r="E139" s="164"/>
      <c r="F139" s="164"/>
      <c r="G139" s="164"/>
      <c r="H139" s="164"/>
      <c r="I139" s="205" t="s">
        <v>1169</v>
      </c>
      <c r="J139" s="206">
        <f>(J126*(136.4*J128*J130*J134+1.393*J127*J136+0.728*J136))/100000</f>
        <v>4.435734122978217</v>
      </c>
      <c r="K139" s="205" t="s">
        <v>249</v>
      </c>
      <c r="L139" s="168" t="s">
        <v>1170</v>
      </c>
      <c r="M139" s="164"/>
      <c r="N139" s="164"/>
      <c r="O139" s="164"/>
      <c r="P139" s="164"/>
      <c r="Q139" s="164"/>
      <c r="R139" s="164"/>
      <c r="S139" s="164"/>
      <c r="T139" s="164"/>
      <c r="U139" s="164"/>
    </row>
    <row r="140" spans="2:21" ht="15.6" x14ac:dyDescent="0.3"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5" t="s">
        <v>1272</v>
      </c>
      <c r="M140" s="164"/>
      <c r="N140" s="164"/>
      <c r="O140" s="164"/>
      <c r="P140" s="164"/>
      <c r="Q140" s="164"/>
      <c r="R140" s="164"/>
      <c r="S140" s="164"/>
      <c r="T140" s="164"/>
      <c r="U140" s="164"/>
    </row>
    <row r="141" spans="2:21" x14ac:dyDescent="0.25"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</row>
    <row r="142" spans="2:21" x14ac:dyDescent="0.25">
      <c r="B142" s="164"/>
      <c r="C142" s="164"/>
      <c r="D142" s="164"/>
      <c r="E142" s="164"/>
      <c r="F142" s="164"/>
      <c r="G142" s="164"/>
      <c r="L142" s="207" t="s">
        <v>1282</v>
      </c>
    </row>
    <row r="143" spans="2:21" x14ac:dyDescent="0.25">
      <c r="B143" s="164"/>
      <c r="C143" s="164"/>
      <c r="D143" s="164"/>
      <c r="E143" s="164"/>
      <c r="F143" s="164"/>
      <c r="G143" s="164"/>
    </row>
    <row r="144" spans="2:21" x14ac:dyDescent="0.25">
      <c r="B144" s="164"/>
      <c r="C144" s="164"/>
      <c r="D144" s="164"/>
      <c r="E144" s="164"/>
      <c r="F144" s="164"/>
      <c r="G144" s="164"/>
      <c r="L144" s="167" t="s">
        <v>1273</v>
      </c>
    </row>
    <row r="145" spans="2:7" x14ac:dyDescent="0.25">
      <c r="B145" s="164"/>
      <c r="C145" s="164"/>
      <c r="D145" s="164"/>
      <c r="E145" s="164"/>
      <c r="F145" s="164"/>
      <c r="G145" s="164"/>
    </row>
    <row r="146" spans="2:7" x14ac:dyDescent="0.25">
      <c r="B146" s="164"/>
      <c r="C146" s="164"/>
      <c r="D146" s="164"/>
      <c r="E146" s="164"/>
      <c r="F146" s="164"/>
      <c r="G146" s="164"/>
    </row>
    <row r="147" spans="2:7" x14ac:dyDescent="0.25">
      <c r="B147" s="164"/>
      <c r="C147" s="164"/>
      <c r="D147" s="164"/>
      <c r="E147" s="164"/>
      <c r="F147" s="164"/>
      <c r="G147" s="164"/>
    </row>
    <row r="148" spans="2:7" x14ac:dyDescent="0.25">
      <c r="B148" s="164"/>
      <c r="C148" s="164"/>
      <c r="D148" s="164"/>
      <c r="E148" s="164"/>
      <c r="F148" s="164"/>
      <c r="G148" s="164"/>
    </row>
    <row r="149" spans="2:7" x14ac:dyDescent="0.25">
      <c r="B149" s="164"/>
      <c r="C149" s="164"/>
      <c r="D149" s="164"/>
      <c r="E149" s="164"/>
      <c r="F149" s="164"/>
      <c r="G149" s="164"/>
    </row>
    <row r="150" spans="2:7" x14ac:dyDescent="0.25">
      <c r="B150" s="164"/>
      <c r="C150" s="164"/>
      <c r="D150" s="164"/>
      <c r="E150" s="164"/>
      <c r="F150" s="164"/>
      <c r="G150" s="164"/>
    </row>
    <row r="151" spans="2:7" x14ac:dyDescent="0.25">
      <c r="B151" s="164"/>
      <c r="C151" s="164"/>
      <c r="D151" s="164"/>
      <c r="E151" s="164"/>
      <c r="F151" s="164"/>
      <c r="G151" s="164"/>
    </row>
    <row r="152" spans="2:7" x14ac:dyDescent="0.25">
      <c r="B152" s="164"/>
      <c r="C152" s="164"/>
      <c r="D152" s="164"/>
      <c r="E152" s="164"/>
      <c r="F152" s="164"/>
      <c r="G152" s="164"/>
    </row>
    <row r="153" spans="2:7" x14ac:dyDescent="0.25">
      <c r="B153" s="164"/>
      <c r="C153" s="164"/>
      <c r="D153" s="164"/>
      <c r="E153" s="164"/>
      <c r="F153" s="164"/>
      <c r="G153" s="164"/>
    </row>
    <row r="154" spans="2:7" x14ac:dyDescent="0.25">
      <c r="B154" s="164"/>
      <c r="C154" s="164"/>
      <c r="D154" s="164"/>
      <c r="E154" s="164"/>
      <c r="F154" s="164"/>
      <c r="G154" s="164"/>
    </row>
    <row r="155" spans="2:7" x14ac:dyDescent="0.25">
      <c r="B155" s="164"/>
      <c r="C155" s="164"/>
      <c r="D155" s="164"/>
      <c r="E155" s="164"/>
      <c r="F155" s="164"/>
      <c r="G155" s="164"/>
    </row>
    <row r="156" spans="2:7" x14ac:dyDescent="0.25">
      <c r="B156" s="164"/>
      <c r="C156" s="164"/>
      <c r="D156" s="164"/>
      <c r="E156" s="164"/>
      <c r="F156" s="164"/>
      <c r="G156" s="164"/>
    </row>
    <row r="157" spans="2:7" x14ac:dyDescent="0.25">
      <c r="B157" s="164"/>
      <c r="C157" s="164"/>
      <c r="D157" s="164"/>
      <c r="E157" s="164"/>
      <c r="F157" s="164"/>
      <c r="G157" s="164"/>
    </row>
    <row r="158" spans="2:7" x14ac:dyDescent="0.25">
      <c r="B158" s="164"/>
      <c r="C158" s="164"/>
      <c r="D158" s="164"/>
      <c r="E158" s="164"/>
      <c r="F158" s="164"/>
      <c r="G158" s="164"/>
    </row>
    <row r="159" spans="2:7" x14ac:dyDescent="0.25">
      <c r="B159" s="164"/>
      <c r="C159" s="164"/>
      <c r="D159" s="164"/>
      <c r="E159" s="164"/>
      <c r="F159" s="164"/>
      <c r="G159" s="164"/>
    </row>
    <row r="160" spans="2:7" x14ac:dyDescent="0.25">
      <c r="B160" s="164"/>
      <c r="C160" s="164"/>
      <c r="D160" s="164"/>
      <c r="E160" s="164"/>
      <c r="F160" s="164"/>
      <c r="G160" s="164"/>
    </row>
    <row r="161" spans="2:7" x14ac:dyDescent="0.25">
      <c r="B161" s="164"/>
      <c r="C161" s="164"/>
      <c r="D161" s="164"/>
      <c r="E161" s="164"/>
      <c r="F161" s="164"/>
      <c r="G161" s="164"/>
    </row>
    <row r="162" spans="2:7" x14ac:dyDescent="0.25">
      <c r="B162" s="164"/>
      <c r="C162" s="164"/>
      <c r="D162" s="164"/>
      <c r="E162" s="164"/>
      <c r="F162" s="164"/>
      <c r="G162" s="164"/>
    </row>
    <row r="163" spans="2:7" x14ac:dyDescent="0.25">
      <c r="B163" s="164"/>
      <c r="C163" s="164"/>
      <c r="D163" s="164"/>
      <c r="E163" s="164"/>
      <c r="F163" s="164"/>
      <c r="G163" s="164"/>
    </row>
    <row r="164" spans="2:7" x14ac:dyDescent="0.25">
      <c r="B164" s="164"/>
      <c r="C164" s="164"/>
      <c r="D164" s="164"/>
      <c r="E164" s="164"/>
      <c r="F164" s="164"/>
      <c r="G164" s="164"/>
    </row>
    <row r="165" spans="2:7" x14ac:dyDescent="0.25">
      <c r="B165" s="164"/>
      <c r="C165" s="164"/>
      <c r="D165" s="164"/>
      <c r="E165" s="164"/>
      <c r="F165" s="164"/>
      <c r="G165" s="164"/>
    </row>
    <row r="166" spans="2:7" x14ac:dyDescent="0.25">
      <c r="B166" s="164"/>
      <c r="C166" s="164"/>
      <c r="D166" s="164"/>
      <c r="E166" s="164"/>
      <c r="F166" s="164"/>
      <c r="G166" s="164"/>
    </row>
    <row r="167" spans="2:7" x14ac:dyDescent="0.25">
      <c r="B167" s="164"/>
      <c r="C167" s="164"/>
      <c r="D167" s="164"/>
      <c r="E167" s="164"/>
      <c r="F167" s="164"/>
      <c r="G167" s="164"/>
    </row>
    <row r="168" spans="2:7" x14ac:dyDescent="0.25">
      <c r="B168" s="164"/>
      <c r="C168" s="164"/>
      <c r="D168" s="164"/>
      <c r="E168" s="164"/>
      <c r="F168" s="164"/>
      <c r="G168" s="164"/>
    </row>
    <row r="169" spans="2:7" x14ac:dyDescent="0.25">
      <c r="B169" s="164"/>
      <c r="C169" s="164"/>
      <c r="D169" s="164"/>
      <c r="E169" s="164"/>
      <c r="F169" s="164"/>
      <c r="G169" s="164"/>
    </row>
    <row r="170" spans="2:7" x14ac:dyDescent="0.25">
      <c r="B170" s="164"/>
      <c r="C170" s="164"/>
      <c r="D170" s="164"/>
      <c r="E170" s="164"/>
      <c r="F170" s="164"/>
      <c r="G170" s="164"/>
    </row>
    <row r="171" spans="2:7" x14ac:dyDescent="0.25">
      <c r="B171" s="164"/>
      <c r="C171" s="164"/>
      <c r="D171" s="164"/>
      <c r="E171" s="164"/>
      <c r="F171" s="164"/>
      <c r="G171" s="164"/>
    </row>
    <row r="172" spans="2:7" x14ac:dyDescent="0.25">
      <c r="B172" s="164"/>
      <c r="C172" s="164"/>
      <c r="D172" s="164"/>
      <c r="E172" s="164"/>
      <c r="F172" s="164"/>
      <c r="G172" s="164"/>
    </row>
    <row r="173" spans="2:7" x14ac:dyDescent="0.25">
      <c r="B173" s="164"/>
      <c r="C173" s="164"/>
      <c r="D173" s="164"/>
      <c r="E173" s="164"/>
      <c r="F173" s="164"/>
      <c r="G173" s="164"/>
    </row>
    <row r="174" spans="2:7" x14ac:dyDescent="0.25">
      <c r="B174" s="164"/>
      <c r="C174" s="164"/>
      <c r="D174" s="164"/>
      <c r="E174" s="164"/>
      <c r="F174" s="164"/>
      <c r="G174" s="164"/>
    </row>
    <row r="175" spans="2:7" x14ac:dyDescent="0.25">
      <c r="B175" s="164"/>
      <c r="C175" s="164"/>
      <c r="D175" s="164"/>
      <c r="E175" s="164"/>
      <c r="F175" s="164"/>
      <c r="G175" s="164"/>
    </row>
    <row r="176" spans="2:7" x14ac:dyDescent="0.25">
      <c r="B176" s="164"/>
      <c r="C176" s="164"/>
      <c r="D176" s="164"/>
      <c r="E176" s="164"/>
      <c r="F176" s="164"/>
      <c r="G176" s="164"/>
    </row>
    <row r="177" spans="2:7" x14ac:dyDescent="0.25">
      <c r="B177" s="164"/>
      <c r="C177" s="164"/>
      <c r="D177" s="164"/>
      <c r="E177" s="164"/>
      <c r="F177" s="164"/>
      <c r="G177" s="164"/>
    </row>
    <row r="178" spans="2:7" x14ac:dyDescent="0.25">
      <c r="B178" s="164"/>
      <c r="C178" s="164"/>
      <c r="D178" s="164"/>
      <c r="E178" s="164"/>
      <c r="F178" s="164"/>
      <c r="G178" s="164"/>
    </row>
    <row r="179" spans="2:7" x14ac:dyDescent="0.25">
      <c r="B179" s="164"/>
      <c r="C179" s="164"/>
      <c r="D179" s="164"/>
      <c r="E179" s="164"/>
      <c r="F179" s="164"/>
      <c r="G179" s="164"/>
    </row>
    <row r="180" spans="2:7" x14ac:dyDescent="0.25">
      <c r="B180" s="164"/>
      <c r="C180" s="164"/>
      <c r="D180" s="164"/>
      <c r="E180" s="164"/>
      <c r="F180" s="164"/>
      <c r="G180" s="164"/>
    </row>
    <row r="181" spans="2:7" x14ac:dyDescent="0.25">
      <c r="B181" s="164"/>
      <c r="C181" s="164"/>
      <c r="D181" s="164"/>
      <c r="E181" s="164"/>
      <c r="F181" s="164"/>
      <c r="G181" s="164"/>
    </row>
    <row r="182" spans="2:7" x14ac:dyDescent="0.25">
      <c r="B182" s="164"/>
      <c r="C182" s="164"/>
      <c r="D182" s="164"/>
      <c r="E182" s="164"/>
      <c r="F182" s="164"/>
      <c r="G182" s="164"/>
    </row>
    <row r="183" spans="2:7" x14ac:dyDescent="0.25">
      <c r="B183" s="164"/>
      <c r="C183" s="164"/>
      <c r="D183" s="164"/>
      <c r="E183" s="164"/>
      <c r="F183" s="164"/>
      <c r="G183" s="164"/>
    </row>
    <row r="184" spans="2:7" x14ac:dyDescent="0.25">
      <c r="B184" s="164"/>
      <c r="C184" s="164"/>
      <c r="D184" s="164"/>
      <c r="E184" s="164"/>
      <c r="F184" s="164"/>
      <c r="G184" s="164"/>
    </row>
    <row r="185" spans="2:7" x14ac:dyDescent="0.25">
      <c r="B185" s="164"/>
      <c r="C185" s="164"/>
      <c r="D185" s="164"/>
      <c r="E185" s="164"/>
      <c r="F185" s="164"/>
      <c r="G185" s="164"/>
    </row>
    <row r="186" spans="2:7" x14ac:dyDescent="0.25">
      <c r="B186" s="164"/>
      <c r="C186" s="164"/>
      <c r="D186" s="164"/>
      <c r="E186" s="164"/>
      <c r="F186" s="164"/>
      <c r="G186" s="164"/>
    </row>
    <row r="187" spans="2:7" x14ac:dyDescent="0.25">
      <c r="B187" s="164"/>
      <c r="C187" s="164"/>
      <c r="D187" s="164"/>
      <c r="E187" s="164"/>
      <c r="F187" s="164"/>
      <c r="G187" s="164"/>
    </row>
    <row r="188" spans="2:7" x14ac:dyDescent="0.25">
      <c r="B188" s="164"/>
      <c r="C188" s="164"/>
      <c r="D188" s="164"/>
      <c r="E188" s="164"/>
      <c r="F188" s="164"/>
      <c r="G188" s="164"/>
    </row>
    <row r="189" spans="2:7" x14ac:dyDescent="0.25">
      <c r="B189" s="164"/>
      <c r="C189" s="164"/>
      <c r="D189" s="164"/>
      <c r="E189" s="164"/>
      <c r="F189" s="164"/>
      <c r="G189" s="164"/>
    </row>
    <row r="190" spans="2:7" x14ac:dyDescent="0.25">
      <c r="B190" s="164"/>
      <c r="C190" s="164"/>
      <c r="D190" s="164"/>
      <c r="E190" s="164"/>
      <c r="F190" s="164"/>
      <c r="G190" s="164"/>
    </row>
    <row r="191" spans="2:7" x14ac:dyDescent="0.25">
      <c r="B191" s="164"/>
      <c r="C191" s="164"/>
      <c r="D191" s="164"/>
      <c r="E191" s="164"/>
      <c r="F191" s="164"/>
      <c r="G191" s="164"/>
    </row>
    <row r="192" spans="2:7" x14ac:dyDescent="0.25">
      <c r="B192" s="164"/>
      <c r="C192" s="164"/>
      <c r="D192" s="164"/>
      <c r="E192" s="164"/>
      <c r="F192" s="164"/>
      <c r="G192" s="164"/>
    </row>
    <row r="193" spans="2:7" x14ac:dyDescent="0.25">
      <c r="B193" s="164"/>
      <c r="C193" s="164"/>
      <c r="D193" s="164"/>
      <c r="E193" s="164"/>
      <c r="F193" s="164"/>
      <c r="G193" s="164"/>
    </row>
    <row r="194" spans="2:7" x14ac:dyDescent="0.25">
      <c r="B194" s="164"/>
      <c r="C194" s="164"/>
      <c r="D194" s="164"/>
      <c r="E194" s="164"/>
      <c r="F194" s="164"/>
      <c r="G194" s="164"/>
    </row>
    <row r="195" spans="2:7" x14ac:dyDescent="0.25">
      <c r="B195" s="164"/>
      <c r="C195" s="164"/>
      <c r="D195" s="164"/>
      <c r="E195" s="164"/>
      <c r="F195" s="164"/>
      <c r="G195" s="164"/>
    </row>
    <row r="196" spans="2:7" x14ac:dyDescent="0.25">
      <c r="B196" s="164"/>
      <c r="C196" s="164"/>
      <c r="D196" s="164"/>
      <c r="E196" s="164"/>
      <c r="F196" s="164"/>
      <c r="G196" s="164"/>
    </row>
    <row r="197" spans="2:7" x14ac:dyDescent="0.25">
      <c r="B197" s="164"/>
      <c r="C197" s="164"/>
      <c r="D197" s="164"/>
      <c r="E197" s="164"/>
      <c r="F197" s="164"/>
      <c r="G197" s="164"/>
    </row>
    <row r="198" spans="2:7" x14ac:dyDescent="0.25">
      <c r="B198" s="164"/>
      <c r="C198" s="164"/>
      <c r="D198" s="164"/>
      <c r="E198" s="164"/>
      <c r="F198" s="164"/>
      <c r="G198" s="164"/>
    </row>
    <row r="199" spans="2:7" x14ac:dyDescent="0.25">
      <c r="B199" s="164"/>
      <c r="C199" s="164"/>
      <c r="D199" s="164"/>
      <c r="E199" s="164"/>
      <c r="F199" s="164"/>
      <c r="G199" s="164"/>
    </row>
    <row r="200" spans="2:7" x14ac:dyDescent="0.25">
      <c r="B200" s="164"/>
      <c r="C200" s="164"/>
      <c r="D200" s="164"/>
      <c r="E200" s="164"/>
      <c r="F200" s="164"/>
      <c r="G200" s="164"/>
    </row>
    <row r="201" spans="2:7" x14ac:dyDescent="0.25">
      <c r="B201" s="164"/>
      <c r="C201" s="164"/>
      <c r="D201" s="164"/>
      <c r="E201" s="164"/>
      <c r="F201" s="164"/>
      <c r="G201" s="164"/>
    </row>
    <row r="202" spans="2:7" x14ac:dyDescent="0.25">
      <c r="B202" s="164"/>
      <c r="C202" s="164"/>
      <c r="D202" s="164"/>
      <c r="E202" s="164"/>
      <c r="F202" s="164"/>
      <c r="G202" s="164"/>
    </row>
    <row r="203" spans="2:7" x14ac:dyDescent="0.25">
      <c r="B203" s="164"/>
      <c r="C203" s="164"/>
      <c r="D203" s="164"/>
      <c r="E203" s="164"/>
      <c r="F203" s="164"/>
      <c r="G203" s="164"/>
    </row>
    <row r="204" spans="2:7" x14ac:dyDescent="0.25">
      <c r="B204" s="164"/>
      <c r="C204" s="164"/>
      <c r="D204" s="164"/>
      <c r="E204" s="164"/>
      <c r="F204" s="164"/>
      <c r="G204" s="164"/>
    </row>
    <row r="205" spans="2:7" x14ac:dyDescent="0.25">
      <c r="B205" s="164"/>
      <c r="C205" s="164"/>
      <c r="D205" s="164"/>
      <c r="E205" s="164"/>
      <c r="F205" s="164"/>
      <c r="G205" s="164"/>
    </row>
    <row r="206" spans="2:7" x14ac:dyDescent="0.25">
      <c r="B206" s="164"/>
      <c r="C206" s="164"/>
      <c r="D206" s="164"/>
      <c r="E206" s="164"/>
      <c r="F206" s="164"/>
      <c r="G206" s="164"/>
    </row>
    <row r="207" spans="2:7" x14ac:dyDescent="0.25">
      <c r="B207" s="164"/>
      <c r="C207" s="164"/>
      <c r="D207" s="164"/>
      <c r="E207" s="164"/>
      <c r="F207" s="164"/>
      <c r="G207" s="164"/>
    </row>
    <row r="208" spans="2:7" x14ac:dyDescent="0.25">
      <c r="B208" s="164"/>
      <c r="C208" s="164"/>
      <c r="D208" s="164"/>
      <c r="E208" s="164"/>
      <c r="F208" s="164"/>
      <c r="G208" s="164"/>
    </row>
    <row r="209" spans="2:7" x14ac:dyDescent="0.25">
      <c r="B209" s="164"/>
      <c r="C209" s="164"/>
      <c r="D209" s="164"/>
      <c r="E209" s="164"/>
      <c r="F209" s="164"/>
      <c r="G209" s="164"/>
    </row>
    <row r="210" spans="2:7" x14ac:dyDescent="0.25">
      <c r="B210" s="164"/>
      <c r="C210" s="164"/>
      <c r="D210" s="164"/>
      <c r="E210" s="164"/>
      <c r="F210" s="164"/>
      <c r="G210" s="164"/>
    </row>
    <row r="211" spans="2:7" x14ac:dyDescent="0.25">
      <c r="B211" s="164"/>
      <c r="C211" s="164"/>
      <c r="D211" s="164"/>
      <c r="E211" s="164"/>
      <c r="F211" s="164"/>
      <c r="G211" s="164"/>
    </row>
    <row r="212" spans="2:7" x14ac:dyDescent="0.25">
      <c r="B212" s="164"/>
      <c r="C212" s="164"/>
      <c r="D212" s="164"/>
      <c r="E212" s="164"/>
      <c r="F212" s="164"/>
      <c r="G212" s="164"/>
    </row>
    <row r="213" spans="2:7" x14ac:dyDescent="0.25">
      <c r="B213" s="164"/>
      <c r="C213" s="164"/>
      <c r="D213" s="164"/>
      <c r="E213" s="164"/>
      <c r="F213" s="164"/>
      <c r="G213" s="164"/>
    </row>
    <row r="214" spans="2:7" x14ac:dyDescent="0.25">
      <c r="B214" s="164"/>
      <c r="C214" s="164"/>
      <c r="D214" s="164"/>
      <c r="E214" s="164"/>
      <c r="F214" s="164"/>
      <c r="G214" s="164"/>
    </row>
    <row r="215" spans="2:7" x14ac:dyDescent="0.25">
      <c r="B215" s="164"/>
      <c r="C215" s="164"/>
      <c r="D215" s="164"/>
      <c r="E215" s="164"/>
      <c r="F215" s="164"/>
      <c r="G215" s="164"/>
    </row>
    <row r="216" spans="2:7" x14ac:dyDescent="0.25">
      <c r="B216" s="164"/>
      <c r="C216" s="164"/>
      <c r="D216" s="164"/>
      <c r="E216" s="164"/>
      <c r="F216" s="164"/>
      <c r="G216" s="164"/>
    </row>
    <row r="217" spans="2:7" x14ac:dyDescent="0.25">
      <c r="B217" s="164"/>
      <c r="C217" s="164"/>
      <c r="D217" s="164"/>
      <c r="E217" s="164"/>
      <c r="F217" s="164"/>
      <c r="G217" s="164"/>
    </row>
    <row r="218" spans="2:7" x14ac:dyDescent="0.25">
      <c r="B218" s="164"/>
      <c r="C218" s="164"/>
      <c r="D218" s="164"/>
      <c r="E218" s="164"/>
      <c r="F218" s="164"/>
      <c r="G218" s="164"/>
    </row>
    <row r="219" spans="2:7" x14ac:dyDescent="0.25">
      <c r="B219" s="164"/>
      <c r="C219" s="164"/>
      <c r="D219" s="164"/>
      <c r="E219" s="164"/>
      <c r="F219" s="164"/>
      <c r="G219" s="164"/>
    </row>
    <row r="220" spans="2:7" x14ac:dyDescent="0.25">
      <c r="B220" s="164"/>
      <c r="C220" s="164"/>
      <c r="D220" s="164"/>
      <c r="E220" s="164"/>
      <c r="F220" s="164"/>
      <c r="G220" s="164"/>
    </row>
    <row r="221" spans="2:7" x14ac:dyDescent="0.25">
      <c r="B221" s="164"/>
      <c r="C221" s="164"/>
      <c r="D221" s="164"/>
      <c r="E221" s="164"/>
      <c r="F221" s="164"/>
      <c r="G221" s="164"/>
    </row>
    <row r="222" spans="2:7" x14ac:dyDescent="0.25">
      <c r="B222" s="164"/>
      <c r="C222" s="164"/>
      <c r="D222" s="164"/>
      <c r="E222" s="164"/>
      <c r="F222" s="164"/>
      <c r="G222" s="164"/>
    </row>
    <row r="223" spans="2:7" x14ac:dyDescent="0.25">
      <c r="B223" s="164"/>
      <c r="C223" s="164"/>
      <c r="D223" s="164"/>
      <c r="E223" s="164"/>
      <c r="F223" s="164"/>
      <c r="G223" s="164"/>
    </row>
    <row r="224" spans="2:7" x14ac:dyDescent="0.25">
      <c r="B224" s="164"/>
      <c r="C224" s="164"/>
      <c r="D224" s="164"/>
      <c r="E224" s="164"/>
      <c r="F224" s="164"/>
      <c r="G224" s="164"/>
    </row>
    <row r="225" spans="2:7" x14ac:dyDescent="0.25">
      <c r="B225" s="164"/>
      <c r="C225" s="164"/>
      <c r="D225" s="164"/>
      <c r="E225" s="164"/>
      <c r="F225" s="164"/>
      <c r="G225" s="164"/>
    </row>
    <row r="226" spans="2:7" x14ac:dyDescent="0.25">
      <c r="B226" s="164"/>
      <c r="C226" s="164"/>
      <c r="D226" s="164"/>
      <c r="E226" s="164"/>
      <c r="F226" s="164"/>
      <c r="G226" s="164"/>
    </row>
    <row r="227" spans="2:7" x14ac:dyDescent="0.25">
      <c r="B227" s="164"/>
      <c r="C227" s="164"/>
      <c r="D227" s="164"/>
      <c r="E227" s="164"/>
      <c r="F227" s="164"/>
      <c r="G227" s="164"/>
    </row>
    <row r="228" spans="2:7" x14ac:dyDescent="0.25">
      <c r="B228" s="164"/>
      <c r="C228" s="164"/>
      <c r="D228" s="164"/>
      <c r="E228" s="164"/>
      <c r="F228" s="164"/>
      <c r="G228" s="164"/>
    </row>
    <row r="229" spans="2:7" x14ac:dyDescent="0.25">
      <c r="B229" s="164"/>
      <c r="C229" s="164"/>
      <c r="D229" s="164"/>
      <c r="E229" s="164"/>
      <c r="F229" s="164"/>
      <c r="G229" s="164"/>
    </row>
    <row r="230" spans="2:7" x14ac:dyDescent="0.25">
      <c r="B230" s="164"/>
      <c r="C230" s="164"/>
      <c r="D230" s="164"/>
      <c r="E230" s="164"/>
      <c r="F230" s="164"/>
      <c r="G230" s="164"/>
    </row>
    <row r="231" spans="2:7" x14ac:dyDescent="0.25">
      <c r="B231" s="164"/>
      <c r="C231" s="164"/>
      <c r="D231" s="164"/>
      <c r="E231" s="164"/>
      <c r="F231" s="164"/>
      <c r="G231" s="164"/>
    </row>
    <row r="232" spans="2:7" x14ac:dyDescent="0.25">
      <c r="B232" s="164"/>
      <c r="C232" s="164"/>
      <c r="D232" s="164"/>
      <c r="E232" s="164"/>
      <c r="F232" s="164"/>
      <c r="G232" s="164"/>
    </row>
    <row r="233" spans="2:7" x14ac:dyDescent="0.25">
      <c r="B233" s="164"/>
      <c r="C233" s="164"/>
      <c r="D233" s="164"/>
      <c r="E233" s="164"/>
      <c r="F233" s="164"/>
      <c r="G233" s="164"/>
    </row>
    <row r="234" spans="2:7" x14ac:dyDescent="0.25">
      <c r="B234" s="164"/>
      <c r="C234" s="164"/>
      <c r="D234" s="164"/>
      <c r="E234" s="164"/>
      <c r="F234" s="164"/>
      <c r="G234" s="164"/>
    </row>
    <row r="235" spans="2:7" x14ac:dyDescent="0.25">
      <c r="B235" s="164"/>
      <c r="C235" s="164"/>
      <c r="D235" s="164"/>
      <c r="E235" s="164"/>
      <c r="F235" s="164"/>
      <c r="G235" s="164"/>
    </row>
    <row r="236" spans="2:7" x14ac:dyDescent="0.25">
      <c r="B236" s="164"/>
      <c r="C236" s="164"/>
      <c r="D236" s="164"/>
      <c r="E236" s="164"/>
      <c r="F236" s="164"/>
      <c r="G236" s="164"/>
    </row>
    <row r="237" spans="2:7" x14ac:dyDescent="0.25">
      <c r="B237" s="164"/>
      <c r="C237" s="164"/>
      <c r="D237" s="164"/>
      <c r="E237" s="164"/>
      <c r="F237" s="164"/>
      <c r="G237" s="164"/>
    </row>
    <row r="238" spans="2:7" x14ac:dyDescent="0.25">
      <c r="B238" s="164"/>
      <c r="C238" s="164"/>
      <c r="D238" s="164"/>
      <c r="E238" s="164"/>
      <c r="F238" s="164"/>
      <c r="G238" s="164"/>
    </row>
    <row r="239" spans="2:7" x14ac:dyDescent="0.25">
      <c r="B239" s="164"/>
      <c r="C239" s="164"/>
      <c r="D239" s="164"/>
      <c r="E239" s="164"/>
      <c r="F239" s="164"/>
      <c r="G239" s="164"/>
    </row>
    <row r="240" spans="2:7" x14ac:dyDescent="0.25">
      <c r="B240" s="164"/>
      <c r="C240" s="164"/>
      <c r="D240" s="164"/>
      <c r="E240" s="164"/>
      <c r="F240" s="164"/>
      <c r="G240" s="164"/>
    </row>
    <row r="241" spans="2:7" x14ac:dyDescent="0.25">
      <c r="B241" s="164"/>
      <c r="C241" s="164"/>
      <c r="D241" s="164"/>
      <c r="E241" s="164"/>
      <c r="F241" s="164"/>
      <c r="G241" s="164"/>
    </row>
    <row r="242" spans="2:7" x14ac:dyDescent="0.25">
      <c r="B242" s="164"/>
      <c r="C242" s="164"/>
      <c r="D242" s="164"/>
      <c r="E242" s="164"/>
      <c r="F242" s="164"/>
      <c r="G242" s="164"/>
    </row>
    <row r="243" spans="2:7" x14ac:dyDescent="0.25">
      <c r="B243" s="164"/>
      <c r="C243" s="164"/>
      <c r="D243" s="164"/>
      <c r="E243" s="164"/>
      <c r="F243" s="164"/>
      <c r="G243" s="164"/>
    </row>
    <row r="244" spans="2:7" x14ac:dyDescent="0.25">
      <c r="B244" s="164"/>
      <c r="C244" s="164"/>
      <c r="D244" s="164"/>
      <c r="E244" s="164"/>
      <c r="F244" s="164"/>
      <c r="G244" s="164"/>
    </row>
    <row r="245" spans="2:7" x14ac:dyDescent="0.25">
      <c r="B245" s="164"/>
      <c r="C245" s="164"/>
      <c r="D245" s="164"/>
      <c r="E245" s="164"/>
      <c r="F245" s="164"/>
      <c r="G245" s="164"/>
    </row>
    <row r="246" spans="2:7" x14ac:dyDescent="0.25">
      <c r="B246" s="164"/>
      <c r="C246" s="164"/>
      <c r="D246" s="164"/>
      <c r="E246" s="164"/>
      <c r="F246" s="164"/>
      <c r="G246" s="164"/>
    </row>
    <row r="247" spans="2:7" x14ac:dyDescent="0.25">
      <c r="B247" s="164"/>
      <c r="C247" s="164"/>
      <c r="D247" s="164"/>
      <c r="E247" s="164"/>
      <c r="F247" s="164"/>
      <c r="G247" s="164"/>
    </row>
    <row r="248" spans="2:7" x14ac:dyDescent="0.25">
      <c r="B248" s="164"/>
      <c r="C248" s="164"/>
      <c r="D248" s="164"/>
      <c r="E248" s="164"/>
      <c r="F248" s="164"/>
      <c r="G248" s="164"/>
    </row>
    <row r="249" spans="2:7" x14ac:dyDescent="0.25">
      <c r="B249" s="164"/>
      <c r="C249" s="164"/>
      <c r="D249" s="164"/>
      <c r="E249" s="164"/>
      <c r="F249" s="164"/>
      <c r="G249" s="164"/>
    </row>
    <row r="250" spans="2:7" x14ac:dyDescent="0.25">
      <c r="B250" s="164"/>
      <c r="C250" s="164"/>
      <c r="D250" s="164"/>
      <c r="E250" s="164"/>
      <c r="F250" s="164"/>
      <c r="G250" s="164"/>
    </row>
    <row r="251" spans="2:7" x14ac:dyDescent="0.25">
      <c r="B251" s="164"/>
      <c r="C251" s="164"/>
      <c r="D251" s="164"/>
      <c r="E251" s="164"/>
      <c r="F251" s="164"/>
      <c r="G251" s="164"/>
    </row>
    <row r="252" spans="2:7" x14ac:dyDescent="0.25">
      <c r="B252" s="164"/>
      <c r="C252" s="164"/>
      <c r="D252" s="164"/>
      <c r="E252" s="164"/>
      <c r="F252" s="164"/>
      <c r="G252" s="164"/>
    </row>
    <row r="253" spans="2:7" x14ac:dyDescent="0.25">
      <c r="B253" s="164"/>
      <c r="C253" s="164"/>
      <c r="D253" s="164"/>
      <c r="E253" s="164"/>
      <c r="F253" s="164"/>
      <c r="G253" s="164"/>
    </row>
    <row r="254" spans="2:7" x14ac:dyDescent="0.25">
      <c r="B254" s="164"/>
      <c r="C254" s="164"/>
      <c r="D254" s="164"/>
      <c r="E254" s="164"/>
      <c r="F254" s="164"/>
      <c r="G254" s="164"/>
    </row>
    <row r="255" spans="2:7" x14ac:dyDescent="0.25">
      <c r="B255" s="164"/>
      <c r="C255" s="164"/>
      <c r="D255" s="164"/>
      <c r="E255" s="164"/>
      <c r="F255" s="164"/>
      <c r="G255" s="164"/>
    </row>
    <row r="256" spans="2:7" x14ac:dyDescent="0.25">
      <c r="B256" s="164"/>
      <c r="C256" s="164"/>
      <c r="D256" s="164"/>
      <c r="E256" s="164"/>
      <c r="F256" s="164"/>
      <c r="G256" s="164"/>
    </row>
    <row r="257" spans="2:7" x14ac:dyDescent="0.25">
      <c r="B257" s="164"/>
      <c r="C257" s="164"/>
      <c r="D257" s="164"/>
      <c r="E257" s="164"/>
      <c r="F257" s="164"/>
      <c r="G257" s="164"/>
    </row>
    <row r="258" spans="2:7" x14ac:dyDescent="0.25">
      <c r="B258" s="164"/>
      <c r="C258" s="164"/>
      <c r="D258" s="164"/>
      <c r="E258" s="164"/>
      <c r="F258" s="164"/>
      <c r="G258" s="164"/>
    </row>
    <row r="259" spans="2:7" x14ac:dyDescent="0.25">
      <c r="B259" s="164"/>
      <c r="C259" s="164"/>
      <c r="D259" s="164"/>
      <c r="E259" s="164"/>
      <c r="F259" s="164"/>
      <c r="G259" s="164"/>
    </row>
    <row r="260" spans="2:7" x14ac:dyDescent="0.25">
      <c r="B260" s="164"/>
      <c r="C260" s="164"/>
      <c r="D260" s="164"/>
      <c r="E260" s="164"/>
      <c r="F260" s="164"/>
      <c r="G260" s="164"/>
    </row>
    <row r="261" spans="2:7" x14ac:dyDescent="0.25">
      <c r="B261" s="164"/>
      <c r="C261" s="164"/>
      <c r="D261" s="164"/>
      <c r="E261" s="164"/>
      <c r="F261" s="164"/>
      <c r="G261" s="164"/>
    </row>
    <row r="262" spans="2:7" x14ac:dyDescent="0.25">
      <c r="B262" s="164"/>
      <c r="C262" s="164"/>
      <c r="D262" s="164"/>
      <c r="E262" s="164"/>
      <c r="F262" s="164"/>
      <c r="G262" s="164"/>
    </row>
    <row r="263" spans="2:7" x14ac:dyDescent="0.25">
      <c r="B263" s="164"/>
      <c r="C263" s="164"/>
      <c r="D263" s="164"/>
      <c r="E263" s="164"/>
      <c r="F263" s="164"/>
      <c r="G263" s="164"/>
    </row>
    <row r="264" spans="2:7" x14ac:dyDescent="0.25">
      <c r="B264" s="164"/>
      <c r="C264" s="164"/>
      <c r="D264" s="164"/>
      <c r="E264" s="164"/>
      <c r="F264" s="164"/>
      <c r="G264" s="164"/>
    </row>
    <row r="265" spans="2:7" x14ac:dyDescent="0.25">
      <c r="B265" s="164"/>
      <c r="C265" s="164"/>
      <c r="D265" s="164"/>
      <c r="E265" s="164"/>
      <c r="F265" s="164"/>
      <c r="G265" s="164"/>
    </row>
    <row r="266" spans="2:7" x14ac:dyDescent="0.25">
      <c r="B266" s="164"/>
      <c r="C266" s="164"/>
      <c r="D266" s="164"/>
      <c r="E266" s="164"/>
      <c r="F266" s="164"/>
      <c r="G266" s="164"/>
    </row>
    <row r="267" spans="2:7" x14ac:dyDescent="0.25">
      <c r="B267" s="164"/>
      <c r="C267" s="164"/>
      <c r="D267" s="164"/>
      <c r="E267" s="164"/>
      <c r="F267" s="164"/>
      <c r="G267" s="164"/>
    </row>
    <row r="268" spans="2:7" x14ac:dyDescent="0.25">
      <c r="B268" s="164"/>
      <c r="C268" s="164"/>
      <c r="D268" s="164"/>
      <c r="E268" s="164"/>
      <c r="F268" s="164"/>
      <c r="G268" s="164"/>
    </row>
    <row r="269" spans="2:7" x14ac:dyDescent="0.25">
      <c r="G269" s="164"/>
    </row>
    <row r="270" spans="2:7" x14ac:dyDescent="0.25">
      <c r="G270" s="164"/>
    </row>
    <row r="271" spans="2:7" x14ac:dyDescent="0.25">
      <c r="G271" s="164"/>
    </row>
    <row r="272" spans="2:7" x14ac:dyDescent="0.25">
      <c r="G272" s="164"/>
    </row>
    <row r="273" spans="7:7" x14ac:dyDescent="0.25">
      <c r="G273" s="164"/>
    </row>
    <row r="274" spans="7:7" x14ac:dyDescent="0.25">
      <c r="G274" s="164"/>
    </row>
    <row r="275" spans="7:7" x14ac:dyDescent="0.25">
      <c r="G275" s="164"/>
    </row>
    <row r="276" spans="7:7" x14ac:dyDescent="0.25">
      <c r="G276" s="164"/>
    </row>
    <row r="277" spans="7:7" x14ac:dyDescent="0.25">
      <c r="G277" s="164"/>
    </row>
    <row r="278" spans="7:7" x14ac:dyDescent="0.25">
      <c r="G278" s="164"/>
    </row>
    <row r="279" spans="7:7" x14ac:dyDescent="0.25">
      <c r="G279" s="164"/>
    </row>
    <row r="280" spans="7:7" x14ac:dyDescent="0.25">
      <c r="G280" s="164"/>
    </row>
    <row r="281" spans="7:7" x14ac:dyDescent="0.25">
      <c r="G281" s="164"/>
    </row>
    <row r="282" spans="7:7" x14ac:dyDescent="0.25">
      <c r="G282" s="164"/>
    </row>
    <row r="283" spans="7:7" x14ac:dyDescent="0.25">
      <c r="G283" s="164"/>
    </row>
    <row r="284" spans="7:7" x14ac:dyDescent="0.25">
      <c r="G284" s="164"/>
    </row>
    <row r="285" spans="7:7" x14ac:dyDescent="0.25">
      <c r="G285" s="164"/>
    </row>
    <row r="286" spans="7:7" x14ac:dyDescent="0.25">
      <c r="G286" s="164"/>
    </row>
    <row r="287" spans="7:7" x14ac:dyDescent="0.25">
      <c r="G287" s="164"/>
    </row>
    <row r="288" spans="7:7" x14ac:dyDescent="0.25">
      <c r="G288" s="164"/>
    </row>
    <row r="289" spans="7:7" x14ac:dyDescent="0.25">
      <c r="G289" s="164"/>
    </row>
    <row r="290" spans="7:7" x14ac:dyDescent="0.25">
      <c r="G290" s="164"/>
    </row>
    <row r="291" spans="7:7" x14ac:dyDescent="0.25">
      <c r="G291" s="164"/>
    </row>
    <row r="292" spans="7:7" x14ac:dyDescent="0.25">
      <c r="G292" s="164"/>
    </row>
    <row r="293" spans="7:7" x14ac:dyDescent="0.25">
      <c r="G293" s="164"/>
    </row>
    <row r="294" spans="7:7" x14ac:dyDescent="0.25">
      <c r="G294" s="164"/>
    </row>
    <row r="295" spans="7:7" x14ac:dyDescent="0.25">
      <c r="G295" s="164"/>
    </row>
    <row r="296" spans="7:7" x14ac:dyDescent="0.25">
      <c r="G296" s="164"/>
    </row>
    <row r="297" spans="7:7" x14ac:dyDescent="0.25">
      <c r="G297" s="164"/>
    </row>
    <row r="298" spans="7:7" x14ac:dyDescent="0.25">
      <c r="G298" s="164"/>
    </row>
    <row r="299" spans="7:7" x14ac:dyDescent="0.25">
      <c r="G299" s="164"/>
    </row>
    <row r="300" spans="7:7" x14ac:dyDescent="0.25">
      <c r="G300" s="164"/>
    </row>
    <row r="301" spans="7:7" x14ac:dyDescent="0.25">
      <c r="G301" s="164"/>
    </row>
    <row r="302" spans="7:7" x14ac:dyDescent="0.25">
      <c r="G302" s="164"/>
    </row>
    <row r="303" spans="7:7" x14ac:dyDescent="0.25">
      <c r="G303" s="164"/>
    </row>
    <row r="304" spans="7:7" x14ac:dyDescent="0.25">
      <c r="G304" s="164"/>
    </row>
    <row r="305" spans="7:7" x14ac:dyDescent="0.25">
      <c r="G305" s="164"/>
    </row>
    <row r="306" spans="7:7" x14ac:dyDescent="0.25">
      <c r="G306" s="164"/>
    </row>
    <row r="307" spans="7:7" x14ac:dyDescent="0.25">
      <c r="G307" s="164"/>
    </row>
    <row r="308" spans="7:7" x14ac:dyDescent="0.25">
      <c r="G308" s="164"/>
    </row>
    <row r="309" spans="7:7" x14ac:dyDescent="0.25">
      <c r="G309" s="164"/>
    </row>
    <row r="310" spans="7:7" x14ac:dyDescent="0.25">
      <c r="G310" s="164"/>
    </row>
    <row r="311" spans="7:7" x14ac:dyDescent="0.25">
      <c r="G311" s="164"/>
    </row>
    <row r="312" spans="7:7" x14ac:dyDescent="0.25">
      <c r="G312" s="164"/>
    </row>
    <row r="313" spans="7:7" x14ac:dyDescent="0.25">
      <c r="G313" s="164"/>
    </row>
    <row r="314" spans="7:7" x14ac:dyDescent="0.25">
      <c r="G314" s="164"/>
    </row>
    <row r="315" spans="7:7" x14ac:dyDescent="0.25">
      <c r="G315" s="164"/>
    </row>
    <row r="316" spans="7:7" x14ac:dyDescent="0.25">
      <c r="G316" s="164"/>
    </row>
    <row r="317" spans="7:7" x14ac:dyDescent="0.25">
      <c r="G317" s="164"/>
    </row>
    <row r="318" spans="7:7" x14ac:dyDescent="0.25">
      <c r="G318" s="164"/>
    </row>
    <row r="319" spans="7:7" x14ac:dyDescent="0.25">
      <c r="G319" s="164"/>
    </row>
    <row r="320" spans="7:7" x14ac:dyDescent="0.25">
      <c r="G320" s="164"/>
    </row>
    <row r="321" spans="7:7" x14ac:dyDescent="0.25">
      <c r="G321" s="164"/>
    </row>
    <row r="322" spans="7:7" x14ac:dyDescent="0.25">
      <c r="G322" s="164"/>
    </row>
    <row r="323" spans="7:7" x14ac:dyDescent="0.25">
      <c r="G323" s="164"/>
    </row>
    <row r="324" spans="7:7" x14ac:dyDescent="0.25">
      <c r="G324" s="164"/>
    </row>
    <row r="325" spans="7:7" x14ac:dyDescent="0.25">
      <c r="G325" s="164"/>
    </row>
    <row r="326" spans="7:7" x14ac:dyDescent="0.25">
      <c r="G326" s="164"/>
    </row>
    <row r="327" spans="7:7" x14ac:dyDescent="0.25">
      <c r="G327" s="164"/>
    </row>
    <row r="328" spans="7:7" x14ac:dyDescent="0.25">
      <c r="G328" s="164"/>
    </row>
    <row r="329" spans="7:7" x14ac:dyDescent="0.25">
      <c r="G329" s="164"/>
    </row>
    <row r="330" spans="7:7" x14ac:dyDescent="0.25">
      <c r="G330" s="164"/>
    </row>
    <row r="331" spans="7:7" x14ac:dyDescent="0.25">
      <c r="G331" s="164"/>
    </row>
    <row r="332" spans="7:7" x14ac:dyDescent="0.25">
      <c r="G332" s="164"/>
    </row>
    <row r="333" spans="7:7" x14ac:dyDescent="0.25">
      <c r="G333" s="164"/>
    </row>
    <row r="334" spans="7:7" x14ac:dyDescent="0.25">
      <c r="G334" s="164"/>
    </row>
    <row r="335" spans="7:7" x14ac:dyDescent="0.25">
      <c r="G335" s="164"/>
    </row>
    <row r="336" spans="7:7" x14ac:dyDescent="0.25">
      <c r="G336" s="164"/>
    </row>
    <row r="337" spans="7:7" x14ac:dyDescent="0.25">
      <c r="G337" s="164"/>
    </row>
    <row r="338" spans="7:7" x14ac:dyDescent="0.25">
      <c r="G338" s="164"/>
    </row>
    <row r="339" spans="7:7" x14ac:dyDescent="0.25">
      <c r="G339" s="164"/>
    </row>
    <row r="340" spans="7:7" x14ac:dyDescent="0.25">
      <c r="G340" s="164"/>
    </row>
    <row r="341" spans="7:7" x14ac:dyDescent="0.25">
      <c r="G341" s="164"/>
    </row>
    <row r="342" spans="7:7" x14ac:dyDescent="0.25">
      <c r="G342" s="164"/>
    </row>
    <row r="343" spans="7:7" x14ac:dyDescent="0.25">
      <c r="G343" s="164"/>
    </row>
    <row r="344" spans="7:7" x14ac:dyDescent="0.25">
      <c r="G344" s="164"/>
    </row>
    <row r="345" spans="7:7" x14ac:dyDescent="0.25">
      <c r="G345" s="164"/>
    </row>
    <row r="346" spans="7:7" x14ac:dyDescent="0.25">
      <c r="G346" s="164"/>
    </row>
    <row r="347" spans="7:7" x14ac:dyDescent="0.25">
      <c r="G347" s="164"/>
    </row>
    <row r="348" spans="7:7" x14ac:dyDescent="0.25">
      <c r="G348" s="164"/>
    </row>
    <row r="349" spans="7:7" x14ac:dyDescent="0.25">
      <c r="G349" s="164"/>
    </row>
    <row r="350" spans="7:7" x14ac:dyDescent="0.25">
      <c r="G350" s="164"/>
    </row>
    <row r="351" spans="7:7" x14ac:dyDescent="0.25">
      <c r="G351" s="164"/>
    </row>
    <row r="352" spans="7:7" x14ac:dyDescent="0.25">
      <c r="G352" s="164"/>
    </row>
    <row r="353" spans="7:7" x14ac:dyDescent="0.25">
      <c r="G353" s="164"/>
    </row>
    <row r="354" spans="7:7" x14ac:dyDescent="0.25">
      <c r="G354" s="164"/>
    </row>
    <row r="355" spans="7:7" x14ac:dyDescent="0.25">
      <c r="G355" s="164"/>
    </row>
    <row r="356" spans="7:7" x14ac:dyDescent="0.25">
      <c r="G356" s="164"/>
    </row>
    <row r="357" spans="7:7" x14ac:dyDescent="0.25">
      <c r="G357" s="164"/>
    </row>
    <row r="358" spans="7:7" x14ac:dyDescent="0.25">
      <c r="G358" s="164"/>
    </row>
    <row r="359" spans="7:7" x14ac:dyDescent="0.25">
      <c r="G359" s="164"/>
    </row>
    <row r="360" spans="7:7" x14ac:dyDescent="0.25">
      <c r="G360" s="164"/>
    </row>
    <row r="361" spans="7:7" x14ac:dyDescent="0.25">
      <c r="G361" s="164"/>
    </row>
    <row r="362" spans="7:7" x14ac:dyDescent="0.25">
      <c r="G362" s="164"/>
    </row>
    <row r="363" spans="7:7" x14ac:dyDescent="0.25">
      <c r="G363" s="164"/>
    </row>
    <row r="364" spans="7:7" x14ac:dyDescent="0.25">
      <c r="G364" s="164"/>
    </row>
    <row r="365" spans="7:7" x14ac:dyDescent="0.25">
      <c r="G365" s="164"/>
    </row>
    <row r="366" spans="7:7" x14ac:dyDescent="0.25">
      <c r="G366" s="164"/>
    </row>
    <row r="367" spans="7:7" x14ac:dyDescent="0.25">
      <c r="G367" s="164"/>
    </row>
    <row r="368" spans="7:7" x14ac:dyDescent="0.25">
      <c r="G368" s="164"/>
    </row>
    <row r="369" spans="7:7" x14ac:dyDescent="0.25">
      <c r="G369" s="164"/>
    </row>
    <row r="370" spans="7:7" x14ac:dyDescent="0.25">
      <c r="G370" s="164"/>
    </row>
    <row r="371" spans="7:7" x14ac:dyDescent="0.25">
      <c r="G371" s="164"/>
    </row>
    <row r="372" spans="7:7" x14ac:dyDescent="0.25">
      <c r="G372" s="164"/>
    </row>
    <row r="373" spans="7:7" x14ac:dyDescent="0.25">
      <c r="G373" s="164"/>
    </row>
    <row r="374" spans="7:7" x14ac:dyDescent="0.25">
      <c r="G374" s="164"/>
    </row>
    <row r="375" spans="7:7" x14ac:dyDescent="0.25">
      <c r="G375" s="164"/>
    </row>
    <row r="376" spans="7:7" x14ac:dyDescent="0.25">
      <c r="G376" s="164"/>
    </row>
    <row r="377" spans="7:7" x14ac:dyDescent="0.25">
      <c r="G377" s="164"/>
    </row>
    <row r="378" spans="7:7" x14ac:dyDescent="0.25">
      <c r="G378" s="164"/>
    </row>
    <row r="379" spans="7:7" x14ac:dyDescent="0.25">
      <c r="G379" s="164"/>
    </row>
    <row r="380" spans="7:7" x14ac:dyDescent="0.25">
      <c r="G380" s="164"/>
    </row>
    <row r="381" spans="7:7" x14ac:dyDescent="0.25">
      <c r="G381" s="164"/>
    </row>
    <row r="382" spans="7:7" x14ac:dyDescent="0.25">
      <c r="G382" s="164"/>
    </row>
    <row r="383" spans="7:7" x14ac:dyDescent="0.25">
      <c r="G383" s="164"/>
    </row>
    <row r="384" spans="7:7" x14ac:dyDescent="0.25">
      <c r="G384" s="164"/>
    </row>
    <row r="385" spans="7:7" x14ac:dyDescent="0.25">
      <c r="G385" s="164"/>
    </row>
    <row r="386" spans="7:7" x14ac:dyDescent="0.25">
      <c r="G386" s="164"/>
    </row>
    <row r="387" spans="7:7" x14ac:dyDescent="0.25">
      <c r="G387" s="164"/>
    </row>
    <row r="388" spans="7:7" x14ac:dyDescent="0.25">
      <c r="G388" s="164"/>
    </row>
    <row r="389" spans="7:7" x14ac:dyDescent="0.25">
      <c r="G389" s="164"/>
    </row>
    <row r="390" spans="7:7" x14ac:dyDescent="0.25">
      <c r="G390" s="164"/>
    </row>
    <row r="391" spans="7:7" x14ac:dyDescent="0.25">
      <c r="G391" s="164"/>
    </row>
    <row r="392" spans="7:7" x14ac:dyDescent="0.25">
      <c r="G392" s="164"/>
    </row>
    <row r="393" spans="7:7" x14ac:dyDescent="0.25">
      <c r="G393" s="164"/>
    </row>
    <row r="394" spans="7:7" x14ac:dyDescent="0.25">
      <c r="G394" s="164"/>
    </row>
    <row r="395" spans="7:7" x14ac:dyDescent="0.25">
      <c r="G395" s="164"/>
    </row>
    <row r="396" spans="7:7" x14ac:dyDescent="0.25">
      <c r="G396" s="164"/>
    </row>
    <row r="397" spans="7:7" x14ac:dyDescent="0.25">
      <c r="G397" s="164"/>
    </row>
    <row r="398" spans="7:7" x14ac:dyDescent="0.25">
      <c r="G398" s="164"/>
    </row>
    <row r="399" spans="7:7" x14ac:dyDescent="0.25">
      <c r="G399" s="164"/>
    </row>
    <row r="400" spans="7:7" x14ac:dyDescent="0.25">
      <c r="G400" s="164"/>
    </row>
    <row r="401" spans="7:7" x14ac:dyDescent="0.25">
      <c r="G401" s="164"/>
    </row>
    <row r="402" spans="7:7" x14ac:dyDescent="0.25">
      <c r="G402" s="164"/>
    </row>
    <row r="403" spans="7:7" x14ac:dyDescent="0.25">
      <c r="G403" s="164"/>
    </row>
    <row r="404" spans="7:7" x14ac:dyDescent="0.25">
      <c r="G404" s="164"/>
    </row>
    <row r="405" spans="7:7" x14ac:dyDescent="0.25">
      <c r="G405" s="164"/>
    </row>
    <row r="406" spans="7:7" x14ac:dyDescent="0.25">
      <c r="G406" s="164"/>
    </row>
    <row r="407" spans="7:7" x14ac:dyDescent="0.25">
      <c r="G407" s="164"/>
    </row>
    <row r="408" spans="7:7" x14ac:dyDescent="0.25">
      <c r="G408" s="164"/>
    </row>
    <row r="409" spans="7:7" x14ac:dyDescent="0.25">
      <c r="G409" s="164"/>
    </row>
    <row r="410" spans="7:7" x14ac:dyDescent="0.25">
      <c r="G410" s="164"/>
    </row>
    <row r="411" spans="7:7" x14ac:dyDescent="0.25">
      <c r="G411" s="164"/>
    </row>
    <row r="412" spans="7:7" x14ac:dyDescent="0.25">
      <c r="G412" s="164"/>
    </row>
    <row r="413" spans="7:7" x14ac:dyDescent="0.25">
      <c r="G413" s="164"/>
    </row>
    <row r="414" spans="7:7" x14ac:dyDescent="0.25">
      <c r="G414" s="164"/>
    </row>
    <row r="415" spans="7:7" x14ac:dyDescent="0.25">
      <c r="G415" s="164"/>
    </row>
    <row r="416" spans="7:7" x14ac:dyDescent="0.25">
      <c r="G416" s="164"/>
    </row>
    <row r="417" spans="7:7" x14ac:dyDescent="0.25">
      <c r="G417" s="164"/>
    </row>
    <row r="418" spans="7:7" x14ac:dyDescent="0.25">
      <c r="G418" s="164"/>
    </row>
    <row r="419" spans="7:7" x14ac:dyDescent="0.25">
      <c r="G419" s="164"/>
    </row>
    <row r="420" spans="7:7" x14ac:dyDescent="0.25">
      <c r="G420" s="164"/>
    </row>
    <row r="421" spans="7:7" x14ac:dyDescent="0.25">
      <c r="G421" s="164"/>
    </row>
    <row r="422" spans="7:7" x14ac:dyDescent="0.25">
      <c r="G422" s="164"/>
    </row>
    <row r="423" spans="7:7" x14ac:dyDescent="0.25">
      <c r="G423" s="164"/>
    </row>
    <row r="424" spans="7:7" x14ac:dyDescent="0.25">
      <c r="G424" s="164"/>
    </row>
    <row r="425" spans="7:7" x14ac:dyDescent="0.25">
      <c r="G425" s="164"/>
    </row>
    <row r="426" spans="7:7" x14ac:dyDescent="0.25">
      <c r="G426" s="164"/>
    </row>
    <row r="427" spans="7:7" x14ac:dyDescent="0.25">
      <c r="G427" s="164"/>
    </row>
    <row r="428" spans="7:7" x14ac:dyDescent="0.25">
      <c r="G428" s="164"/>
    </row>
    <row r="429" spans="7:7" x14ac:dyDescent="0.25">
      <c r="G429" s="164"/>
    </row>
    <row r="430" spans="7:7" x14ac:dyDescent="0.25">
      <c r="G430" s="164"/>
    </row>
    <row r="431" spans="7:7" x14ac:dyDescent="0.25">
      <c r="G431" s="164"/>
    </row>
    <row r="432" spans="7:7" x14ac:dyDescent="0.25">
      <c r="G432" s="164"/>
    </row>
    <row r="433" spans="7:7" x14ac:dyDescent="0.25">
      <c r="G433" s="164"/>
    </row>
    <row r="434" spans="7:7" x14ac:dyDescent="0.25">
      <c r="G434" s="164"/>
    </row>
    <row r="435" spans="7:7" x14ac:dyDescent="0.25">
      <c r="G435" s="164"/>
    </row>
    <row r="436" spans="7:7" x14ac:dyDescent="0.25">
      <c r="G436" s="164"/>
    </row>
    <row r="437" spans="7:7" x14ac:dyDescent="0.25">
      <c r="G437" s="164"/>
    </row>
    <row r="438" spans="7:7" x14ac:dyDescent="0.25">
      <c r="G438" s="164"/>
    </row>
    <row r="439" spans="7:7" x14ac:dyDescent="0.25">
      <c r="G439" s="164"/>
    </row>
    <row r="440" spans="7:7" x14ac:dyDescent="0.25">
      <c r="G440" s="164"/>
    </row>
    <row r="441" spans="7:7" x14ac:dyDescent="0.25">
      <c r="G441" s="164"/>
    </row>
    <row r="442" spans="7:7" x14ac:dyDescent="0.25">
      <c r="G442" s="164"/>
    </row>
    <row r="443" spans="7:7" x14ac:dyDescent="0.25">
      <c r="G443" s="164"/>
    </row>
    <row r="444" spans="7:7" x14ac:dyDescent="0.25">
      <c r="G444" s="164"/>
    </row>
    <row r="445" spans="7:7" x14ac:dyDescent="0.25">
      <c r="G445" s="164"/>
    </row>
    <row r="446" spans="7:7" x14ac:dyDescent="0.25">
      <c r="G446" s="164"/>
    </row>
    <row r="447" spans="7:7" x14ac:dyDescent="0.25">
      <c r="G447" s="164"/>
    </row>
    <row r="448" spans="7:7" x14ac:dyDescent="0.25">
      <c r="G448" s="164"/>
    </row>
    <row r="449" spans="7:7" x14ac:dyDescent="0.25">
      <c r="G449" s="164"/>
    </row>
    <row r="450" spans="7:7" x14ac:dyDescent="0.25">
      <c r="G450" s="164"/>
    </row>
    <row r="451" spans="7:7" x14ac:dyDescent="0.25">
      <c r="G451" s="164"/>
    </row>
    <row r="452" spans="7:7" x14ac:dyDescent="0.25">
      <c r="G452" s="164"/>
    </row>
    <row r="453" spans="7:7" x14ac:dyDescent="0.25">
      <c r="G453" s="164"/>
    </row>
    <row r="454" spans="7:7" x14ac:dyDescent="0.25">
      <c r="G454" s="164"/>
    </row>
    <row r="455" spans="7:7" x14ac:dyDescent="0.25">
      <c r="G455" s="164"/>
    </row>
    <row r="456" spans="7:7" x14ac:dyDescent="0.25">
      <c r="G456" s="164"/>
    </row>
    <row r="457" spans="7:7" x14ac:dyDescent="0.25">
      <c r="G457" s="164"/>
    </row>
    <row r="458" spans="7:7" x14ac:dyDescent="0.25">
      <c r="G458" s="164"/>
    </row>
    <row r="459" spans="7:7" x14ac:dyDescent="0.25">
      <c r="G459" s="164"/>
    </row>
    <row r="460" spans="7:7" x14ac:dyDescent="0.25">
      <c r="G460" s="164"/>
    </row>
  </sheetData>
  <mergeCells count="1">
    <mergeCell ref="C42:D42"/>
  </mergeCells>
  <pageMargins left="0.59055118110236227" right="0.59055118110236227" top="0.98425196850393704" bottom="0.98425196850393704" header="0.51181102362204722" footer="0.51181102362204722"/>
  <pageSetup paperSize="9" scale="86" orientation="portrait" r:id="rId1"/>
  <headerFooter alignWithMargins="0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07B3-0003-4782-A0FE-CC5E7734E48A}">
  <sheetPr>
    <tabColor theme="9" tint="0.59999389629810485"/>
  </sheetPr>
  <dimension ref="A1:O122"/>
  <sheetViews>
    <sheetView workbookViewId="0">
      <selection activeCell="Q18" sqref="Q18"/>
    </sheetView>
  </sheetViews>
  <sheetFormatPr defaultColWidth="9.21875" defaultRowHeight="14.4" x14ac:dyDescent="0.3"/>
  <cols>
    <col min="1" max="1" width="9.21875" style="76"/>
    <col min="2" max="2" width="11" style="76" customWidth="1"/>
    <col min="3" max="3" width="8.77734375" style="76" customWidth="1"/>
    <col min="4" max="4" width="9.44140625" style="76" bestFit="1" customWidth="1"/>
    <col min="5" max="5" width="8.44140625" style="76" bestFit="1" customWidth="1"/>
    <col min="6" max="6" width="9.21875" style="76"/>
    <col min="7" max="7" width="10.44140625" style="76" bestFit="1" customWidth="1"/>
    <col min="8" max="12" width="9.21875" style="76"/>
    <col min="13" max="13" width="9.21875" style="76" customWidth="1"/>
    <col min="14" max="16384" width="9.21875" style="76"/>
  </cols>
  <sheetData>
    <row r="1" spans="1:8" x14ac:dyDescent="0.3">
      <c r="B1" s="77" t="s">
        <v>401</v>
      </c>
    </row>
    <row r="3" spans="1:8" x14ac:dyDescent="0.3">
      <c r="A3" s="77" t="s">
        <v>402</v>
      </c>
      <c r="D3" s="77" t="s">
        <v>403</v>
      </c>
      <c r="E3" s="77" t="s">
        <v>404</v>
      </c>
      <c r="F3" s="77" t="s">
        <v>403</v>
      </c>
      <c r="G3" s="77" t="s">
        <v>405</v>
      </c>
    </row>
    <row r="4" spans="1:8" x14ac:dyDescent="0.3">
      <c r="A4" s="246" t="s">
        <v>406</v>
      </c>
      <c r="B4" s="246"/>
      <c r="C4" s="246"/>
      <c r="D4" s="78">
        <v>11.61</v>
      </c>
      <c r="E4" s="79" t="s">
        <v>407</v>
      </c>
      <c r="F4" s="79" t="s">
        <v>408</v>
      </c>
      <c r="G4" s="80"/>
      <c r="H4" s="76" t="s">
        <v>409</v>
      </c>
    </row>
    <row r="5" spans="1:8" x14ac:dyDescent="0.3">
      <c r="A5" s="246" t="s">
        <v>410</v>
      </c>
      <c r="B5" s="246"/>
      <c r="C5" s="246"/>
      <c r="D5" s="78">
        <v>5</v>
      </c>
      <c r="E5" s="79" t="s">
        <v>52</v>
      </c>
      <c r="F5" s="81">
        <f>D5*1000</f>
        <v>5000</v>
      </c>
      <c r="G5" s="82" t="s">
        <v>411</v>
      </c>
    </row>
    <row r="6" spans="1:8" x14ac:dyDescent="0.3">
      <c r="A6" s="246" t="s">
        <v>412</v>
      </c>
      <c r="B6" s="246"/>
      <c r="C6" s="246"/>
      <c r="D6" s="78">
        <v>35</v>
      </c>
      <c r="E6" s="79" t="s">
        <v>52</v>
      </c>
      <c r="F6" s="81">
        <f>D6*1000</f>
        <v>35000</v>
      </c>
      <c r="G6" s="82" t="s">
        <v>411</v>
      </c>
    </row>
    <row r="7" spans="1:8" x14ac:dyDescent="0.3">
      <c r="A7" s="246" t="s">
        <v>413</v>
      </c>
      <c r="B7" s="246"/>
      <c r="C7" s="246"/>
      <c r="D7" s="79"/>
      <c r="E7" s="79"/>
      <c r="F7" s="83">
        <f>10*D4*((1/SQRT(F5))-(1/SQRT(F6)))</f>
        <v>1.0213213421945138</v>
      </c>
      <c r="G7" s="82" t="s">
        <v>407</v>
      </c>
    </row>
    <row r="8" spans="1:8" x14ac:dyDescent="0.3">
      <c r="A8" s="246" t="s">
        <v>414</v>
      </c>
      <c r="B8" s="246"/>
      <c r="C8" s="246"/>
      <c r="D8" s="78">
        <v>8</v>
      </c>
      <c r="E8" s="79" t="s">
        <v>415</v>
      </c>
      <c r="F8" s="83">
        <f>D8*1000/907</f>
        <v>8.8202866593164284</v>
      </c>
      <c r="G8" s="82" t="s">
        <v>416</v>
      </c>
    </row>
    <row r="9" spans="1:8" x14ac:dyDescent="0.3">
      <c r="A9" s="246" t="s">
        <v>417</v>
      </c>
      <c r="B9" s="246"/>
      <c r="C9" s="246"/>
      <c r="D9" s="83">
        <f>F7*F8</f>
        <v>9.0083470094334182</v>
      </c>
      <c r="E9" s="82" t="s">
        <v>418</v>
      </c>
      <c r="F9" s="84">
        <f>D9*1.35962</f>
        <v>12.247928760965864</v>
      </c>
      <c r="G9" s="79" t="s">
        <v>249</v>
      </c>
    </row>
    <row r="10" spans="1:8" x14ac:dyDescent="0.3">
      <c r="A10" s="246" t="s">
        <v>419</v>
      </c>
      <c r="B10" s="246"/>
      <c r="C10" s="246"/>
      <c r="D10" s="78">
        <v>1770</v>
      </c>
      <c r="E10" s="82" t="s">
        <v>347</v>
      </c>
      <c r="F10" s="85"/>
      <c r="G10" s="79"/>
    </row>
    <row r="11" spans="1:8" x14ac:dyDescent="0.3">
      <c r="A11" s="246" t="s">
        <v>420</v>
      </c>
      <c r="B11" s="246"/>
      <c r="C11" s="246"/>
      <c r="D11" s="78">
        <v>12.5</v>
      </c>
      <c r="E11" s="82" t="s">
        <v>249</v>
      </c>
      <c r="F11" s="78" t="s">
        <v>421</v>
      </c>
      <c r="G11" s="78" t="s">
        <v>422</v>
      </c>
    </row>
    <row r="12" spans="1:8" x14ac:dyDescent="0.3">
      <c r="A12" s="246" t="s">
        <v>423</v>
      </c>
      <c r="B12" s="246"/>
      <c r="C12" s="246"/>
      <c r="D12" s="78">
        <v>15</v>
      </c>
      <c r="E12" s="82" t="s">
        <v>371</v>
      </c>
      <c r="F12" s="84">
        <f>D12*9.80665</f>
        <v>147.09975</v>
      </c>
      <c r="G12" s="79" t="s">
        <v>367</v>
      </c>
      <c r="H12" s="76" t="s">
        <v>424</v>
      </c>
    </row>
    <row r="13" spans="1:8" x14ac:dyDescent="0.3">
      <c r="A13" s="246" t="s">
        <v>425</v>
      </c>
      <c r="B13" s="246"/>
      <c r="C13" s="246"/>
      <c r="D13" s="78">
        <v>250</v>
      </c>
      <c r="E13" s="82" t="s">
        <v>52</v>
      </c>
      <c r="F13" s="86"/>
      <c r="G13" s="82"/>
    </row>
    <row r="14" spans="1:8" x14ac:dyDescent="0.3">
      <c r="A14" s="246" t="s">
        <v>426</v>
      </c>
      <c r="B14" s="246"/>
      <c r="C14" s="246"/>
      <c r="D14" s="78">
        <v>200</v>
      </c>
      <c r="E14" s="82" t="s">
        <v>52</v>
      </c>
    </row>
    <row r="15" spans="1:8" x14ac:dyDescent="0.3">
      <c r="A15" s="246" t="s">
        <v>427</v>
      </c>
      <c r="B15" s="246"/>
      <c r="C15" s="246"/>
      <c r="D15" s="87" t="s">
        <v>428</v>
      </c>
      <c r="E15" s="84">
        <f>D13/D14</f>
        <v>1.25</v>
      </c>
    </row>
    <row r="16" spans="1:8" x14ac:dyDescent="0.3">
      <c r="A16" s="248" t="s">
        <v>429</v>
      </c>
      <c r="B16" s="248"/>
      <c r="C16" s="248"/>
      <c r="D16" s="88">
        <f>D10*(D13/D14)</f>
        <v>2212.5</v>
      </c>
      <c r="E16" s="82" t="s">
        <v>347</v>
      </c>
    </row>
    <row r="17" spans="1:14" x14ac:dyDescent="0.3">
      <c r="A17" s="248" t="s">
        <v>430</v>
      </c>
      <c r="B17" s="248"/>
      <c r="C17" s="248"/>
      <c r="D17" s="78">
        <v>4500</v>
      </c>
      <c r="E17" s="79" t="s">
        <v>431</v>
      </c>
    </row>
    <row r="18" spans="1:14" x14ac:dyDescent="0.3">
      <c r="A18" s="246" t="s">
        <v>432</v>
      </c>
      <c r="B18" s="246"/>
      <c r="C18" s="246"/>
      <c r="D18" s="84">
        <f>D17/(PI()*D16)</f>
        <v>0.64740993800093027</v>
      </c>
      <c r="E18" s="79" t="s">
        <v>58</v>
      </c>
    </row>
    <row r="19" spans="1:14" x14ac:dyDescent="0.3">
      <c r="A19" s="246" t="s">
        <v>433</v>
      </c>
      <c r="B19" s="246"/>
      <c r="C19" s="246"/>
      <c r="D19" s="84">
        <f>D9*100*75%/(D16*PI()/30)</f>
        <v>2.9160466894340771</v>
      </c>
      <c r="E19" s="79" t="s">
        <v>367</v>
      </c>
    </row>
    <row r="20" spans="1:14" x14ac:dyDescent="0.3">
      <c r="A20" s="246" t="s">
        <v>434</v>
      </c>
      <c r="B20" s="246"/>
      <c r="C20" s="246"/>
      <c r="D20" s="78">
        <v>30</v>
      </c>
      <c r="E20" s="79" t="s">
        <v>46</v>
      </c>
    </row>
    <row r="21" spans="1:14" x14ac:dyDescent="0.3">
      <c r="A21" s="247" t="s">
        <v>1311</v>
      </c>
      <c r="B21" s="246"/>
      <c r="C21" s="246"/>
      <c r="D21" s="78">
        <v>2.4</v>
      </c>
      <c r="E21" s="79" t="s">
        <v>435</v>
      </c>
    </row>
    <row r="22" spans="1:14" x14ac:dyDescent="0.3">
      <c r="A22" s="247" t="s">
        <v>1310</v>
      </c>
      <c r="B22" s="246"/>
      <c r="C22" s="246"/>
      <c r="D22" s="89">
        <f>D18/2</f>
        <v>0.32370496900046514</v>
      </c>
      <c r="E22" s="79" t="s">
        <v>58</v>
      </c>
    </row>
    <row r="23" spans="1:14" x14ac:dyDescent="0.3">
      <c r="A23" s="246" t="s">
        <v>436</v>
      </c>
      <c r="B23" s="246"/>
      <c r="C23" s="246"/>
      <c r="D23" s="90">
        <f>D20*D21*D22*(D16*PI()/30)^2</f>
        <v>1251139.2742921349</v>
      </c>
      <c r="E23" s="79" t="s">
        <v>393</v>
      </c>
    </row>
    <row r="24" spans="1:14" x14ac:dyDescent="0.3">
      <c r="A24" s="246" t="s">
        <v>437</v>
      </c>
      <c r="B24" s="246"/>
      <c r="C24" s="246"/>
      <c r="D24" s="91">
        <f>D23/D27</f>
        <v>1370360.650922382</v>
      </c>
      <c r="E24" s="79" t="s">
        <v>438</v>
      </c>
    </row>
    <row r="25" spans="1:14" x14ac:dyDescent="0.3">
      <c r="A25" s="246" t="s">
        <v>439</v>
      </c>
      <c r="B25" s="246"/>
      <c r="C25" s="246"/>
      <c r="D25" s="78">
        <v>1.3460000000000001</v>
      </c>
      <c r="E25" s="79" t="s">
        <v>58</v>
      </c>
    </row>
    <row r="26" spans="1:14" x14ac:dyDescent="0.3">
      <c r="A26" s="246" t="s">
        <v>440</v>
      </c>
      <c r="B26" s="246"/>
      <c r="C26" s="246"/>
      <c r="D26" s="78">
        <v>0.27600000000000002</v>
      </c>
      <c r="E26" s="79" t="s">
        <v>58</v>
      </c>
    </row>
    <row r="27" spans="1:14" ht="15.6" x14ac:dyDescent="0.3">
      <c r="A27" s="246" t="s">
        <v>441</v>
      </c>
      <c r="B27" s="246"/>
      <c r="C27" s="246"/>
      <c r="D27" s="78">
        <v>0.91300000000000003</v>
      </c>
      <c r="E27" s="79" t="s">
        <v>58</v>
      </c>
      <c r="J27" s="92">
        <f>D8</f>
        <v>8</v>
      </c>
      <c r="K27" s="93" t="s">
        <v>415</v>
      </c>
    </row>
    <row r="28" spans="1:14" x14ac:dyDescent="0.3">
      <c r="A28" s="246" t="s">
        <v>442</v>
      </c>
      <c r="B28" s="246"/>
      <c r="C28" s="246"/>
      <c r="D28" s="78">
        <f>D25-D26-D27</f>
        <v>0.15700000000000003</v>
      </c>
      <c r="E28" s="79" t="s">
        <v>58</v>
      </c>
    </row>
    <row r="29" spans="1:14" x14ac:dyDescent="0.3">
      <c r="A29" s="246" t="s">
        <v>443</v>
      </c>
      <c r="B29" s="246"/>
      <c r="C29" s="246"/>
      <c r="D29" s="78">
        <f>D25/2</f>
        <v>0.67300000000000004</v>
      </c>
      <c r="E29" s="79" t="s">
        <v>58</v>
      </c>
      <c r="N29" s="76" t="s">
        <v>444</v>
      </c>
    </row>
    <row r="30" spans="1:14" x14ac:dyDescent="0.3">
      <c r="A30" s="246" t="s">
        <v>445</v>
      </c>
      <c r="B30" s="246"/>
      <c r="C30" s="246"/>
      <c r="D30" s="90">
        <f>(D23*(D29-(D26/2)))/((D25-(D28/2))-(D26/2))</f>
        <v>592615.76958503062</v>
      </c>
      <c r="E30" s="79" t="s">
        <v>393</v>
      </c>
    </row>
    <row r="31" spans="1:14" x14ac:dyDescent="0.3">
      <c r="A31" s="246" t="s">
        <v>446</v>
      </c>
      <c r="B31" s="246"/>
      <c r="C31" s="246"/>
      <c r="D31" s="90">
        <f>D23-D30</f>
        <v>658523.50470710429</v>
      </c>
      <c r="E31" s="79" t="s">
        <v>393</v>
      </c>
    </row>
    <row r="34" spans="1:15" ht="15.6" x14ac:dyDescent="0.3">
      <c r="A34" s="94" t="s">
        <v>447</v>
      </c>
      <c r="B34" s="95">
        <f>D16</f>
        <v>2212.5</v>
      </c>
      <c r="C34" s="76" t="s">
        <v>347</v>
      </c>
      <c r="D34" s="96">
        <f>B34/60</f>
        <v>36.875</v>
      </c>
      <c r="E34" s="97" t="s">
        <v>448</v>
      </c>
      <c r="N34" s="98">
        <v>12.5</v>
      </c>
      <c r="O34" s="93" t="s">
        <v>249</v>
      </c>
    </row>
    <row r="38" spans="1:15" x14ac:dyDescent="0.3">
      <c r="A38" s="94" t="s">
        <v>449</v>
      </c>
      <c r="B38" s="96">
        <f>2*PI()*D34/60</f>
        <v>3.8615409700374541</v>
      </c>
      <c r="C38" s="76" t="s">
        <v>450</v>
      </c>
    </row>
    <row r="39" spans="1:15" x14ac:dyDescent="0.3">
      <c r="A39" s="94"/>
      <c r="N39" s="77"/>
    </row>
    <row r="40" spans="1:15" x14ac:dyDescent="0.3">
      <c r="A40" s="94"/>
      <c r="N40" s="77"/>
    </row>
    <row r="41" spans="1:15" x14ac:dyDescent="0.3">
      <c r="A41" s="76" t="s">
        <v>451</v>
      </c>
      <c r="E41" s="76" t="s">
        <v>452</v>
      </c>
      <c r="N41" s="77"/>
    </row>
    <row r="42" spans="1:15" x14ac:dyDescent="0.3">
      <c r="A42" s="76" t="s">
        <v>453</v>
      </c>
      <c r="N42" s="77"/>
    </row>
    <row r="43" spans="1:15" x14ac:dyDescent="0.3">
      <c r="E43" s="99">
        <v>1</v>
      </c>
      <c r="F43" s="76" t="s">
        <v>454</v>
      </c>
      <c r="G43" s="100">
        <f>E43/D34</f>
        <v>2.7118644067796609E-2</v>
      </c>
      <c r="H43" s="76" t="s">
        <v>455</v>
      </c>
      <c r="I43" s="76" t="s">
        <v>456</v>
      </c>
      <c r="N43" s="77"/>
    </row>
    <row r="44" spans="1:15" x14ac:dyDescent="0.3">
      <c r="E44" s="99">
        <v>0.5</v>
      </c>
      <c r="F44" s="76" t="s">
        <v>454</v>
      </c>
      <c r="G44" s="100">
        <f>E44/D34</f>
        <v>1.3559322033898305E-2</v>
      </c>
      <c r="H44" s="76" t="s">
        <v>455</v>
      </c>
      <c r="I44" s="76" t="s">
        <v>457</v>
      </c>
      <c r="N44" s="77"/>
    </row>
    <row r="45" spans="1:15" x14ac:dyDescent="0.3">
      <c r="G45" s="101">
        <f>G44/2</f>
        <v>6.7796610169491523E-3</v>
      </c>
      <c r="H45" s="76" t="s">
        <v>455</v>
      </c>
      <c r="I45" s="77" t="s">
        <v>458</v>
      </c>
      <c r="K45" s="76" t="s">
        <v>459</v>
      </c>
      <c r="N45" s="77"/>
    </row>
    <row r="46" spans="1:15" x14ac:dyDescent="0.3">
      <c r="A46" s="94"/>
      <c r="N46" s="77"/>
    </row>
    <row r="47" spans="1:15" x14ac:dyDescent="0.3">
      <c r="B47" s="76" t="s">
        <v>460</v>
      </c>
    </row>
    <row r="48" spans="1:15" x14ac:dyDescent="0.3">
      <c r="B48" s="99">
        <f>D8</f>
        <v>8</v>
      </c>
      <c r="C48" s="76" t="s">
        <v>57</v>
      </c>
      <c r="D48" s="102">
        <f>B48/3.6</f>
        <v>2.2222222222222223</v>
      </c>
      <c r="E48" s="76" t="s">
        <v>461</v>
      </c>
    </row>
    <row r="50" spans="1:5" x14ac:dyDescent="0.3">
      <c r="A50" s="76" t="s">
        <v>462</v>
      </c>
      <c r="D50" s="96">
        <f>D48/10</f>
        <v>0.22222222222222224</v>
      </c>
      <c r="E50" s="76" t="s">
        <v>463</v>
      </c>
    </row>
    <row r="52" spans="1:5" x14ac:dyDescent="0.3">
      <c r="B52" s="76" t="s">
        <v>464</v>
      </c>
      <c r="C52" s="103"/>
      <c r="D52" s="104">
        <f>D50*G45</f>
        <v>1.5065913370998117E-3</v>
      </c>
      <c r="E52" s="76" t="s">
        <v>68</v>
      </c>
    </row>
    <row r="53" spans="1:5" x14ac:dyDescent="0.3">
      <c r="C53" s="103"/>
    </row>
    <row r="54" spans="1:5" x14ac:dyDescent="0.3">
      <c r="A54" s="105" t="s">
        <v>465</v>
      </c>
    </row>
    <row r="55" spans="1:5" x14ac:dyDescent="0.3">
      <c r="A55" s="105"/>
    </row>
    <row r="56" spans="1:5" x14ac:dyDescent="0.3">
      <c r="A56" s="105"/>
      <c r="B56" s="106" t="s">
        <v>466</v>
      </c>
    </row>
    <row r="57" spans="1:5" x14ac:dyDescent="0.3">
      <c r="A57" s="105"/>
      <c r="B57" s="106"/>
    </row>
    <row r="58" spans="1:5" x14ac:dyDescent="0.3">
      <c r="A58" s="94" t="s">
        <v>467</v>
      </c>
      <c r="B58" s="107">
        <f>D52</f>
        <v>1.5065913370998117E-3</v>
      </c>
      <c r="C58" s="76" t="s">
        <v>68</v>
      </c>
    </row>
    <row r="59" spans="1:5" x14ac:dyDescent="0.3">
      <c r="A59" s="94" t="s">
        <v>30</v>
      </c>
      <c r="B59" s="108">
        <f>F18/60</f>
        <v>0</v>
      </c>
      <c r="C59" s="76" t="s">
        <v>48</v>
      </c>
    </row>
    <row r="60" spans="1:5" x14ac:dyDescent="0.3">
      <c r="A60" s="94" t="s">
        <v>468</v>
      </c>
      <c r="B60" s="108">
        <f>0.5*B58*B59*B59</f>
        <v>0</v>
      </c>
      <c r="C60" s="76" t="s">
        <v>469</v>
      </c>
    </row>
    <row r="62" spans="1:5" x14ac:dyDescent="0.3">
      <c r="A62" s="105" t="s">
        <v>470</v>
      </c>
    </row>
    <row r="63" spans="1:5" x14ac:dyDescent="0.3">
      <c r="B63" s="108">
        <f>B60*10</f>
        <v>0</v>
      </c>
      <c r="C63" s="76" t="s">
        <v>471</v>
      </c>
    </row>
    <row r="64" spans="1:5" x14ac:dyDescent="0.3">
      <c r="B64" s="108">
        <f>B63/G45</f>
        <v>0</v>
      </c>
      <c r="C64" s="76" t="s">
        <v>472</v>
      </c>
    </row>
    <row r="66" spans="1:6" x14ac:dyDescent="0.3">
      <c r="B66" s="76" t="s">
        <v>473</v>
      </c>
    </row>
    <row r="69" spans="1:6" x14ac:dyDescent="0.3">
      <c r="A69" s="94" t="s">
        <v>23</v>
      </c>
    </row>
    <row r="70" spans="1:6" x14ac:dyDescent="0.3">
      <c r="A70" s="94" t="s">
        <v>449</v>
      </c>
      <c r="B70" s="108">
        <f>B38</f>
        <v>3.8615409700374541</v>
      </c>
      <c r="C70" s="76" t="s">
        <v>450</v>
      </c>
    </row>
    <row r="71" spans="1:6" x14ac:dyDescent="0.3">
      <c r="A71" s="94" t="s">
        <v>474</v>
      </c>
      <c r="B71" s="109">
        <v>0.36</v>
      </c>
      <c r="C71" s="76" t="s">
        <v>475</v>
      </c>
    </row>
    <row r="72" spans="1:6" x14ac:dyDescent="0.3">
      <c r="A72" s="94" t="s">
        <v>476</v>
      </c>
      <c r="B72" s="109">
        <v>1</v>
      </c>
      <c r="C72" s="76" t="s">
        <v>477</v>
      </c>
    </row>
    <row r="73" spans="1:6" x14ac:dyDescent="0.3">
      <c r="A73" s="94" t="s">
        <v>478</v>
      </c>
      <c r="B73" s="109">
        <v>1.4</v>
      </c>
      <c r="C73" s="76" t="s">
        <v>479</v>
      </c>
    </row>
    <row r="74" spans="1:6" x14ac:dyDescent="0.3">
      <c r="A74" s="94"/>
    </row>
    <row r="75" spans="1:6" x14ac:dyDescent="0.3">
      <c r="A75" s="94" t="s">
        <v>480</v>
      </c>
      <c r="B75" s="108">
        <f>B72*B73*B71*B70*B70</f>
        <v>7.5153953262920119</v>
      </c>
      <c r="C75" s="76" t="s">
        <v>481</v>
      </c>
      <c r="E75" s="110">
        <f>B75/9.8</f>
        <v>0.76687707411142969</v>
      </c>
      <c r="F75" s="76" t="s">
        <v>133</v>
      </c>
    </row>
    <row r="76" spans="1:6" x14ac:dyDescent="0.3">
      <c r="A76" s="94"/>
    </row>
    <row r="78" spans="1:6" x14ac:dyDescent="0.3">
      <c r="B78" s="76" t="s">
        <v>482</v>
      </c>
    </row>
    <row r="80" spans="1:6" x14ac:dyDescent="0.3">
      <c r="B80" s="105" t="s">
        <v>483</v>
      </c>
    </row>
    <row r="81" spans="1:12" ht="17.399999999999999" x14ac:dyDescent="0.3">
      <c r="E81" s="111" t="s">
        <v>484</v>
      </c>
    </row>
    <row r="83" spans="1:12" x14ac:dyDescent="0.3">
      <c r="E83" s="76" t="s">
        <v>485</v>
      </c>
    </row>
    <row r="84" spans="1:12" x14ac:dyDescent="0.3">
      <c r="C84" s="94" t="s">
        <v>486</v>
      </c>
      <c r="D84" s="94" t="s">
        <v>487</v>
      </c>
      <c r="E84" s="109">
        <v>136</v>
      </c>
      <c r="F84" s="76" t="s">
        <v>52</v>
      </c>
    </row>
    <row r="85" spans="1:12" x14ac:dyDescent="0.3">
      <c r="D85" s="94" t="s">
        <v>488</v>
      </c>
      <c r="E85" s="109">
        <v>0.4</v>
      </c>
      <c r="F85" s="76" t="s">
        <v>52</v>
      </c>
    </row>
    <row r="86" spans="1:12" x14ac:dyDescent="0.3">
      <c r="D86" s="94" t="s">
        <v>480</v>
      </c>
      <c r="E86" s="110">
        <f>E75</f>
        <v>0.76687707411142969</v>
      </c>
      <c r="F86" s="76" t="s">
        <v>133</v>
      </c>
    </row>
    <row r="87" spans="1:12" x14ac:dyDescent="0.3">
      <c r="G87" s="94" t="s">
        <v>489</v>
      </c>
      <c r="H87" s="109">
        <v>10</v>
      </c>
      <c r="I87" s="76" t="s">
        <v>490</v>
      </c>
    </row>
    <row r="88" spans="1:12" x14ac:dyDescent="0.3">
      <c r="C88" s="112" t="s">
        <v>491</v>
      </c>
      <c r="D88" s="94" t="s">
        <v>492</v>
      </c>
      <c r="E88" s="110">
        <f>E85*E86/E84</f>
        <v>2.2555208062100874E-3</v>
      </c>
      <c r="F88" s="76" t="s">
        <v>133</v>
      </c>
      <c r="G88" s="94" t="s">
        <v>493</v>
      </c>
      <c r="H88" s="110">
        <f>E88*H87</f>
        <v>2.2555208062100873E-2</v>
      </c>
      <c r="I88" s="76" t="s">
        <v>133</v>
      </c>
      <c r="J88" s="76" t="s">
        <v>494</v>
      </c>
      <c r="K88" s="110">
        <f>H88*9.8*D18/2</f>
        <v>7.1552082680105766E-2</v>
      </c>
      <c r="L88" s="76" t="s">
        <v>367</v>
      </c>
    </row>
    <row r="91" spans="1:12" ht="15.6" x14ac:dyDescent="0.3">
      <c r="B91" s="93" t="s">
        <v>495</v>
      </c>
    </row>
    <row r="93" spans="1:12" x14ac:dyDescent="0.3">
      <c r="C93" s="106" t="s">
        <v>466</v>
      </c>
    </row>
    <row r="94" spans="1:12" x14ac:dyDescent="0.3">
      <c r="A94" s="94" t="s">
        <v>23</v>
      </c>
    </row>
    <row r="95" spans="1:12" x14ac:dyDescent="0.3">
      <c r="A95" s="94" t="s">
        <v>496</v>
      </c>
      <c r="B95" s="108">
        <f>B59</f>
        <v>0</v>
      </c>
      <c r="C95" s="76" t="s">
        <v>497</v>
      </c>
    </row>
    <row r="96" spans="1:12" x14ac:dyDescent="0.3">
      <c r="A96" s="94" t="s">
        <v>498</v>
      </c>
      <c r="B96" s="109">
        <v>2.1</v>
      </c>
      <c r="C96" s="76" t="s">
        <v>499</v>
      </c>
    </row>
    <row r="98" spans="1:3" x14ac:dyDescent="0.3">
      <c r="A98" s="94" t="s">
        <v>468</v>
      </c>
      <c r="B98" s="108">
        <f>0.5*B96*B95*B95</f>
        <v>0</v>
      </c>
      <c r="C98" s="76" t="s">
        <v>500</v>
      </c>
    </row>
    <row r="99" spans="1:3" x14ac:dyDescent="0.3">
      <c r="A99" s="94" t="s">
        <v>476</v>
      </c>
      <c r="B99" s="109">
        <v>7.5</v>
      </c>
      <c r="C99" s="76" t="s">
        <v>501</v>
      </c>
    </row>
    <row r="100" spans="1:3" x14ac:dyDescent="0.3">
      <c r="A100" s="94" t="s">
        <v>502</v>
      </c>
      <c r="B100" s="108">
        <f>B98*B99</f>
        <v>0</v>
      </c>
      <c r="C100" s="76" t="s">
        <v>503</v>
      </c>
    </row>
    <row r="101" spans="1:3" x14ac:dyDescent="0.3">
      <c r="A101" s="94"/>
    </row>
    <row r="102" spans="1:3" x14ac:dyDescent="0.3">
      <c r="B102" s="113" t="e">
        <f>B100/B64</f>
        <v>#DIV/0!</v>
      </c>
    </row>
    <row r="105" spans="1:3" ht="15.6" x14ac:dyDescent="0.3">
      <c r="A105" s="93" t="s">
        <v>504</v>
      </c>
    </row>
    <row r="107" spans="1:3" ht="15.6" x14ac:dyDescent="0.3">
      <c r="C107" s="93" t="s">
        <v>505</v>
      </c>
    </row>
    <row r="108" spans="1:3" x14ac:dyDescent="0.3">
      <c r="A108" s="94" t="s">
        <v>23</v>
      </c>
    </row>
    <row r="109" spans="1:3" x14ac:dyDescent="0.3">
      <c r="A109" s="94" t="s">
        <v>449</v>
      </c>
      <c r="B109" s="108">
        <f>B70</f>
        <v>3.8615409700374541</v>
      </c>
      <c r="C109" s="76" t="s">
        <v>450</v>
      </c>
    </row>
    <row r="110" spans="1:3" x14ac:dyDescent="0.3">
      <c r="A110" s="94" t="s">
        <v>506</v>
      </c>
      <c r="B110" s="109">
        <v>21</v>
      </c>
      <c r="C110" s="76" t="s">
        <v>507</v>
      </c>
    </row>
    <row r="112" spans="1:3" x14ac:dyDescent="0.3">
      <c r="A112" s="94" t="s">
        <v>468</v>
      </c>
      <c r="B112" s="108">
        <f>0.5*B110*B109*B109/1000</f>
        <v>0.15657073596441692</v>
      </c>
      <c r="C112" s="76" t="s">
        <v>508</v>
      </c>
    </row>
    <row r="115" spans="2:4" x14ac:dyDescent="0.3">
      <c r="B115" s="109">
        <v>295</v>
      </c>
      <c r="C115" s="76" t="s">
        <v>367</v>
      </c>
    </row>
    <row r="116" spans="2:4" x14ac:dyDescent="0.3">
      <c r="B116" s="109">
        <v>2.7</v>
      </c>
      <c r="C116" s="76" t="s">
        <v>509</v>
      </c>
    </row>
    <row r="118" spans="2:4" x14ac:dyDescent="0.3">
      <c r="B118" s="76" t="s">
        <v>510</v>
      </c>
    </row>
    <row r="120" spans="2:4" x14ac:dyDescent="0.3">
      <c r="C120" s="76" t="s">
        <v>511</v>
      </c>
    </row>
    <row r="122" spans="2:4" x14ac:dyDescent="0.3">
      <c r="B122" s="94" t="s">
        <v>512</v>
      </c>
      <c r="C122" s="108">
        <f>B110*B109/(B115*B116)</f>
        <v>0.10181087303300256</v>
      </c>
      <c r="D122" s="76" t="s">
        <v>455</v>
      </c>
    </row>
  </sheetData>
  <mergeCells count="28">
    <mergeCell ref="A9:C9"/>
    <mergeCell ref="A4:C4"/>
    <mergeCell ref="A5:C5"/>
    <mergeCell ref="A6:C6"/>
    <mergeCell ref="A7:C7"/>
    <mergeCell ref="A8:C8"/>
    <mergeCell ref="A21:C21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1B42-F116-4CEB-9301-4708A634EE0D}">
  <sheetPr>
    <tabColor theme="9" tint="0.59999389629810485"/>
  </sheetPr>
  <dimension ref="A2:AG483"/>
  <sheetViews>
    <sheetView topLeftCell="C8" zoomScaleNormal="100" zoomScaleSheetLayoutView="100" workbookViewId="0">
      <selection activeCell="S21" sqref="S21"/>
    </sheetView>
  </sheetViews>
  <sheetFormatPr defaultColWidth="8.77734375" defaultRowHeight="13.2" x14ac:dyDescent="0.25"/>
  <cols>
    <col min="1" max="1" width="9.44140625" style="1" customWidth="1"/>
    <col min="2" max="2" width="10.44140625" style="1" bestFit="1" customWidth="1"/>
    <col min="3" max="3" width="9.77734375" style="1" customWidth="1"/>
    <col min="4" max="4" width="9.44140625" style="1" bestFit="1" customWidth="1"/>
    <col min="5" max="5" width="10" style="1" customWidth="1"/>
    <col min="6" max="6" width="8.77734375" style="1" customWidth="1"/>
    <col min="7" max="7" width="9.77734375" style="1" customWidth="1"/>
    <col min="8" max="8" width="9.21875" style="1" customWidth="1"/>
    <col min="9" max="9" width="11.77734375" style="1" customWidth="1"/>
    <col min="10" max="10" width="10.44140625" style="1" customWidth="1"/>
    <col min="11" max="11" width="12.77734375" style="1" customWidth="1"/>
    <col min="12" max="12" width="9" style="1" customWidth="1"/>
    <col min="13" max="14" width="8.77734375" style="1"/>
    <col min="15" max="15" width="9.44140625" style="1" bestFit="1" customWidth="1"/>
    <col min="16" max="16" width="8.77734375" style="1"/>
    <col min="17" max="17" width="8" style="1" customWidth="1"/>
    <col min="18" max="21" width="8.77734375" style="1"/>
    <col min="22" max="22" width="9.21875" style="1" bestFit="1" customWidth="1"/>
    <col min="23" max="25" width="8.77734375" style="1"/>
    <col min="26" max="26" width="8.21875" style="1" bestFit="1" customWidth="1"/>
    <col min="27" max="257" width="8.77734375" style="1"/>
    <col min="258" max="258" width="9.44140625" style="1" bestFit="1" customWidth="1"/>
    <col min="259" max="259" width="9.77734375" style="1" customWidth="1"/>
    <col min="260" max="260" width="9.44140625" style="1" bestFit="1" customWidth="1"/>
    <col min="261" max="261" width="10" style="1" customWidth="1"/>
    <col min="262" max="264" width="8.77734375" style="1"/>
    <col min="265" max="265" width="11.77734375" style="1" customWidth="1"/>
    <col min="266" max="266" width="15.44140625" style="1" customWidth="1"/>
    <col min="267" max="267" width="12.77734375" style="1" customWidth="1"/>
    <col min="268" max="270" width="8.77734375" style="1"/>
    <col min="271" max="271" width="9.44140625" style="1" bestFit="1" customWidth="1"/>
    <col min="272" max="272" width="8.77734375" style="1"/>
    <col min="273" max="273" width="8" style="1" customWidth="1"/>
    <col min="274" max="281" width="8.77734375" style="1"/>
    <col min="282" max="282" width="8.21875" style="1" bestFit="1" customWidth="1"/>
    <col min="283" max="513" width="8.77734375" style="1"/>
    <col min="514" max="514" width="9.44140625" style="1" bestFit="1" customWidth="1"/>
    <col min="515" max="515" width="9.77734375" style="1" customWidth="1"/>
    <col min="516" max="516" width="9.44140625" style="1" bestFit="1" customWidth="1"/>
    <col min="517" max="517" width="10" style="1" customWidth="1"/>
    <col min="518" max="520" width="8.77734375" style="1"/>
    <col min="521" max="521" width="11.77734375" style="1" customWidth="1"/>
    <col min="522" max="522" width="15.44140625" style="1" customWidth="1"/>
    <col min="523" max="523" width="12.77734375" style="1" customWidth="1"/>
    <col min="524" max="526" width="8.77734375" style="1"/>
    <col min="527" max="527" width="9.44140625" style="1" bestFit="1" customWidth="1"/>
    <col min="528" max="528" width="8.77734375" style="1"/>
    <col min="529" max="529" width="8" style="1" customWidth="1"/>
    <col min="530" max="537" width="8.77734375" style="1"/>
    <col min="538" max="538" width="8.21875" style="1" bestFit="1" customWidth="1"/>
    <col min="539" max="769" width="8.77734375" style="1"/>
    <col min="770" max="770" width="9.44140625" style="1" bestFit="1" customWidth="1"/>
    <col min="771" max="771" width="9.77734375" style="1" customWidth="1"/>
    <col min="772" max="772" width="9.44140625" style="1" bestFit="1" customWidth="1"/>
    <col min="773" max="773" width="10" style="1" customWidth="1"/>
    <col min="774" max="776" width="8.77734375" style="1"/>
    <col min="777" max="777" width="11.77734375" style="1" customWidth="1"/>
    <col min="778" max="778" width="15.44140625" style="1" customWidth="1"/>
    <col min="779" max="779" width="12.77734375" style="1" customWidth="1"/>
    <col min="780" max="782" width="8.77734375" style="1"/>
    <col min="783" max="783" width="9.44140625" style="1" bestFit="1" customWidth="1"/>
    <col min="784" max="784" width="8.77734375" style="1"/>
    <col min="785" max="785" width="8" style="1" customWidth="1"/>
    <col min="786" max="793" width="8.77734375" style="1"/>
    <col min="794" max="794" width="8.21875" style="1" bestFit="1" customWidth="1"/>
    <col min="795" max="1025" width="8.77734375" style="1"/>
    <col min="1026" max="1026" width="9.44140625" style="1" bestFit="1" customWidth="1"/>
    <col min="1027" max="1027" width="9.77734375" style="1" customWidth="1"/>
    <col min="1028" max="1028" width="9.44140625" style="1" bestFit="1" customWidth="1"/>
    <col min="1029" max="1029" width="10" style="1" customWidth="1"/>
    <col min="1030" max="1032" width="8.77734375" style="1"/>
    <col min="1033" max="1033" width="11.77734375" style="1" customWidth="1"/>
    <col min="1034" max="1034" width="15.44140625" style="1" customWidth="1"/>
    <col min="1035" max="1035" width="12.77734375" style="1" customWidth="1"/>
    <col min="1036" max="1038" width="8.77734375" style="1"/>
    <col min="1039" max="1039" width="9.44140625" style="1" bestFit="1" customWidth="1"/>
    <col min="1040" max="1040" width="8.77734375" style="1"/>
    <col min="1041" max="1041" width="8" style="1" customWidth="1"/>
    <col min="1042" max="1049" width="8.77734375" style="1"/>
    <col min="1050" max="1050" width="8.21875" style="1" bestFit="1" customWidth="1"/>
    <col min="1051" max="1281" width="8.77734375" style="1"/>
    <col min="1282" max="1282" width="9.44140625" style="1" bestFit="1" customWidth="1"/>
    <col min="1283" max="1283" width="9.77734375" style="1" customWidth="1"/>
    <col min="1284" max="1284" width="9.44140625" style="1" bestFit="1" customWidth="1"/>
    <col min="1285" max="1285" width="10" style="1" customWidth="1"/>
    <col min="1286" max="1288" width="8.77734375" style="1"/>
    <col min="1289" max="1289" width="11.77734375" style="1" customWidth="1"/>
    <col min="1290" max="1290" width="15.44140625" style="1" customWidth="1"/>
    <col min="1291" max="1291" width="12.77734375" style="1" customWidth="1"/>
    <col min="1292" max="1294" width="8.77734375" style="1"/>
    <col min="1295" max="1295" width="9.44140625" style="1" bestFit="1" customWidth="1"/>
    <col min="1296" max="1296" width="8.77734375" style="1"/>
    <col min="1297" max="1297" width="8" style="1" customWidth="1"/>
    <col min="1298" max="1305" width="8.77734375" style="1"/>
    <col min="1306" max="1306" width="8.21875" style="1" bestFit="1" customWidth="1"/>
    <col min="1307" max="1537" width="8.77734375" style="1"/>
    <col min="1538" max="1538" width="9.44140625" style="1" bestFit="1" customWidth="1"/>
    <col min="1539" max="1539" width="9.77734375" style="1" customWidth="1"/>
    <col min="1540" max="1540" width="9.44140625" style="1" bestFit="1" customWidth="1"/>
    <col min="1541" max="1541" width="10" style="1" customWidth="1"/>
    <col min="1542" max="1544" width="8.77734375" style="1"/>
    <col min="1545" max="1545" width="11.77734375" style="1" customWidth="1"/>
    <col min="1546" max="1546" width="15.44140625" style="1" customWidth="1"/>
    <col min="1547" max="1547" width="12.77734375" style="1" customWidth="1"/>
    <col min="1548" max="1550" width="8.77734375" style="1"/>
    <col min="1551" max="1551" width="9.44140625" style="1" bestFit="1" customWidth="1"/>
    <col min="1552" max="1552" width="8.77734375" style="1"/>
    <col min="1553" max="1553" width="8" style="1" customWidth="1"/>
    <col min="1554" max="1561" width="8.77734375" style="1"/>
    <col min="1562" max="1562" width="8.21875" style="1" bestFit="1" customWidth="1"/>
    <col min="1563" max="1793" width="8.77734375" style="1"/>
    <col min="1794" max="1794" width="9.44140625" style="1" bestFit="1" customWidth="1"/>
    <col min="1795" max="1795" width="9.77734375" style="1" customWidth="1"/>
    <col min="1796" max="1796" width="9.44140625" style="1" bestFit="1" customWidth="1"/>
    <col min="1797" max="1797" width="10" style="1" customWidth="1"/>
    <col min="1798" max="1800" width="8.77734375" style="1"/>
    <col min="1801" max="1801" width="11.77734375" style="1" customWidth="1"/>
    <col min="1802" max="1802" width="15.44140625" style="1" customWidth="1"/>
    <col min="1803" max="1803" width="12.77734375" style="1" customWidth="1"/>
    <col min="1804" max="1806" width="8.77734375" style="1"/>
    <col min="1807" max="1807" width="9.44140625" style="1" bestFit="1" customWidth="1"/>
    <col min="1808" max="1808" width="8.77734375" style="1"/>
    <col min="1809" max="1809" width="8" style="1" customWidth="1"/>
    <col min="1810" max="1817" width="8.77734375" style="1"/>
    <col min="1818" max="1818" width="8.21875" style="1" bestFit="1" customWidth="1"/>
    <col min="1819" max="2049" width="8.77734375" style="1"/>
    <col min="2050" max="2050" width="9.44140625" style="1" bestFit="1" customWidth="1"/>
    <col min="2051" max="2051" width="9.77734375" style="1" customWidth="1"/>
    <col min="2052" max="2052" width="9.44140625" style="1" bestFit="1" customWidth="1"/>
    <col min="2053" max="2053" width="10" style="1" customWidth="1"/>
    <col min="2054" max="2056" width="8.77734375" style="1"/>
    <col min="2057" max="2057" width="11.77734375" style="1" customWidth="1"/>
    <col min="2058" max="2058" width="15.44140625" style="1" customWidth="1"/>
    <col min="2059" max="2059" width="12.77734375" style="1" customWidth="1"/>
    <col min="2060" max="2062" width="8.77734375" style="1"/>
    <col min="2063" max="2063" width="9.44140625" style="1" bestFit="1" customWidth="1"/>
    <col min="2064" max="2064" width="8.77734375" style="1"/>
    <col min="2065" max="2065" width="8" style="1" customWidth="1"/>
    <col min="2066" max="2073" width="8.77734375" style="1"/>
    <col min="2074" max="2074" width="8.21875" style="1" bestFit="1" customWidth="1"/>
    <col min="2075" max="2305" width="8.77734375" style="1"/>
    <col min="2306" max="2306" width="9.44140625" style="1" bestFit="1" customWidth="1"/>
    <col min="2307" max="2307" width="9.77734375" style="1" customWidth="1"/>
    <col min="2308" max="2308" width="9.44140625" style="1" bestFit="1" customWidth="1"/>
    <col min="2309" max="2309" width="10" style="1" customWidth="1"/>
    <col min="2310" max="2312" width="8.77734375" style="1"/>
    <col min="2313" max="2313" width="11.77734375" style="1" customWidth="1"/>
    <col min="2314" max="2314" width="15.44140625" style="1" customWidth="1"/>
    <col min="2315" max="2315" width="12.77734375" style="1" customWidth="1"/>
    <col min="2316" max="2318" width="8.77734375" style="1"/>
    <col min="2319" max="2319" width="9.44140625" style="1" bestFit="1" customWidth="1"/>
    <col min="2320" max="2320" width="8.77734375" style="1"/>
    <col min="2321" max="2321" width="8" style="1" customWidth="1"/>
    <col min="2322" max="2329" width="8.77734375" style="1"/>
    <col min="2330" max="2330" width="8.21875" style="1" bestFit="1" customWidth="1"/>
    <col min="2331" max="2561" width="8.77734375" style="1"/>
    <col min="2562" max="2562" width="9.44140625" style="1" bestFit="1" customWidth="1"/>
    <col min="2563" max="2563" width="9.77734375" style="1" customWidth="1"/>
    <col min="2564" max="2564" width="9.44140625" style="1" bestFit="1" customWidth="1"/>
    <col min="2565" max="2565" width="10" style="1" customWidth="1"/>
    <col min="2566" max="2568" width="8.77734375" style="1"/>
    <col min="2569" max="2569" width="11.77734375" style="1" customWidth="1"/>
    <col min="2570" max="2570" width="15.44140625" style="1" customWidth="1"/>
    <col min="2571" max="2571" width="12.77734375" style="1" customWidth="1"/>
    <col min="2572" max="2574" width="8.77734375" style="1"/>
    <col min="2575" max="2575" width="9.44140625" style="1" bestFit="1" customWidth="1"/>
    <col min="2576" max="2576" width="8.77734375" style="1"/>
    <col min="2577" max="2577" width="8" style="1" customWidth="1"/>
    <col min="2578" max="2585" width="8.77734375" style="1"/>
    <col min="2586" max="2586" width="8.21875" style="1" bestFit="1" customWidth="1"/>
    <col min="2587" max="2817" width="8.77734375" style="1"/>
    <col min="2818" max="2818" width="9.44140625" style="1" bestFit="1" customWidth="1"/>
    <col min="2819" max="2819" width="9.77734375" style="1" customWidth="1"/>
    <col min="2820" max="2820" width="9.44140625" style="1" bestFit="1" customWidth="1"/>
    <col min="2821" max="2821" width="10" style="1" customWidth="1"/>
    <col min="2822" max="2824" width="8.77734375" style="1"/>
    <col min="2825" max="2825" width="11.77734375" style="1" customWidth="1"/>
    <col min="2826" max="2826" width="15.44140625" style="1" customWidth="1"/>
    <col min="2827" max="2827" width="12.77734375" style="1" customWidth="1"/>
    <col min="2828" max="2830" width="8.77734375" style="1"/>
    <col min="2831" max="2831" width="9.44140625" style="1" bestFit="1" customWidth="1"/>
    <col min="2832" max="2832" width="8.77734375" style="1"/>
    <col min="2833" max="2833" width="8" style="1" customWidth="1"/>
    <col min="2834" max="2841" width="8.77734375" style="1"/>
    <col min="2842" max="2842" width="8.21875" style="1" bestFit="1" customWidth="1"/>
    <col min="2843" max="3073" width="8.77734375" style="1"/>
    <col min="3074" max="3074" width="9.44140625" style="1" bestFit="1" customWidth="1"/>
    <col min="3075" max="3075" width="9.77734375" style="1" customWidth="1"/>
    <col min="3076" max="3076" width="9.44140625" style="1" bestFit="1" customWidth="1"/>
    <col min="3077" max="3077" width="10" style="1" customWidth="1"/>
    <col min="3078" max="3080" width="8.77734375" style="1"/>
    <col min="3081" max="3081" width="11.77734375" style="1" customWidth="1"/>
    <col min="3082" max="3082" width="15.44140625" style="1" customWidth="1"/>
    <col min="3083" max="3083" width="12.77734375" style="1" customWidth="1"/>
    <col min="3084" max="3086" width="8.77734375" style="1"/>
    <col min="3087" max="3087" width="9.44140625" style="1" bestFit="1" customWidth="1"/>
    <col min="3088" max="3088" width="8.77734375" style="1"/>
    <col min="3089" max="3089" width="8" style="1" customWidth="1"/>
    <col min="3090" max="3097" width="8.77734375" style="1"/>
    <col min="3098" max="3098" width="8.21875" style="1" bestFit="1" customWidth="1"/>
    <col min="3099" max="3329" width="8.77734375" style="1"/>
    <col min="3330" max="3330" width="9.44140625" style="1" bestFit="1" customWidth="1"/>
    <col min="3331" max="3331" width="9.77734375" style="1" customWidth="1"/>
    <col min="3332" max="3332" width="9.44140625" style="1" bestFit="1" customWidth="1"/>
    <col min="3333" max="3333" width="10" style="1" customWidth="1"/>
    <col min="3334" max="3336" width="8.77734375" style="1"/>
    <col min="3337" max="3337" width="11.77734375" style="1" customWidth="1"/>
    <col min="3338" max="3338" width="15.44140625" style="1" customWidth="1"/>
    <col min="3339" max="3339" width="12.77734375" style="1" customWidth="1"/>
    <col min="3340" max="3342" width="8.77734375" style="1"/>
    <col min="3343" max="3343" width="9.44140625" style="1" bestFit="1" customWidth="1"/>
    <col min="3344" max="3344" width="8.77734375" style="1"/>
    <col min="3345" max="3345" width="8" style="1" customWidth="1"/>
    <col min="3346" max="3353" width="8.77734375" style="1"/>
    <col min="3354" max="3354" width="8.21875" style="1" bestFit="1" customWidth="1"/>
    <col min="3355" max="3585" width="8.77734375" style="1"/>
    <col min="3586" max="3586" width="9.44140625" style="1" bestFit="1" customWidth="1"/>
    <col min="3587" max="3587" width="9.77734375" style="1" customWidth="1"/>
    <col min="3588" max="3588" width="9.44140625" style="1" bestFit="1" customWidth="1"/>
    <col min="3589" max="3589" width="10" style="1" customWidth="1"/>
    <col min="3590" max="3592" width="8.77734375" style="1"/>
    <col min="3593" max="3593" width="11.77734375" style="1" customWidth="1"/>
    <col min="3594" max="3594" width="15.44140625" style="1" customWidth="1"/>
    <col min="3595" max="3595" width="12.77734375" style="1" customWidth="1"/>
    <col min="3596" max="3598" width="8.77734375" style="1"/>
    <col min="3599" max="3599" width="9.44140625" style="1" bestFit="1" customWidth="1"/>
    <col min="3600" max="3600" width="8.77734375" style="1"/>
    <col min="3601" max="3601" width="8" style="1" customWidth="1"/>
    <col min="3602" max="3609" width="8.77734375" style="1"/>
    <col min="3610" max="3610" width="8.21875" style="1" bestFit="1" customWidth="1"/>
    <col min="3611" max="3841" width="8.77734375" style="1"/>
    <col min="3842" max="3842" width="9.44140625" style="1" bestFit="1" customWidth="1"/>
    <col min="3843" max="3843" width="9.77734375" style="1" customWidth="1"/>
    <col min="3844" max="3844" width="9.44140625" style="1" bestFit="1" customWidth="1"/>
    <col min="3845" max="3845" width="10" style="1" customWidth="1"/>
    <col min="3846" max="3848" width="8.77734375" style="1"/>
    <col min="3849" max="3849" width="11.77734375" style="1" customWidth="1"/>
    <col min="3850" max="3850" width="15.44140625" style="1" customWidth="1"/>
    <col min="3851" max="3851" width="12.77734375" style="1" customWidth="1"/>
    <col min="3852" max="3854" width="8.77734375" style="1"/>
    <col min="3855" max="3855" width="9.44140625" style="1" bestFit="1" customWidth="1"/>
    <col min="3856" max="3856" width="8.77734375" style="1"/>
    <col min="3857" max="3857" width="8" style="1" customWidth="1"/>
    <col min="3858" max="3865" width="8.77734375" style="1"/>
    <col min="3866" max="3866" width="8.21875" style="1" bestFit="1" customWidth="1"/>
    <col min="3867" max="4097" width="8.77734375" style="1"/>
    <col min="4098" max="4098" width="9.44140625" style="1" bestFit="1" customWidth="1"/>
    <col min="4099" max="4099" width="9.77734375" style="1" customWidth="1"/>
    <col min="4100" max="4100" width="9.44140625" style="1" bestFit="1" customWidth="1"/>
    <col min="4101" max="4101" width="10" style="1" customWidth="1"/>
    <col min="4102" max="4104" width="8.77734375" style="1"/>
    <col min="4105" max="4105" width="11.77734375" style="1" customWidth="1"/>
    <col min="4106" max="4106" width="15.44140625" style="1" customWidth="1"/>
    <col min="4107" max="4107" width="12.77734375" style="1" customWidth="1"/>
    <col min="4108" max="4110" width="8.77734375" style="1"/>
    <col min="4111" max="4111" width="9.44140625" style="1" bestFit="1" customWidth="1"/>
    <col min="4112" max="4112" width="8.77734375" style="1"/>
    <col min="4113" max="4113" width="8" style="1" customWidth="1"/>
    <col min="4114" max="4121" width="8.77734375" style="1"/>
    <col min="4122" max="4122" width="8.21875" style="1" bestFit="1" customWidth="1"/>
    <col min="4123" max="4353" width="8.77734375" style="1"/>
    <col min="4354" max="4354" width="9.44140625" style="1" bestFit="1" customWidth="1"/>
    <col min="4355" max="4355" width="9.77734375" style="1" customWidth="1"/>
    <col min="4356" max="4356" width="9.44140625" style="1" bestFit="1" customWidth="1"/>
    <col min="4357" max="4357" width="10" style="1" customWidth="1"/>
    <col min="4358" max="4360" width="8.77734375" style="1"/>
    <col min="4361" max="4361" width="11.77734375" style="1" customWidth="1"/>
    <col min="4362" max="4362" width="15.44140625" style="1" customWidth="1"/>
    <col min="4363" max="4363" width="12.77734375" style="1" customWidth="1"/>
    <col min="4364" max="4366" width="8.77734375" style="1"/>
    <col min="4367" max="4367" width="9.44140625" style="1" bestFit="1" customWidth="1"/>
    <col min="4368" max="4368" width="8.77734375" style="1"/>
    <col min="4369" max="4369" width="8" style="1" customWidth="1"/>
    <col min="4370" max="4377" width="8.77734375" style="1"/>
    <col min="4378" max="4378" width="8.21875" style="1" bestFit="1" customWidth="1"/>
    <col min="4379" max="4609" width="8.77734375" style="1"/>
    <col min="4610" max="4610" width="9.44140625" style="1" bestFit="1" customWidth="1"/>
    <col min="4611" max="4611" width="9.77734375" style="1" customWidth="1"/>
    <col min="4612" max="4612" width="9.44140625" style="1" bestFit="1" customWidth="1"/>
    <col min="4613" max="4613" width="10" style="1" customWidth="1"/>
    <col min="4614" max="4616" width="8.77734375" style="1"/>
    <col min="4617" max="4617" width="11.77734375" style="1" customWidth="1"/>
    <col min="4618" max="4618" width="15.44140625" style="1" customWidth="1"/>
    <col min="4619" max="4619" width="12.77734375" style="1" customWidth="1"/>
    <col min="4620" max="4622" width="8.77734375" style="1"/>
    <col min="4623" max="4623" width="9.44140625" style="1" bestFit="1" customWidth="1"/>
    <col min="4624" max="4624" width="8.77734375" style="1"/>
    <col min="4625" max="4625" width="8" style="1" customWidth="1"/>
    <col min="4626" max="4633" width="8.77734375" style="1"/>
    <col min="4634" max="4634" width="8.21875" style="1" bestFit="1" customWidth="1"/>
    <col min="4635" max="4865" width="8.77734375" style="1"/>
    <col min="4866" max="4866" width="9.44140625" style="1" bestFit="1" customWidth="1"/>
    <col min="4867" max="4867" width="9.77734375" style="1" customWidth="1"/>
    <col min="4868" max="4868" width="9.44140625" style="1" bestFit="1" customWidth="1"/>
    <col min="4869" max="4869" width="10" style="1" customWidth="1"/>
    <col min="4870" max="4872" width="8.77734375" style="1"/>
    <col min="4873" max="4873" width="11.77734375" style="1" customWidth="1"/>
    <col min="4874" max="4874" width="15.44140625" style="1" customWidth="1"/>
    <col min="4875" max="4875" width="12.77734375" style="1" customWidth="1"/>
    <col min="4876" max="4878" width="8.77734375" style="1"/>
    <col min="4879" max="4879" width="9.44140625" style="1" bestFit="1" customWidth="1"/>
    <col min="4880" max="4880" width="8.77734375" style="1"/>
    <col min="4881" max="4881" width="8" style="1" customWidth="1"/>
    <col min="4882" max="4889" width="8.77734375" style="1"/>
    <col min="4890" max="4890" width="8.21875" style="1" bestFit="1" customWidth="1"/>
    <col min="4891" max="5121" width="8.77734375" style="1"/>
    <col min="5122" max="5122" width="9.44140625" style="1" bestFit="1" customWidth="1"/>
    <col min="5123" max="5123" width="9.77734375" style="1" customWidth="1"/>
    <col min="5124" max="5124" width="9.44140625" style="1" bestFit="1" customWidth="1"/>
    <col min="5125" max="5125" width="10" style="1" customWidth="1"/>
    <col min="5126" max="5128" width="8.77734375" style="1"/>
    <col min="5129" max="5129" width="11.77734375" style="1" customWidth="1"/>
    <col min="5130" max="5130" width="15.44140625" style="1" customWidth="1"/>
    <col min="5131" max="5131" width="12.77734375" style="1" customWidth="1"/>
    <col min="5132" max="5134" width="8.77734375" style="1"/>
    <col min="5135" max="5135" width="9.44140625" style="1" bestFit="1" customWidth="1"/>
    <col min="5136" max="5136" width="8.77734375" style="1"/>
    <col min="5137" max="5137" width="8" style="1" customWidth="1"/>
    <col min="5138" max="5145" width="8.77734375" style="1"/>
    <col min="5146" max="5146" width="8.21875" style="1" bestFit="1" customWidth="1"/>
    <col min="5147" max="5377" width="8.77734375" style="1"/>
    <col min="5378" max="5378" width="9.44140625" style="1" bestFit="1" customWidth="1"/>
    <col min="5379" max="5379" width="9.77734375" style="1" customWidth="1"/>
    <col min="5380" max="5380" width="9.44140625" style="1" bestFit="1" customWidth="1"/>
    <col min="5381" max="5381" width="10" style="1" customWidth="1"/>
    <col min="5382" max="5384" width="8.77734375" style="1"/>
    <col min="5385" max="5385" width="11.77734375" style="1" customWidth="1"/>
    <col min="5386" max="5386" width="15.44140625" style="1" customWidth="1"/>
    <col min="5387" max="5387" width="12.77734375" style="1" customWidth="1"/>
    <col min="5388" max="5390" width="8.77734375" style="1"/>
    <col min="5391" max="5391" width="9.44140625" style="1" bestFit="1" customWidth="1"/>
    <col min="5392" max="5392" width="8.77734375" style="1"/>
    <col min="5393" max="5393" width="8" style="1" customWidth="1"/>
    <col min="5394" max="5401" width="8.77734375" style="1"/>
    <col min="5402" max="5402" width="8.21875" style="1" bestFit="1" customWidth="1"/>
    <col min="5403" max="5633" width="8.77734375" style="1"/>
    <col min="5634" max="5634" width="9.44140625" style="1" bestFit="1" customWidth="1"/>
    <col min="5635" max="5635" width="9.77734375" style="1" customWidth="1"/>
    <col min="5636" max="5636" width="9.44140625" style="1" bestFit="1" customWidth="1"/>
    <col min="5637" max="5637" width="10" style="1" customWidth="1"/>
    <col min="5638" max="5640" width="8.77734375" style="1"/>
    <col min="5641" max="5641" width="11.77734375" style="1" customWidth="1"/>
    <col min="5642" max="5642" width="15.44140625" style="1" customWidth="1"/>
    <col min="5643" max="5643" width="12.77734375" style="1" customWidth="1"/>
    <col min="5644" max="5646" width="8.77734375" style="1"/>
    <col min="5647" max="5647" width="9.44140625" style="1" bestFit="1" customWidth="1"/>
    <col min="5648" max="5648" width="8.77734375" style="1"/>
    <col min="5649" max="5649" width="8" style="1" customWidth="1"/>
    <col min="5650" max="5657" width="8.77734375" style="1"/>
    <col min="5658" max="5658" width="8.21875" style="1" bestFit="1" customWidth="1"/>
    <col min="5659" max="5889" width="8.77734375" style="1"/>
    <col min="5890" max="5890" width="9.44140625" style="1" bestFit="1" customWidth="1"/>
    <col min="5891" max="5891" width="9.77734375" style="1" customWidth="1"/>
    <col min="5892" max="5892" width="9.44140625" style="1" bestFit="1" customWidth="1"/>
    <col min="5893" max="5893" width="10" style="1" customWidth="1"/>
    <col min="5894" max="5896" width="8.77734375" style="1"/>
    <col min="5897" max="5897" width="11.77734375" style="1" customWidth="1"/>
    <col min="5898" max="5898" width="15.44140625" style="1" customWidth="1"/>
    <col min="5899" max="5899" width="12.77734375" style="1" customWidth="1"/>
    <col min="5900" max="5902" width="8.77734375" style="1"/>
    <col min="5903" max="5903" width="9.44140625" style="1" bestFit="1" customWidth="1"/>
    <col min="5904" max="5904" width="8.77734375" style="1"/>
    <col min="5905" max="5905" width="8" style="1" customWidth="1"/>
    <col min="5906" max="5913" width="8.77734375" style="1"/>
    <col min="5914" max="5914" width="8.21875" style="1" bestFit="1" customWidth="1"/>
    <col min="5915" max="6145" width="8.77734375" style="1"/>
    <col min="6146" max="6146" width="9.44140625" style="1" bestFit="1" customWidth="1"/>
    <col min="6147" max="6147" width="9.77734375" style="1" customWidth="1"/>
    <col min="6148" max="6148" width="9.44140625" style="1" bestFit="1" customWidth="1"/>
    <col min="6149" max="6149" width="10" style="1" customWidth="1"/>
    <col min="6150" max="6152" width="8.77734375" style="1"/>
    <col min="6153" max="6153" width="11.77734375" style="1" customWidth="1"/>
    <col min="6154" max="6154" width="15.44140625" style="1" customWidth="1"/>
    <col min="6155" max="6155" width="12.77734375" style="1" customWidth="1"/>
    <col min="6156" max="6158" width="8.77734375" style="1"/>
    <col min="6159" max="6159" width="9.44140625" style="1" bestFit="1" customWidth="1"/>
    <col min="6160" max="6160" width="8.77734375" style="1"/>
    <col min="6161" max="6161" width="8" style="1" customWidth="1"/>
    <col min="6162" max="6169" width="8.77734375" style="1"/>
    <col min="6170" max="6170" width="8.21875" style="1" bestFit="1" customWidth="1"/>
    <col min="6171" max="6401" width="8.77734375" style="1"/>
    <col min="6402" max="6402" width="9.44140625" style="1" bestFit="1" customWidth="1"/>
    <col min="6403" max="6403" width="9.77734375" style="1" customWidth="1"/>
    <col min="6404" max="6404" width="9.44140625" style="1" bestFit="1" customWidth="1"/>
    <col min="6405" max="6405" width="10" style="1" customWidth="1"/>
    <col min="6406" max="6408" width="8.77734375" style="1"/>
    <col min="6409" max="6409" width="11.77734375" style="1" customWidth="1"/>
    <col min="6410" max="6410" width="15.44140625" style="1" customWidth="1"/>
    <col min="6411" max="6411" width="12.77734375" style="1" customWidth="1"/>
    <col min="6412" max="6414" width="8.77734375" style="1"/>
    <col min="6415" max="6415" width="9.44140625" style="1" bestFit="1" customWidth="1"/>
    <col min="6416" max="6416" width="8.77734375" style="1"/>
    <col min="6417" max="6417" width="8" style="1" customWidth="1"/>
    <col min="6418" max="6425" width="8.77734375" style="1"/>
    <col min="6426" max="6426" width="8.21875" style="1" bestFit="1" customWidth="1"/>
    <col min="6427" max="6657" width="8.77734375" style="1"/>
    <col min="6658" max="6658" width="9.44140625" style="1" bestFit="1" customWidth="1"/>
    <col min="6659" max="6659" width="9.77734375" style="1" customWidth="1"/>
    <col min="6660" max="6660" width="9.44140625" style="1" bestFit="1" customWidth="1"/>
    <col min="6661" max="6661" width="10" style="1" customWidth="1"/>
    <col min="6662" max="6664" width="8.77734375" style="1"/>
    <col min="6665" max="6665" width="11.77734375" style="1" customWidth="1"/>
    <col min="6666" max="6666" width="15.44140625" style="1" customWidth="1"/>
    <col min="6667" max="6667" width="12.77734375" style="1" customWidth="1"/>
    <col min="6668" max="6670" width="8.77734375" style="1"/>
    <col min="6671" max="6671" width="9.44140625" style="1" bestFit="1" customWidth="1"/>
    <col min="6672" max="6672" width="8.77734375" style="1"/>
    <col min="6673" max="6673" width="8" style="1" customWidth="1"/>
    <col min="6674" max="6681" width="8.77734375" style="1"/>
    <col min="6682" max="6682" width="8.21875" style="1" bestFit="1" customWidth="1"/>
    <col min="6683" max="6913" width="8.77734375" style="1"/>
    <col min="6914" max="6914" width="9.44140625" style="1" bestFit="1" customWidth="1"/>
    <col min="6915" max="6915" width="9.77734375" style="1" customWidth="1"/>
    <col min="6916" max="6916" width="9.44140625" style="1" bestFit="1" customWidth="1"/>
    <col min="6917" max="6917" width="10" style="1" customWidth="1"/>
    <col min="6918" max="6920" width="8.77734375" style="1"/>
    <col min="6921" max="6921" width="11.77734375" style="1" customWidth="1"/>
    <col min="6922" max="6922" width="15.44140625" style="1" customWidth="1"/>
    <col min="6923" max="6923" width="12.77734375" style="1" customWidth="1"/>
    <col min="6924" max="6926" width="8.77734375" style="1"/>
    <col min="6927" max="6927" width="9.44140625" style="1" bestFit="1" customWidth="1"/>
    <col min="6928" max="6928" width="8.77734375" style="1"/>
    <col min="6929" max="6929" width="8" style="1" customWidth="1"/>
    <col min="6930" max="6937" width="8.77734375" style="1"/>
    <col min="6938" max="6938" width="8.21875" style="1" bestFit="1" customWidth="1"/>
    <col min="6939" max="7169" width="8.77734375" style="1"/>
    <col min="7170" max="7170" width="9.44140625" style="1" bestFit="1" customWidth="1"/>
    <col min="7171" max="7171" width="9.77734375" style="1" customWidth="1"/>
    <col min="7172" max="7172" width="9.44140625" style="1" bestFit="1" customWidth="1"/>
    <col min="7173" max="7173" width="10" style="1" customWidth="1"/>
    <col min="7174" max="7176" width="8.77734375" style="1"/>
    <col min="7177" max="7177" width="11.77734375" style="1" customWidth="1"/>
    <col min="7178" max="7178" width="15.44140625" style="1" customWidth="1"/>
    <col min="7179" max="7179" width="12.77734375" style="1" customWidth="1"/>
    <col min="7180" max="7182" width="8.77734375" style="1"/>
    <col min="7183" max="7183" width="9.44140625" style="1" bestFit="1" customWidth="1"/>
    <col min="7184" max="7184" width="8.77734375" style="1"/>
    <col min="7185" max="7185" width="8" style="1" customWidth="1"/>
    <col min="7186" max="7193" width="8.77734375" style="1"/>
    <col min="7194" max="7194" width="8.21875" style="1" bestFit="1" customWidth="1"/>
    <col min="7195" max="7425" width="8.77734375" style="1"/>
    <col min="7426" max="7426" width="9.44140625" style="1" bestFit="1" customWidth="1"/>
    <col min="7427" max="7427" width="9.77734375" style="1" customWidth="1"/>
    <col min="7428" max="7428" width="9.44140625" style="1" bestFit="1" customWidth="1"/>
    <col min="7429" max="7429" width="10" style="1" customWidth="1"/>
    <col min="7430" max="7432" width="8.77734375" style="1"/>
    <col min="7433" max="7433" width="11.77734375" style="1" customWidth="1"/>
    <col min="7434" max="7434" width="15.44140625" style="1" customWidth="1"/>
    <col min="7435" max="7435" width="12.77734375" style="1" customWidth="1"/>
    <col min="7436" max="7438" width="8.77734375" style="1"/>
    <col min="7439" max="7439" width="9.44140625" style="1" bestFit="1" customWidth="1"/>
    <col min="7440" max="7440" width="8.77734375" style="1"/>
    <col min="7441" max="7441" width="8" style="1" customWidth="1"/>
    <col min="7442" max="7449" width="8.77734375" style="1"/>
    <col min="7450" max="7450" width="8.21875" style="1" bestFit="1" customWidth="1"/>
    <col min="7451" max="7681" width="8.77734375" style="1"/>
    <col min="7682" max="7682" width="9.44140625" style="1" bestFit="1" customWidth="1"/>
    <col min="7683" max="7683" width="9.77734375" style="1" customWidth="1"/>
    <col min="7684" max="7684" width="9.44140625" style="1" bestFit="1" customWidth="1"/>
    <col min="7685" max="7685" width="10" style="1" customWidth="1"/>
    <col min="7686" max="7688" width="8.77734375" style="1"/>
    <col min="7689" max="7689" width="11.77734375" style="1" customWidth="1"/>
    <col min="7690" max="7690" width="15.44140625" style="1" customWidth="1"/>
    <col min="7691" max="7691" width="12.77734375" style="1" customWidth="1"/>
    <col min="7692" max="7694" width="8.77734375" style="1"/>
    <col min="7695" max="7695" width="9.44140625" style="1" bestFit="1" customWidth="1"/>
    <col min="7696" max="7696" width="8.77734375" style="1"/>
    <col min="7697" max="7697" width="8" style="1" customWidth="1"/>
    <col min="7698" max="7705" width="8.77734375" style="1"/>
    <col min="7706" max="7706" width="8.21875" style="1" bestFit="1" customWidth="1"/>
    <col min="7707" max="7937" width="8.77734375" style="1"/>
    <col min="7938" max="7938" width="9.44140625" style="1" bestFit="1" customWidth="1"/>
    <col min="7939" max="7939" width="9.77734375" style="1" customWidth="1"/>
    <col min="7940" max="7940" width="9.44140625" style="1" bestFit="1" customWidth="1"/>
    <col min="7941" max="7941" width="10" style="1" customWidth="1"/>
    <col min="7942" max="7944" width="8.77734375" style="1"/>
    <col min="7945" max="7945" width="11.77734375" style="1" customWidth="1"/>
    <col min="7946" max="7946" width="15.44140625" style="1" customWidth="1"/>
    <col min="7947" max="7947" width="12.77734375" style="1" customWidth="1"/>
    <col min="7948" max="7950" width="8.77734375" style="1"/>
    <col min="7951" max="7951" width="9.44140625" style="1" bestFit="1" customWidth="1"/>
    <col min="7952" max="7952" width="8.77734375" style="1"/>
    <col min="7953" max="7953" width="8" style="1" customWidth="1"/>
    <col min="7954" max="7961" width="8.77734375" style="1"/>
    <col min="7962" max="7962" width="8.21875" style="1" bestFit="1" customWidth="1"/>
    <col min="7963" max="8193" width="8.77734375" style="1"/>
    <col min="8194" max="8194" width="9.44140625" style="1" bestFit="1" customWidth="1"/>
    <col min="8195" max="8195" width="9.77734375" style="1" customWidth="1"/>
    <col min="8196" max="8196" width="9.44140625" style="1" bestFit="1" customWidth="1"/>
    <col min="8197" max="8197" width="10" style="1" customWidth="1"/>
    <col min="8198" max="8200" width="8.77734375" style="1"/>
    <col min="8201" max="8201" width="11.77734375" style="1" customWidth="1"/>
    <col min="8202" max="8202" width="15.44140625" style="1" customWidth="1"/>
    <col min="8203" max="8203" width="12.77734375" style="1" customWidth="1"/>
    <col min="8204" max="8206" width="8.77734375" style="1"/>
    <col min="8207" max="8207" width="9.44140625" style="1" bestFit="1" customWidth="1"/>
    <col min="8208" max="8208" width="8.77734375" style="1"/>
    <col min="8209" max="8209" width="8" style="1" customWidth="1"/>
    <col min="8210" max="8217" width="8.77734375" style="1"/>
    <col min="8218" max="8218" width="8.21875" style="1" bestFit="1" customWidth="1"/>
    <col min="8219" max="8449" width="8.77734375" style="1"/>
    <col min="8450" max="8450" width="9.44140625" style="1" bestFit="1" customWidth="1"/>
    <col min="8451" max="8451" width="9.77734375" style="1" customWidth="1"/>
    <col min="8452" max="8452" width="9.44140625" style="1" bestFit="1" customWidth="1"/>
    <col min="8453" max="8453" width="10" style="1" customWidth="1"/>
    <col min="8454" max="8456" width="8.77734375" style="1"/>
    <col min="8457" max="8457" width="11.77734375" style="1" customWidth="1"/>
    <col min="8458" max="8458" width="15.44140625" style="1" customWidth="1"/>
    <col min="8459" max="8459" width="12.77734375" style="1" customWidth="1"/>
    <col min="8460" max="8462" width="8.77734375" style="1"/>
    <col min="8463" max="8463" width="9.44140625" style="1" bestFit="1" customWidth="1"/>
    <col min="8464" max="8464" width="8.77734375" style="1"/>
    <col min="8465" max="8465" width="8" style="1" customWidth="1"/>
    <col min="8466" max="8473" width="8.77734375" style="1"/>
    <col min="8474" max="8474" width="8.21875" style="1" bestFit="1" customWidth="1"/>
    <col min="8475" max="8705" width="8.77734375" style="1"/>
    <col min="8706" max="8706" width="9.44140625" style="1" bestFit="1" customWidth="1"/>
    <col min="8707" max="8707" width="9.77734375" style="1" customWidth="1"/>
    <col min="8708" max="8708" width="9.44140625" style="1" bestFit="1" customWidth="1"/>
    <col min="8709" max="8709" width="10" style="1" customWidth="1"/>
    <col min="8710" max="8712" width="8.77734375" style="1"/>
    <col min="8713" max="8713" width="11.77734375" style="1" customWidth="1"/>
    <col min="8714" max="8714" width="15.44140625" style="1" customWidth="1"/>
    <col min="8715" max="8715" width="12.77734375" style="1" customWidth="1"/>
    <col min="8716" max="8718" width="8.77734375" style="1"/>
    <col min="8719" max="8719" width="9.44140625" style="1" bestFit="1" customWidth="1"/>
    <col min="8720" max="8720" width="8.77734375" style="1"/>
    <col min="8721" max="8721" width="8" style="1" customWidth="1"/>
    <col min="8722" max="8729" width="8.77734375" style="1"/>
    <col min="8730" max="8730" width="8.21875" style="1" bestFit="1" customWidth="1"/>
    <col min="8731" max="8961" width="8.77734375" style="1"/>
    <col min="8962" max="8962" width="9.44140625" style="1" bestFit="1" customWidth="1"/>
    <col min="8963" max="8963" width="9.77734375" style="1" customWidth="1"/>
    <col min="8964" max="8964" width="9.44140625" style="1" bestFit="1" customWidth="1"/>
    <col min="8965" max="8965" width="10" style="1" customWidth="1"/>
    <col min="8966" max="8968" width="8.77734375" style="1"/>
    <col min="8969" max="8969" width="11.77734375" style="1" customWidth="1"/>
    <col min="8970" max="8970" width="15.44140625" style="1" customWidth="1"/>
    <col min="8971" max="8971" width="12.77734375" style="1" customWidth="1"/>
    <col min="8972" max="8974" width="8.77734375" style="1"/>
    <col min="8975" max="8975" width="9.44140625" style="1" bestFit="1" customWidth="1"/>
    <col min="8976" max="8976" width="8.77734375" style="1"/>
    <col min="8977" max="8977" width="8" style="1" customWidth="1"/>
    <col min="8978" max="8985" width="8.77734375" style="1"/>
    <col min="8986" max="8986" width="8.21875" style="1" bestFit="1" customWidth="1"/>
    <col min="8987" max="9217" width="8.77734375" style="1"/>
    <col min="9218" max="9218" width="9.44140625" style="1" bestFit="1" customWidth="1"/>
    <col min="9219" max="9219" width="9.77734375" style="1" customWidth="1"/>
    <col min="9220" max="9220" width="9.44140625" style="1" bestFit="1" customWidth="1"/>
    <col min="9221" max="9221" width="10" style="1" customWidth="1"/>
    <col min="9222" max="9224" width="8.77734375" style="1"/>
    <col min="9225" max="9225" width="11.77734375" style="1" customWidth="1"/>
    <col min="9226" max="9226" width="15.44140625" style="1" customWidth="1"/>
    <col min="9227" max="9227" width="12.77734375" style="1" customWidth="1"/>
    <col min="9228" max="9230" width="8.77734375" style="1"/>
    <col min="9231" max="9231" width="9.44140625" style="1" bestFit="1" customWidth="1"/>
    <col min="9232" max="9232" width="8.77734375" style="1"/>
    <col min="9233" max="9233" width="8" style="1" customWidth="1"/>
    <col min="9234" max="9241" width="8.77734375" style="1"/>
    <col min="9242" max="9242" width="8.21875" style="1" bestFit="1" customWidth="1"/>
    <col min="9243" max="9473" width="8.77734375" style="1"/>
    <col min="9474" max="9474" width="9.44140625" style="1" bestFit="1" customWidth="1"/>
    <col min="9475" max="9475" width="9.77734375" style="1" customWidth="1"/>
    <col min="9476" max="9476" width="9.44140625" style="1" bestFit="1" customWidth="1"/>
    <col min="9477" max="9477" width="10" style="1" customWidth="1"/>
    <col min="9478" max="9480" width="8.77734375" style="1"/>
    <col min="9481" max="9481" width="11.77734375" style="1" customWidth="1"/>
    <col min="9482" max="9482" width="15.44140625" style="1" customWidth="1"/>
    <col min="9483" max="9483" width="12.77734375" style="1" customWidth="1"/>
    <col min="9484" max="9486" width="8.77734375" style="1"/>
    <col min="9487" max="9487" width="9.44140625" style="1" bestFit="1" customWidth="1"/>
    <col min="9488" max="9488" width="8.77734375" style="1"/>
    <col min="9489" max="9489" width="8" style="1" customWidth="1"/>
    <col min="9490" max="9497" width="8.77734375" style="1"/>
    <col min="9498" max="9498" width="8.21875" style="1" bestFit="1" customWidth="1"/>
    <col min="9499" max="9729" width="8.77734375" style="1"/>
    <col min="9730" max="9730" width="9.44140625" style="1" bestFit="1" customWidth="1"/>
    <col min="9731" max="9731" width="9.77734375" style="1" customWidth="1"/>
    <col min="9732" max="9732" width="9.44140625" style="1" bestFit="1" customWidth="1"/>
    <col min="9733" max="9733" width="10" style="1" customWidth="1"/>
    <col min="9734" max="9736" width="8.77734375" style="1"/>
    <col min="9737" max="9737" width="11.77734375" style="1" customWidth="1"/>
    <col min="9738" max="9738" width="15.44140625" style="1" customWidth="1"/>
    <col min="9739" max="9739" width="12.77734375" style="1" customWidth="1"/>
    <col min="9740" max="9742" width="8.77734375" style="1"/>
    <col min="9743" max="9743" width="9.44140625" style="1" bestFit="1" customWidth="1"/>
    <col min="9744" max="9744" width="8.77734375" style="1"/>
    <col min="9745" max="9745" width="8" style="1" customWidth="1"/>
    <col min="9746" max="9753" width="8.77734375" style="1"/>
    <col min="9754" max="9754" width="8.21875" style="1" bestFit="1" customWidth="1"/>
    <col min="9755" max="9985" width="8.77734375" style="1"/>
    <col min="9986" max="9986" width="9.44140625" style="1" bestFit="1" customWidth="1"/>
    <col min="9987" max="9987" width="9.77734375" style="1" customWidth="1"/>
    <col min="9988" max="9988" width="9.44140625" style="1" bestFit="1" customWidth="1"/>
    <col min="9989" max="9989" width="10" style="1" customWidth="1"/>
    <col min="9990" max="9992" width="8.77734375" style="1"/>
    <col min="9993" max="9993" width="11.77734375" style="1" customWidth="1"/>
    <col min="9994" max="9994" width="15.44140625" style="1" customWidth="1"/>
    <col min="9995" max="9995" width="12.77734375" style="1" customWidth="1"/>
    <col min="9996" max="9998" width="8.77734375" style="1"/>
    <col min="9999" max="9999" width="9.44140625" style="1" bestFit="1" customWidth="1"/>
    <col min="10000" max="10000" width="8.77734375" style="1"/>
    <col min="10001" max="10001" width="8" style="1" customWidth="1"/>
    <col min="10002" max="10009" width="8.77734375" style="1"/>
    <col min="10010" max="10010" width="8.21875" style="1" bestFit="1" customWidth="1"/>
    <col min="10011" max="10241" width="8.77734375" style="1"/>
    <col min="10242" max="10242" width="9.44140625" style="1" bestFit="1" customWidth="1"/>
    <col min="10243" max="10243" width="9.77734375" style="1" customWidth="1"/>
    <col min="10244" max="10244" width="9.44140625" style="1" bestFit="1" customWidth="1"/>
    <col min="10245" max="10245" width="10" style="1" customWidth="1"/>
    <col min="10246" max="10248" width="8.77734375" style="1"/>
    <col min="10249" max="10249" width="11.77734375" style="1" customWidth="1"/>
    <col min="10250" max="10250" width="15.44140625" style="1" customWidth="1"/>
    <col min="10251" max="10251" width="12.77734375" style="1" customWidth="1"/>
    <col min="10252" max="10254" width="8.77734375" style="1"/>
    <col min="10255" max="10255" width="9.44140625" style="1" bestFit="1" customWidth="1"/>
    <col min="10256" max="10256" width="8.77734375" style="1"/>
    <col min="10257" max="10257" width="8" style="1" customWidth="1"/>
    <col min="10258" max="10265" width="8.77734375" style="1"/>
    <col min="10266" max="10266" width="8.21875" style="1" bestFit="1" customWidth="1"/>
    <col min="10267" max="10497" width="8.77734375" style="1"/>
    <col min="10498" max="10498" width="9.44140625" style="1" bestFit="1" customWidth="1"/>
    <col min="10499" max="10499" width="9.77734375" style="1" customWidth="1"/>
    <col min="10500" max="10500" width="9.44140625" style="1" bestFit="1" customWidth="1"/>
    <col min="10501" max="10501" width="10" style="1" customWidth="1"/>
    <col min="10502" max="10504" width="8.77734375" style="1"/>
    <col min="10505" max="10505" width="11.77734375" style="1" customWidth="1"/>
    <col min="10506" max="10506" width="15.44140625" style="1" customWidth="1"/>
    <col min="10507" max="10507" width="12.77734375" style="1" customWidth="1"/>
    <col min="10508" max="10510" width="8.77734375" style="1"/>
    <col min="10511" max="10511" width="9.44140625" style="1" bestFit="1" customWidth="1"/>
    <col min="10512" max="10512" width="8.77734375" style="1"/>
    <col min="10513" max="10513" width="8" style="1" customWidth="1"/>
    <col min="10514" max="10521" width="8.77734375" style="1"/>
    <col min="10522" max="10522" width="8.21875" style="1" bestFit="1" customWidth="1"/>
    <col min="10523" max="10753" width="8.77734375" style="1"/>
    <col min="10754" max="10754" width="9.44140625" style="1" bestFit="1" customWidth="1"/>
    <col min="10755" max="10755" width="9.77734375" style="1" customWidth="1"/>
    <col min="10756" max="10756" width="9.44140625" style="1" bestFit="1" customWidth="1"/>
    <col min="10757" max="10757" width="10" style="1" customWidth="1"/>
    <col min="10758" max="10760" width="8.77734375" style="1"/>
    <col min="10761" max="10761" width="11.77734375" style="1" customWidth="1"/>
    <col min="10762" max="10762" width="15.44140625" style="1" customWidth="1"/>
    <col min="10763" max="10763" width="12.77734375" style="1" customWidth="1"/>
    <col min="10764" max="10766" width="8.77734375" style="1"/>
    <col min="10767" max="10767" width="9.44140625" style="1" bestFit="1" customWidth="1"/>
    <col min="10768" max="10768" width="8.77734375" style="1"/>
    <col min="10769" max="10769" width="8" style="1" customWidth="1"/>
    <col min="10770" max="10777" width="8.77734375" style="1"/>
    <col min="10778" max="10778" width="8.21875" style="1" bestFit="1" customWidth="1"/>
    <col min="10779" max="11009" width="8.77734375" style="1"/>
    <col min="11010" max="11010" width="9.44140625" style="1" bestFit="1" customWidth="1"/>
    <col min="11011" max="11011" width="9.77734375" style="1" customWidth="1"/>
    <col min="11012" max="11012" width="9.44140625" style="1" bestFit="1" customWidth="1"/>
    <col min="11013" max="11013" width="10" style="1" customWidth="1"/>
    <col min="11014" max="11016" width="8.77734375" style="1"/>
    <col min="11017" max="11017" width="11.77734375" style="1" customWidth="1"/>
    <col min="11018" max="11018" width="15.44140625" style="1" customWidth="1"/>
    <col min="11019" max="11019" width="12.77734375" style="1" customWidth="1"/>
    <col min="11020" max="11022" width="8.77734375" style="1"/>
    <col min="11023" max="11023" width="9.44140625" style="1" bestFit="1" customWidth="1"/>
    <col min="11024" max="11024" width="8.77734375" style="1"/>
    <col min="11025" max="11025" width="8" style="1" customWidth="1"/>
    <col min="11026" max="11033" width="8.77734375" style="1"/>
    <col min="11034" max="11034" width="8.21875" style="1" bestFit="1" customWidth="1"/>
    <col min="11035" max="11265" width="8.77734375" style="1"/>
    <col min="11266" max="11266" width="9.44140625" style="1" bestFit="1" customWidth="1"/>
    <col min="11267" max="11267" width="9.77734375" style="1" customWidth="1"/>
    <col min="11268" max="11268" width="9.44140625" style="1" bestFit="1" customWidth="1"/>
    <col min="11269" max="11269" width="10" style="1" customWidth="1"/>
    <col min="11270" max="11272" width="8.77734375" style="1"/>
    <col min="11273" max="11273" width="11.77734375" style="1" customWidth="1"/>
    <col min="11274" max="11274" width="15.44140625" style="1" customWidth="1"/>
    <col min="11275" max="11275" width="12.77734375" style="1" customWidth="1"/>
    <col min="11276" max="11278" width="8.77734375" style="1"/>
    <col min="11279" max="11279" width="9.44140625" style="1" bestFit="1" customWidth="1"/>
    <col min="11280" max="11280" width="8.77734375" style="1"/>
    <col min="11281" max="11281" width="8" style="1" customWidth="1"/>
    <col min="11282" max="11289" width="8.77734375" style="1"/>
    <col min="11290" max="11290" width="8.21875" style="1" bestFit="1" customWidth="1"/>
    <col min="11291" max="11521" width="8.77734375" style="1"/>
    <col min="11522" max="11522" width="9.44140625" style="1" bestFit="1" customWidth="1"/>
    <col min="11523" max="11523" width="9.77734375" style="1" customWidth="1"/>
    <col min="11524" max="11524" width="9.44140625" style="1" bestFit="1" customWidth="1"/>
    <col min="11525" max="11525" width="10" style="1" customWidth="1"/>
    <col min="11526" max="11528" width="8.77734375" style="1"/>
    <col min="11529" max="11529" width="11.77734375" style="1" customWidth="1"/>
    <col min="11530" max="11530" width="15.44140625" style="1" customWidth="1"/>
    <col min="11531" max="11531" width="12.77734375" style="1" customWidth="1"/>
    <col min="11532" max="11534" width="8.77734375" style="1"/>
    <col min="11535" max="11535" width="9.44140625" style="1" bestFit="1" customWidth="1"/>
    <col min="11536" max="11536" width="8.77734375" style="1"/>
    <col min="11537" max="11537" width="8" style="1" customWidth="1"/>
    <col min="11538" max="11545" width="8.77734375" style="1"/>
    <col min="11546" max="11546" width="8.21875" style="1" bestFit="1" customWidth="1"/>
    <col min="11547" max="11777" width="8.77734375" style="1"/>
    <col min="11778" max="11778" width="9.44140625" style="1" bestFit="1" customWidth="1"/>
    <col min="11779" max="11779" width="9.77734375" style="1" customWidth="1"/>
    <col min="11780" max="11780" width="9.44140625" style="1" bestFit="1" customWidth="1"/>
    <col min="11781" max="11781" width="10" style="1" customWidth="1"/>
    <col min="11782" max="11784" width="8.77734375" style="1"/>
    <col min="11785" max="11785" width="11.77734375" style="1" customWidth="1"/>
    <col min="11786" max="11786" width="15.44140625" style="1" customWidth="1"/>
    <col min="11787" max="11787" width="12.77734375" style="1" customWidth="1"/>
    <col min="11788" max="11790" width="8.77734375" style="1"/>
    <col min="11791" max="11791" width="9.44140625" style="1" bestFit="1" customWidth="1"/>
    <col min="11792" max="11792" width="8.77734375" style="1"/>
    <col min="11793" max="11793" width="8" style="1" customWidth="1"/>
    <col min="11794" max="11801" width="8.77734375" style="1"/>
    <col min="11802" max="11802" width="8.21875" style="1" bestFit="1" customWidth="1"/>
    <col min="11803" max="12033" width="8.77734375" style="1"/>
    <col min="12034" max="12034" width="9.44140625" style="1" bestFit="1" customWidth="1"/>
    <col min="12035" max="12035" width="9.77734375" style="1" customWidth="1"/>
    <col min="12036" max="12036" width="9.44140625" style="1" bestFit="1" customWidth="1"/>
    <col min="12037" max="12037" width="10" style="1" customWidth="1"/>
    <col min="12038" max="12040" width="8.77734375" style="1"/>
    <col min="12041" max="12041" width="11.77734375" style="1" customWidth="1"/>
    <col min="12042" max="12042" width="15.44140625" style="1" customWidth="1"/>
    <col min="12043" max="12043" width="12.77734375" style="1" customWidth="1"/>
    <col min="12044" max="12046" width="8.77734375" style="1"/>
    <col min="12047" max="12047" width="9.44140625" style="1" bestFit="1" customWidth="1"/>
    <col min="12048" max="12048" width="8.77734375" style="1"/>
    <col min="12049" max="12049" width="8" style="1" customWidth="1"/>
    <col min="12050" max="12057" width="8.77734375" style="1"/>
    <col min="12058" max="12058" width="8.21875" style="1" bestFit="1" customWidth="1"/>
    <col min="12059" max="12289" width="8.77734375" style="1"/>
    <col min="12290" max="12290" width="9.44140625" style="1" bestFit="1" customWidth="1"/>
    <col min="12291" max="12291" width="9.77734375" style="1" customWidth="1"/>
    <col min="12292" max="12292" width="9.44140625" style="1" bestFit="1" customWidth="1"/>
    <col min="12293" max="12293" width="10" style="1" customWidth="1"/>
    <col min="12294" max="12296" width="8.77734375" style="1"/>
    <col min="12297" max="12297" width="11.77734375" style="1" customWidth="1"/>
    <col min="12298" max="12298" width="15.44140625" style="1" customWidth="1"/>
    <col min="12299" max="12299" width="12.77734375" style="1" customWidth="1"/>
    <col min="12300" max="12302" width="8.77734375" style="1"/>
    <col min="12303" max="12303" width="9.44140625" style="1" bestFit="1" customWidth="1"/>
    <col min="12304" max="12304" width="8.77734375" style="1"/>
    <col min="12305" max="12305" width="8" style="1" customWidth="1"/>
    <col min="12306" max="12313" width="8.77734375" style="1"/>
    <col min="12314" max="12314" width="8.21875" style="1" bestFit="1" customWidth="1"/>
    <col min="12315" max="12545" width="8.77734375" style="1"/>
    <col min="12546" max="12546" width="9.44140625" style="1" bestFit="1" customWidth="1"/>
    <col min="12547" max="12547" width="9.77734375" style="1" customWidth="1"/>
    <col min="12548" max="12548" width="9.44140625" style="1" bestFit="1" customWidth="1"/>
    <col min="12549" max="12549" width="10" style="1" customWidth="1"/>
    <col min="12550" max="12552" width="8.77734375" style="1"/>
    <col min="12553" max="12553" width="11.77734375" style="1" customWidth="1"/>
    <col min="12554" max="12554" width="15.44140625" style="1" customWidth="1"/>
    <col min="12555" max="12555" width="12.77734375" style="1" customWidth="1"/>
    <col min="12556" max="12558" width="8.77734375" style="1"/>
    <col min="12559" max="12559" width="9.44140625" style="1" bestFit="1" customWidth="1"/>
    <col min="12560" max="12560" width="8.77734375" style="1"/>
    <col min="12561" max="12561" width="8" style="1" customWidth="1"/>
    <col min="12562" max="12569" width="8.77734375" style="1"/>
    <col min="12570" max="12570" width="8.21875" style="1" bestFit="1" customWidth="1"/>
    <col min="12571" max="12801" width="8.77734375" style="1"/>
    <col min="12802" max="12802" width="9.44140625" style="1" bestFit="1" customWidth="1"/>
    <col min="12803" max="12803" width="9.77734375" style="1" customWidth="1"/>
    <col min="12804" max="12804" width="9.44140625" style="1" bestFit="1" customWidth="1"/>
    <col min="12805" max="12805" width="10" style="1" customWidth="1"/>
    <col min="12806" max="12808" width="8.77734375" style="1"/>
    <col min="12809" max="12809" width="11.77734375" style="1" customWidth="1"/>
    <col min="12810" max="12810" width="15.44140625" style="1" customWidth="1"/>
    <col min="12811" max="12811" width="12.77734375" style="1" customWidth="1"/>
    <col min="12812" max="12814" width="8.77734375" style="1"/>
    <col min="12815" max="12815" width="9.44140625" style="1" bestFit="1" customWidth="1"/>
    <col min="12816" max="12816" width="8.77734375" style="1"/>
    <col min="12817" max="12817" width="8" style="1" customWidth="1"/>
    <col min="12818" max="12825" width="8.77734375" style="1"/>
    <col min="12826" max="12826" width="8.21875" style="1" bestFit="1" customWidth="1"/>
    <col min="12827" max="13057" width="8.77734375" style="1"/>
    <col min="13058" max="13058" width="9.44140625" style="1" bestFit="1" customWidth="1"/>
    <col min="13059" max="13059" width="9.77734375" style="1" customWidth="1"/>
    <col min="13060" max="13060" width="9.44140625" style="1" bestFit="1" customWidth="1"/>
    <col min="13061" max="13061" width="10" style="1" customWidth="1"/>
    <col min="13062" max="13064" width="8.77734375" style="1"/>
    <col min="13065" max="13065" width="11.77734375" style="1" customWidth="1"/>
    <col min="13066" max="13066" width="15.44140625" style="1" customWidth="1"/>
    <col min="13067" max="13067" width="12.77734375" style="1" customWidth="1"/>
    <col min="13068" max="13070" width="8.77734375" style="1"/>
    <col min="13071" max="13071" width="9.44140625" style="1" bestFit="1" customWidth="1"/>
    <col min="13072" max="13072" width="8.77734375" style="1"/>
    <col min="13073" max="13073" width="8" style="1" customWidth="1"/>
    <col min="13074" max="13081" width="8.77734375" style="1"/>
    <col min="13082" max="13082" width="8.21875" style="1" bestFit="1" customWidth="1"/>
    <col min="13083" max="13313" width="8.77734375" style="1"/>
    <col min="13314" max="13314" width="9.44140625" style="1" bestFit="1" customWidth="1"/>
    <col min="13315" max="13315" width="9.77734375" style="1" customWidth="1"/>
    <col min="13316" max="13316" width="9.44140625" style="1" bestFit="1" customWidth="1"/>
    <col min="13317" max="13317" width="10" style="1" customWidth="1"/>
    <col min="13318" max="13320" width="8.77734375" style="1"/>
    <col min="13321" max="13321" width="11.77734375" style="1" customWidth="1"/>
    <col min="13322" max="13322" width="15.44140625" style="1" customWidth="1"/>
    <col min="13323" max="13323" width="12.77734375" style="1" customWidth="1"/>
    <col min="13324" max="13326" width="8.77734375" style="1"/>
    <col min="13327" max="13327" width="9.44140625" style="1" bestFit="1" customWidth="1"/>
    <col min="13328" max="13328" width="8.77734375" style="1"/>
    <col min="13329" max="13329" width="8" style="1" customWidth="1"/>
    <col min="13330" max="13337" width="8.77734375" style="1"/>
    <col min="13338" max="13338" width="8.21875" style="1" bestFit="1" customWidth="1"/>
    <col min="13339" max="13569" width="8.77734375" style="1"/>
    <col min="13570" max="13570" width="9.44140625" style="1" bestFit="1" customWidth="1"/>
    <col min="13571" max="13571" width="9.77734375" style="1" customWidth="1"/>
    <col min="13572" max="13572" width="9.44140625" style="1" bestFit="1" customWidth="1"/>
    <col min="13573" max="13573" width="10" style="1" customWidth="1"/>
    <col min="13574" max="13576" width="8.77734375" style="1"/>
    <col min="13577" max="13577" width="11.77734375" style="1" customWidth="1"/>
    <col min="13578" max="13578" width="15.44140625" style="1" customWidth="1"/>
    <col min="13579" max="13579" width="12.77734375" style="1" customWidth="1"/>
    <col min="13580" max="13582" width="8.77734375" style="1"/>
    <col min="13583" max="13583" width="9.44140625" style="1" bestFit="1" customWidth="1"/>
    <col min="13584" max="13584" width="8.77734375" style="1"/>
    <col min="13585" max="13585" width="8" style="1" customWidth="1"/>
    <col min="13586" max="13593" width="8.77734375" style="1"/>
    <col min="13594" max="13594" width="8.21875" style="1" bestFit="1" customWidth="1"/>
    <col min="13595" max="13825" width="8.77734375" style="1"/>
    <col min="13826" max="13826" width="9.44140625" style="1" bestFit="1" customWidth="1"/>
    <col min="13827" max="13827" width="9.77734375" style="1" customWidth="1"/>
    <col min="13828" max="13828" width="9.44140625" style="1" bestFit="1" customWidth="1"/>
    <col min="13829" max="13829" width="10" style="1" customWidth="1"/>
    <col min="13830" max="13832" width="8.77734375" style="1"/>
    <col min="13833" max="13833" width="11.77734375" style="1" customWidth="1"/>
    <col min="13834" max="13834" width="15.44140625" style="1" customWidth="1"/>
    <col min="13835" max="13835" width="12.77734375" style="1" customWidth="1"/>
    <col min="13836" max="13838" width="8.77734375" style="1"/>
    <col min="13839" max="13839" width="9.44140625" style="1" bestFit="1" customWidth="1"/>
    <col min="13840" max="13840" width="8.77734375" style="1"/>
    <col min="13841" max="13841" width="8" style="1" customWidth="1"/>
    <col min="13842" max="13849" width="8.77734375" style="1"/>
    <col min="13850" max="13850" width="8.21875" style="1" bestFit="1" customWidth="1"/>
    <col min="13851" max="14081" width="8.77734375" style="1"/>
    <col min="14082" max="14082" width="9.44140625" style="1" bestFit="1" customWidth="1"/>
    <col min="14083" max="14083" width="9.77734375" style="1" customWidth="1"/>
    <col min="14084" max="14084" width="9.44140625" style="1" bestFit="1" customWidth="1"/>
    <col min="14085" max="14085" width="10" style="1" customWidth="1"/>
    <col min="14086" max="14088" width="8.77734375" style="1"/>
    <col min="14089" max="14089" width="11.77734375" style="1" customWidth="1"/>
    <col min="14090" max="14090" width="15.44140625" style="1" customWidth="1"/>
    <col min="14091" max="14091" width="12.77734375" style="1" customWidth="1"/>
    <col min="14092" max="14094" width="8.77734375" style="1"/>
    <col min="14095" max="14095" width="9.44140625" style="1" bestFit="1" customWidth="1"/>
    <col min="14096" max="14096" width="8.77734375" style="1"/>
    <col min="14097" max="14097" width="8" style="1" customWidth="1"/>
    <col min="14098" max="14105" width="8.77734375" style="1"/>
    <col min="14106" max="14106" width="8.21875" style="1" bestFit="1" customWidth="1"/>
    <col min="14107" max="14337" width="8.77734375" style="1"/>
    <col min="14338" max="14338" width="9.44140625" style="1" bestFit="1" customWidth="1"/>
    <col min="14339" max="14339" width="9.77734375" style="1" customWidth="1"/>
    <col min="14340" max="14340" width="9.44140625" style="1" bestFit="1" customWidth="1"/>
    <col min="14341" max="14341" width="10" style="1" customWidth="1"/>
    <col min="14342" max="14344" width="8.77734375" style="1"/>
    <col min="14345" max="14345" width="11.77734375" style="1" customWidth="1"/>
    <col min="14346" max="14346" width="15.44140625" style="1" customWidth="1"/>
    <col min="14347" max="14347" width="12.77734375" style="1" customWidth="1"/>
    <col min="14348" max="14350" width="8.77734375" style="1"/>
    <col min="14351" max="14351" width="9.44140625" style="1" bestFit="1" customWidth="1"/>
    <col min="14352" max="14352" width="8.77734375" style="1"/>
    <col min="14353" max="14353" width="8" style="1" customWidth="1"/>
    <col min="14354" max="14361" width="8.77734375" style="1"/>
    <col min="14362" max="14362" width="8.21875" style="1" bestFit="1" customWidth="1"/>
    <col min="14363" max="14593" width="8.77734375" style="1"/>
    <col min="14594" max="14594" width="9.44140625" style="1" bestFit="1" customWidth="1"/>
    <col min="14595" max="14595" width="9.77734375" style="1" customWidth="1"/>
    <col min="14596" max="14596" width="9.44140625" style="1" bestFit="1" customWidth="1"/>
    <col min="14597" max="14597" width="10" style="1" customWidth="1"/>
    <col min="14598" max="14600" width="8.77734375" style="1"/>
    <col min="14601" max="14601" width="11.77734375" style="1" customWidth="1"/>
    <col min="14602" max="14602" width="15.44140625" style="1" customWidth="1"/>
    <col min="14603" max="14603" width="12.77734375" style="1" customWidth="1"/>
    <col min="14604" max="14606" width="8.77734375" style="1"/>
    <col min="14607" max="14607" width="9.44140625" style="1" bestFit="1" customWidth="1"/>
    <col min="14608" max="14608" width="8.77734375" style="1"/>
    <col min="14609" max="14609" width="8" style="1" customWidth="1"/>
    <col min="14610" max="14617" width="8.77734375" style="1"/>
    <col min="14618" max="14618" width="8.21875" style="1" bestFit="1" customWidth="1"/>
    <col min="14619" max="14849" width="8.77734375" style="1"/>
    <col min="14850" max="14850" width="9.44140625" style="1" bestFit="1" customWidth="1"/>
    <col min="14851" max="14851" width="9.77734375" style="1" customWidth="1"/>
    <col min="14852" max="14852" width="9.44140625" style="1" bestFit="1" customWidth="1"/>
    <col min="14853" max="14853" width="10" style="1" customWidth="1"/>
    <col min="14854" max="14856" width="8.77734375" style="1"/>
    <col min="14857" max="14857" width="11.77734375" style="1" customWidth="1"/>
    <col min="14858" max="14858" width="15.44140625" style="1" customWidth="1"/>
    <col min="14859" max="14859" width="12.77734375" style="1" customWidth="1"/>
    <col min="14860" max="14862" width="8.77734375" style="1"/>
    <col min="14863" max="14863" width="9.44140625" style="1" bestFit="1" customWidth="1"/>
    <col min="14864" max="14864" width="8.77734375" style="1"/>
    <col min="14865" max="14865" width="8" style="1" customWidth="1"/>
    <col min="14866" max="14873" width="8.77734375" style="1"/>
    <col min="14874" max="14874" width="8.21875" style="1" bestFit="1" customWidth="1"/>
    <col min="14875" max="15105" width="8.77734375" style="1"/>
    <col min="15106" max="15106" width="9.44140625" style="1" bestFit="1" customWidth="1"/>
    <col min="15107" max="15107" width="9.77734375" style="1" customWidth="1"/>
    <col min="15108" max="15108" width="9.44140625" style="1" bestFit="1" customWidth="1"/>
    <col min="15109" max="15109" width="10" style="1" customWidth="1"/>
    <col min="15110" max="15112" width="8.77734375" style="1"/>
    <col min="15113" max="15113" width="11.77734375" style="1" customWidth="1"/>
    <col min="15114" max="15114" width="15.44140625" style="1" customWidth="1"/>
    <col min="15115" max="15115" width="12.77734375" style="1" customWidth="1"/>
    <col min="15116" max="15118" width="8.77734375" style="1"/>
    <col min="15119" max="15119" width="9.44140625" style="1" bestFit="1" customWidth="1"/>
    <col min="15120" max="15120" width="8.77734375" style="1"/>
    <col min="15121" max="15121" width="8" style="1" customWidth="1"/>
    <col min="15122" max="15129" width="8.77734375" style="1"/>
    <col min="15130" max="15130" width="8.21875" style="1" bestFit="1" customWidth="1"/>
    <col min="15131" max="15361" width="8.77734375" style="1"/>
    <col min="15362" max="15362" width="9.44140625" style="1" bestFit="1" customWidth="1"/>
    <col min="15363" max="15363" width="9.77734375" style="1" customWidth="1"/>
    <col min="15364" max="15364" width="9.44140625" style="1" bestFit="1" customWidth="1"/>
    <col min="15365" max="15365" width="10" style="1" customWidth="1"/>
    <col min="15366" max="15368" width="8.77734375" style="1"/>
    <col min="15369" max="15369" width="11.77734375" style="1" customWidth="1"/>
    <col min="15370" max="15370" width="15.44140625" style="1" customWidth="1"/>
    <col min="15371" max="15371" width="12.77734375" style="1" customWidth="1"/>
    <col min="15372" max="15374" width="8.77734375" style="1"/>
    <col min="15375" max="15375" width="9.44140625" style="1" bestFit="1" customWidth="1"/>
    <col min="15376" max="15376" width="8.77734375" style="1"/>
    <col min="15377" max="15377" width="8" style="1" customWidth="1"/>
    <col min="15378" max="15385" width="8.77734375" style="1"/>
    <col min="15386" max="15386" width="8.21875" style="1" bestFit="1" customWidth="1"/>
    <col min="15387" max="15617" width="8.77734375" style="1"/>
    <col min="15618" max="15618" width="9.44140625" style="1" bestFit="1" customWidth="1"/>
    <col min="15619" max="15619" width="9.77734375" style="1" customWidth="1"/>
    <col min="15620" max="15620" width="9.44140625" style="1" bestFit="1" customWidth="1"/>
    <col min="15621" max="15621" width="10" style="1" customWidth="1"/>
    <col min="15622" max="15624" width="8.77734375" style="1"/>
    <col min="15625" max="15625" width="11.77734375" style="1" customWidth="1"/>
    <col min="15626" max="15626" width="15.44140625" style="1" customWidth="1"/>
    <col min="15627" max="15627" width="12.77734375" style="1" customWidth="1"/>
    <col min="15628" max="15630" width="8.77734375" style="1"/>
    <col min="15631" max="15631" width="9.44140625" style="1" bestFit="1" customWidth="1"/>
    <col min="15632" max="15632" width="8.77734375" style="1"/>
    <col min="15633" max="15633" width="8" style="1" customWidth="1"/>
    <col min="15634" max="15641" width="8.77734375" style="1"/>
    <col min="15642" max="15642" width="8.21875" style="1" bestFit="1" customWidth="1"/>
    <col min="15643" max="15873" width="8.77734375" style="1"/>
    <col min="15874" max="15874" width="9.44140625" style="1" bestFit="1" customWidth="1"/>
    <col min="15875" max="15875" width="9.77734375" style="1" customWidth="1"/>
    <col min="15876" max="15876" width="9.44140625" style="1" bestFit="1" customWidth="1"/>
    <col min="15877" max="15877" width="10" style="1" customWidth="1"/>
    <col min="15878" max="15880" width="8.77734375" style="1"/>
    <col min="15881" max="15881" width="11.77734375" style="1" customWidth="1"/>
    <col min="15882" max="15882" width="15.44140625" style="1" customWidth="1"/>
    <col min="15883" max="15883" width="12.77734375" style="1" customWidth="1"/>
    <col min="15884" max="15886" width="8.77734375" style="1"/>
    <col min="15887" max="15887" width="9.44140625" style="1" bestFit="1" customWidth="1"/>
    <col min="15888" max="15888" width="8.77734375" style="1"/>
    <col min="15889" max="15889" width="8" style="1" customWidth="1"/>
    <col min="15890" max="15897" width="8.77734375" style="1"/>
    <col min="15898" max="15898" width="8.21875" style="1" bestFit="1" customWidth="1"/>
    <col min="15899" max="16129" width="8.77734375" style="1"/>
    <col min="16130" max="16130" width="9.44140625" style="1" bestFit="1" customWidth="1"/>
    <col min="16131" max="16131" width="9.77734375" style="1" customWidth="1"/>
    <col min="16132" max="16132" width="9.44140625" style="1" bestFit="1" customWidth="1"/>
    <col min="16133" max="16133" width="10" style="1" customWidth="1"/>
    <col min="16134" max="16136" width="8.77734375" style="1"/>
    <col min="16137" max="16137" width="11.77734375" style="1" customWidth="1"/>
    <col min="16138" max="16138" width="15.44140625" style="1" customWidth="1"/>
    <col min="16139" max="16139" width="12.77734375" style="1" customWidth="1"/>
    <col min="16140" max="16142" width="8.77734375" style="1"/>
    <col min="16143" max="16143" width="9.44140625" style="1" bestFit="1" customWidth="1"/>
    <col min="16144" max="16144" width="8.77734375" style="1"/>
    <col min="16145" max="16145" width="8" style="1" customWidth="1"/>
    <col min="16146" max="16153" width="8.77734375" style="1"/>
    <col min="16154" max="16154" width="8.21875" style="1" bestFit="1" customWidth="1"/>
    <col min="16155" max="16384" width="8.77734375" style="1"/>
  </cols>
  <sheetData>
    <row r="2" spans="1:33" ht="15.6" x14ac:dyDescent="0.3">
      <c r="C2" s="2" t="s">
        <v>0</v>
      </c>
    </row>
    <row r="3" spans="1:33" ht="15.6" x14ac:dyDescent="0.3">
      <c r="C3" s="2"/>
    </row>
    <row r="4" spans="1:33" ht="15.6" x14ac:dyDescent="0.3">
      <c r="A4" s="3" t="s">
        <v>400</v>
      </c>
      <c r="B4" s="3"/>
      <c r="C4" s="2"/>
    </row>
    <row r="5" spans="1:33" x14ac:dyDescent="0.25">
      <c r="A5" s="4"/>
    </row>
    <row r="6" spans="1:33" x14ac:dyDescent="0.25">
      <c r="A6" s="3" t="s">
        <v>1</v>
      </c>
    </row>
    <row r="7" spans="1:33" x14ac:dyDescent="0.25">
      <c r="A7" s="4"/>
    </row>
    <row r="8" spans="1:33" x14ac:dyDescent="0.25">
      <c r="A8" s="4"/>
      <c r="B8" s="3" t="s">
        <v>2</v>
      </c>
      <c r="C8" s="3"/>
    </row>
    <row r="9" spans="1:33" x14ac:dyDescent="0.25">
      <c r="B9" s="3" t="s">
        <v>3</v>
      </c>
      <c r="C9" s="5" t="s">
        <v>4</v>
      </c>
    </row>
    <row r="10" spans="1:33" ht="52.8" x14ac:dyDescent="0.25">
      <c r="B10" s="3"/>
      <c r="C10" s="5"/>
      <c r="P10" s="6" t="s">
        <v>5</v>
      </c>
      <c r="Q10" s="7" t="s">
        <v>6</v>
      </c>
      <c r="R10" s="7" t="s">
        <v>7</v>
      </c>
      <c r="S10" s="7" t="s">
        <v>8</v>
      </c>
      <c r="T10" s="7" t="s">
        <v>9</v>
      </c>
      <c r="U10" s="7" t="s">
        <v>10</v>
      </c>
      <c r="V10" s="7" t="s">
        <v>11</v>
      </c>
      <c r="W10" s="7" t="s">
        <v>12</v>
      </c>
      <c r="X10" s="7" t="s">
        <v>13</v>
      </c>
      <c r="Y10" s="6" t="s">
        <v>14</v>
      </c>
      <c r="Z10" s="6" t="s">
        <v>15</v>
      </c>
      <c r="AA10" s="6" t="s">
        <v>16</v>
      </c>
      <c r="AB10" s="7" t="s">
        <v>17</v>
      </c>
      <c r="AC10" s="7" t="s">
        <v>18</v>
      </c>
      <c r="AD10" s="7" t="s">
        <v>19</v>
      </c>
      <c r="AE10" s="7" t="s">
        <v>20</v>
      </c>
      <c r="AF10" s="7" t="s">
        <v>21</v>
      </c>
      <c r="AG10" s="7" t="s">
        <v>22</v>
      </c>
    </row>
    <row r="11" spans="1:33" x14ac:dyDescent="0.25">
      <c r="A11" s="1" t="s">
        <v>23</v>
      </c>
      <c r="B11" s="3"/>
      <c r="C11" s="3"/>
      <c r="P11" s="8">
        <f t="shared" ref="P11:P31" si="0">100*U11/Q11</f>
        <v>0.70666666666666667</v>
      </c>
      <c r="Q11" s="9">
        <v>150</v>
      </c>
      <c r="R11" s="9">
        <v>100</v>
      </c>
      <c r="S11" s="9">
        <v>110</v>
      </c>
      <c r="T11" s="9">
        <f t="shared" ref="T11:T31" si="1">U11*0.75</f>
        <v>0.79500000000000004</v>
      </c>
      <c r="U11" s="10">
        <v>1.06</v>
      </c>
      <c r="V11" s="9">
        <v>220</v>
      </c>
      <c r="W11" s="9">
        <f t="shared" ref="W11:W31" si="2">ROUND(Q11/25.4,0)+2</f>
        <v>8</v>
      </c>
      <c r="X11" s="9">
        <v>270</v>
      </c>
      <c r="Y11" s="9">
        <v>16</v>
      </c>
      <c r="Z11" s="9">
        <v>19</v>
      </c>
      <c r="AA11" s="9">
        <v>22</v>
      </c>
      <c r="AB11" s="9">
        <v>50</v>
      </c>
      <c r="AC11" s="9">
        <f>(S11)/2</f>
        <v>55</v>
      </c>
      <c r="AD11" s="9">
        <f t="shared" ref="AD11:AD31" si="3">ROUNDUP(IF(P11=$D$26,W11*25.4+AB11*2,0),0)</f>
        <v>0</v>
      </c>
      <c r="AE11" s="9">
        <f>IF(AD11=0,0,R11*2+$B$72*1000+50+AC11*2)</f>
        <v>0</v>
      </c>
      <c r="AF11" s="11">
        <f t="shared" ref="AF11:AF31" si="4">P11/AG11</f>
        <v>0.82362082362082367</v>
      </c>
      <c r="AG11" s="12">
        <f t="shared" ref="AG11:AG31" si="5">R11*S11*0.78/10000</f>
        <v>0.85799999999999998</v>
      </c>
    </row>
    <row r="12" spans="1:33" x14ac:dyDescent="0.25">
      <c r="A12" s="4" t="s">
        <v>24</v>
      </c>
      <c r="B12" s="1" t="s">
        <v>25</v>
      </c>
      <c r="P12" s="8">
        <f t="shared" si="0"/>
        <v>1.0866666666666667</v>
      </c>
      <c r="Q12" s="9">
        <v>200</v>
      </c>
      <c r="R12" s="9">
        <v>125</v>
      </c>
      <c r="S12" s="9">
        <v>135</v>
      </c>
      <c r="T12" s="9">
        <f t="shared" si="1"/>
        <v>1.63</v>
      </c>
      <c r="U12" s="10">
        <v>2.1733333333333333</v>
      </c>
      <c r="V12" s="9">
        <v>275</v>
      </c>
      <c r="W12" s="9">
        <f t="shared" si="2"/>
        <v>10</v>
      </c>
      <c r="X12" s="9">
        <v>330</v>
      </c>
      <c r="Y12" s="9">
        <v>27</v>
      </c>
      <c r="Z12" s="9">
        <v>32</v>
      </c>
      <c r="AA12" s="9">
        <v>35</v>
      </c>
      <c r="AB12" s="9">
        <v>50</v>
      </c>
      <c r="AC12" s="9">
        <f>(S12+5)/2</f>
        <v>70</v>
      </c>
      <c r="AD12" s="9">
        <f t="shared" si="3"/>
        <v>0</v>
      </c>
      <c r="AE12" s="9">
        <f t="shared" ref="AE12:AE31" si="6">IF(AD12=0,0,R12*2+$B$72*1000+50+AC12*2)</f>
        <v>0</v>
      </c>
      <c r="AF12" s="11">
        <f t="shared" si="4"/>
        <v>0.82557771446660344</v>
      </c>
      <c r="AG12" s="12">
        <f t="shared" si="5"/>
        <v>1.3162499999999999</v>
      </c>
    </row>
    <row r="13" spans="1:33" x14ac:dyDescent="0.25">
      <c r="A13" s="4" t="s">
        <v>26</v>
      </c>
      <c r="B13" s="1" t="s">
        <v>27</v>
      </c>
      <c r="P13" s="8">
        <f t="shared" si="0"/>
        <v>1.5051851851851852</v>
      </c>
      <c r="Q13" s="9">
        <v>225</v>
      </c>
      <c r="R13" s="9">
        <v>150</v>
      </c>
      <c r="S13" s="9">
        <v>155</v>
      </c>
      <c r="T13" s="9">
        <f t="shared" si="1"/>
        <v>2.54</v>
      </c>
      <c r="U13" s="10">
        <v>3.3866666666666667</v>
      </c>
      <c r="V13" s="9">
        <v>300</v>
      </c>
      <c r="W13" s="9">
        <f t="shared" si="2"/>
        <v>11</v>
      </c>
      <c r="X13" s="9">
        <v>350</v>
      </c>
      <c r="Y13" s="9">
        <v>38</v>
      </c>
      <c r="Z13" s="9">
        <v>45</v>
      </c>
      <c r="AA13" s="9">
        <v>50</v>
      </c>
      <c r="AB13" s="9">
        <v>50</v>
      </c>
      <c r="AC13" s="9">
        <f>(S13+5)/2</f>
        <v>80</v>
      </c>
      <c r="AD13" s="9">
        <f t="shared" si="3"/>
        <v>0</v>
      </c>
      <c r="AE13" s="9">
        <f t="shared" si="6"/>
        <v>0</v>
      </c>
      <c r="AF13" s="11">
        <f t="shared" si="4"/>
        <v>0.8299890737166723</v>
      </c>
      <c r="AG13" s="12">
        <f t="shared" si="5"/>
        <v>1.8134999999999999</v>
      </c>
    </row>
    <row r="14" spans="1:33" x14ac:dyDescent="0.25">
      <c r="A14" s="4" t="s">
        <v>28</v>
      </c>
      <c r="B14" s="1" t="s">
        <v>29</v>
      </c>
      <c r="P14" s="8">
        <f t="shared" si="0"/>
        <v>1.5093333333333334</v>
      </c>
      <c r="Q14" s="9">
        <v>250</v>
      </c>
      <c r="R14" s="9">
        <v>150</v>
      </c>
      <c r="S14" s="9">
        <v>155</v>
      </c>
      <c r="T14" s="9">
        <f t="shared" si="1"/>
        <v>2.83</v>
      </c>
      <c r="U14" s="10">
        <v>3.7733333333333334</v>
      </c>
      <c r="V14" s="9">
        <v>300</v>
      </c>
      <c r="W14" s="9">
        <f t="shared" si="2"/>
        <v>12</v>
      </c>
      <c r="X14" s="9">
        <v>380</v>
      </c>
      <c r="Y14" s="9">
        <v>40</v>
      </c>
      <c r="Z14" s="9">
        <v>50</v>
      </c>
      <c r="AA14" s="9">
        <v>55</v>
      </c>
      <c r="AB14" s="9">
        <v>50</v>
      </c>
      <c r="AC14" s="9">
        <f>(S14+5)/2</f>
        <v>80</v>
      </c>
      <c r="AD14" s="9">
        <f t="shared" si="3"/>
        <v>0</v>
      </c>
      <c r="AE14" s="9">
        <f t="shared" si="6"/>
        <v>0</v>
      </c>
      <c r="AF14" s="11">
        <f t="shared" si="4"/>
        <v>0.83227644517967103</v>
      </c>
      <c r="AG14" s="12">
        <f t="shared" si="5"/>
        <v>1.8134999999999999</v>
      </c>
    </row>
    <row r="15" spans="1:33" x14ac:dyDescent="0.25">
      <c r="A15" s="4" t="s">
        <v>30</v>
      </c>
      <c r="B15" s="1" t="s">
        <v>31</v>
      </c>
      <c r="P15" s="8">
        <f t="shared" si="0"/>
        <v>1.5066666666666668</v>
      </c>
      <c r="Q15" s="9">
        <v>300</v>
      </c>
      <c r="R15" s="9">
        <v>150</v>
      </c>
      <c r="S15" s="9">
        <v>155</v>
      </c>
      <c r="T15" s="9">
        <f t="shared" si="1"/>
        <v>3.3900000000000006</v>
      </c>
      <c r="U15" s="10">
        <v>4.5200000000000005</v>
      </c>
      <c r="V15" s="9">
        <v>300</v>
      </c>
      <c r="W15" s="9">
        <f t="shared" si="2"/>
        <v>14</v>
      </c>
      <c r="X15" s="9">
        <v>430</v>
      </c>
      <c r="Y15" s="9">
        <v>50</v>
      </c>
      <c r="Z15" s="9">
        <v>60</v>
      </c>
      <c r="AA15" s="9">
        <v>70</v>
      </c>
      <c r="AB15" s="9">
        <v>50</v>
      </c>
      <c r="AC15" s="9">
        <f>(S15+5)/2</f>
        <v>80</v>
      </c>
      <c r="AD15" s="9">
        <f t="shared" si="3"/>
        <v>0</v>
      </c>
      <c r="AE15" s="9">
        <f t="shared" si="6"/>
        <v>0</v>
      </c>
      <c r="AF15" s="11">
        <f t="shared" si="4"/>
        <v>0.83080599209631478</v>
      </c>
      <c r="AG15" s="12">
        <f t="shared" si="5"/>
        <v>1.8134999999999999</v>
      </c>
    </row>
    <row r="16" spans="1:33" x14ac:dyDescent="0.25">
      <c r="A16" s="4" t="s">
        <v>32</v>
      </c>
      <c r="B16" s="1" t="s">
        <v>33</v>
      </c>
      <c r="P16" s="8">
        <f t="shared" si="0"/>
        <v>2.0444444444444443</v>
      </c>
      <c r="Q16" s="9">
        <v>300</v>
      </c>
      <c r="R16" s="9">
        <v>175</v>
      </c>
      <c r="S16" s="9">
        <v>180</v>
      </c>
      <c r="T16" s="9">
        <f t="shared" si="1"/>
        <v>4.5999999999999996</v>
      </c>
      <c r="U16" s="10">
        <v>6.1333333333333329</v>
      </c>
      <c r="V16" s="9">
        <v>350</v>
      </c>
      <c r="W16" s="9">
        <f t="shared" si="2"/>
        <v>14</v>
      </c>
      <c r="X16" s="9">
        <v>430</v>
      </c>
      <c r="Y16" s="9">
        <v>60</v>
      </c>
      <c r="Z16" s="9">
        <v>70</v>
      </c>
      <c r="AA16" s="9">
        <v>80</v>
      </c>
      <c r="AB16" s="9">
        <v>60</v>
      </c>
      <c r="AC16" s="9">
        <f>(S16+10)/2</f>
        <v>95</v>
      </c>
      <c r="AD16" s="9">
        <f t="shared" si="3"/>
        <v>0</v>
      </c>
      <c r="AE16" s="9">
        <f t="shared" si="6"/>
        <v>0</v>
      </c>
      <c r="AF16" s="11">
        <f t="shared" si="4"/>
        <v>0.83208972097860989</v>
      </c>
      <c r="AG16" s="12">
        <f t="shared" si="5"/>
        <v>2.4569999999999999</v>
      </c>
    </row>
    <row r="17" spans="1:33" x14ac:dyDescent="0.25">
      <c r="A17" s="4" t="s">
        <v>34</v>
      </c>
      <c r="B17" s="1" t="s">
        <v>35</v>
      </c>
      <c r="P17" s="8">
        <f t="shared" si="0"/>
        <v>2.0495238095238095</v>
      </c>
      <c r="Q17" s="9">
        <v>350</v>
      </c>
      <c r="R17" s="9">
        <v>175</v>
      </c>
      <c r="S17" s="9">
        <v>180</v>
      </c>
      <c r="T17" s="9">
        <f t="shared" si="1"/>
        <v>5.38</v>
      </c>
      <c r="U17" s="10">
        <v>7.1733333333333329</v>
      </c>
      <c r="V17" s="9">
        <v>350</v>
      </c>
      <c r="W17" s="9">
        <f t="shared" si="2"/>
        <v>16</v>
      </c>
      <c r="X17" s="9">
        <v>480</v>
      </c>
      <c r="Y17" s="9">
        <v>70</v>
      </c>
      <c r="Z17" s="9">
        <v>80</v>
      </c>
      <c r="AA17" s="9">
        <v>95</v>
      </c>
      <c r="AB17" s="9">
        <v>60</v>
      </c>
      <c r="AC17" s="9">
        <f>(S17+10)/2</f>
        <v>95</v>
      </c>
      <c r="AD17" s="9">
        <f t="shared" si="3"/>
        <v>0</v>
      </c>
      <c r="AE17" s="9">
        <f t="shared" si="6"/>
        <v>0</v>
      </c>
      <c r="AF17" s="11">
        <f t="shared" si="4"/>
        <v>0.83415702463321517</v>
      </c>
      <c r="AG17" s="12">
        <f t="shared" si="5"/>
        <v>2.4569999999999999</v>
      </c>
    </row>
    <row r="18" spans="1:33" x14ac:dyDescent="0.25">
      <c r="A18" s="4" t="s">
        <v>36</v>
      </c>
      <c r="B18" s="1" t="s">
        <v>37</v>
      </c>
      <c r="P18" s="8">
        <f t="shared" si="0"/>
        <v>2.735238095238095</v>
      </c>
      <c r="Q18" s="9">
        <v>350</v>
      </c>
      <c r="R18" s="9">
        <v>200</v>
      </c>
      <c r="S18" s="9">
        <v>210</v>
      </c>
      <c r="T18" s="9">
        <f t="shared" si="1"/>
        <v>7.18</v>
      </c>
      <c r="U18" s="10">
        <v>9.5733333333333324</v>
      </c>
      <c r="V18" s="9">
        <v>400</v>
      </c>
      <c r="W18" s="9">
        <f t="shared" si="2"/>
        <v>16</v>
      </c>
      <c r="X18" s="9">
        <v>480</v>
      </c>
      <c r="Y18" s="9">
        <v>80</v>
      </c>
      <c r="Z18" s="9">
        <v>95</v>
      </c>
      <c r="AA18" s="9">
        <v>110</v>
      </c>
      <c r="AB18" s="9">
        <v>60</v>
      </c>
      <c r="AC18" s="9">
        <v>110</v>
      </c>
      <c r="AD18" s="9">
        <f t="shared" si="3"/>
        <v>0</v>
      </c>
      <c r="AE18" s="9">
        <f t="shared" si="6"/>
        <v>0</v>
      </c>
      <c r="AF18" s="11">
        <f t="shared" si="4"/>
        <v>0.8349322635036921</v>
      </c>
      <c r="AG18" s="12">
        <f t="shared" si="5"/>
        <v>3.2759999999999998</v>
      </c>
    </row>
    <row r="19" spans="1:33" x14ac:dyDescent="0.25">
      <c r="A19" s="4" t="s">
        <v>38</v>
      </c>
      <c r="B19" s="1" t="s">
        <v>39</v>
      </c>
      <c r="P19" s="8">
        <f t="shared" si="0"/>
        <v>2.7463414634146344</v>
      </c>
      <c r="Q19" s="9">
        <v>410</v>
      </c>
      <c r="R19" s="9">
        <v>200</v>
      </c>
      <c r="S19" s="9">
        <v>210</v>
      </c>
      <c r="T19" s="13">
        <f t="shared" si="1"/>
        <v>8.4450000000000003</v>
      </c>
      <c r="U19" s="10">
        <v>11.26</v>
      </c>
      <c r="V19" s="9">
        <v>400</v>
      </c>
      <c r="W19" s="9">
        <f t="shared" si="2"/>
        <v>18</v>
      </c>
      <c r="X19" s="9">
        <v>540</v>
      </c>
      <c r="Y19" s="9">
        <v>95</v>
      </c>
      <c r="Z19" s="9">
        <v>115</v>
      </c>
      <c r="AA19" s="9">
        <v>130</v>
      </c>
      <c r="AB19" s="9">
        <v>60</v>
      </c>
      <c r="AC19" s="9">
        <v>110</v>
      </c>
      <c r="AD19" s="9">
        <f t="shared" si="3"/>
        <v>0</v>
      </c>
      <c r="AE19" s="9">
        <f t="shared" si="6"/>
        <v>0</v>
      </c>
      <c r="AF19" s="11">
        <f t="shared" si="4"/>
        <v>0.83832157002888719</v>
      </c>
      <c r="AG19" s="12">
        <f t="shared" si="5"/>
        <v>3.2759999999999998</v>
      </c>
    </row>
    <row r="20" spans="1:33" x14ac:dyDescent="0.25">
      <c r="A20" s="4"/>
      <c r="P20" s="8">
        <f t="shared" si="0"/>
        <v>2.3333333333333335</v>
      </c>
      <c r="Q20" s="9">
        <v>450</v>
      </c>
      <c r="R20" s="9">
        <v>210</v>
      </c>
      <c r="S20" s="9">
        <v>185</v>
      </c>
      <c r="T20" s="9">
        <f t="shared" si="1"/>
        <v>7.875</v>
      </c>
      <c r="U20" s="10">
        <v>10.5</v>
      </c>
      <c r="V20" s="9">
        <v>440</v>
      </c>
      <c r="W20" s="9">
        <f t="shared" si="2"/>
        <v>20</v>
      </c>
      <c r="X20" s="9">
        <v>590</v>
      </c>
      <c r="Y20" s="9">
        <v>100</v>
      </c>
      <c r="Z20" s="9">
        <v>125</v>
      </c>
      <c r="AA20" s="9">
        <v>140</v>
      </c>
      <c r="AB20" s="9">
        <v>60</v>
      </c>
      <c r="AC20" s="9">
        <v>110</v>
      </c>
      <c r="AD20" s="9">
        <f t="shared" si="3"/>
        <v>0</v>
      </c>
      <c r="AE20" s="9">
        <f t="shared" si="6"/>
        <v>0</v>
      </c>
      <c r="AF20" s="11">
        <f t="shared" si="4"/>
        <v>0.77000077000077005</v>
      </c>
      <c r="AG20" s="12">
        <f t="shared" si="5"/>
        <v>3.0303</v>
      </c>
    </row>
    <row r="21" spans="1:33" x14ac:dyDescent="0.25">
      <c r="A21" s="4"/>
      <c r="P21" s="8">
        <f t="shared" si="0"/>
        <v>2.3980000000000001</v>
      </c>
      <c r="Q21" s="9">
        <v>500</v>
      </c>
      <c r="R21" s="9">
        <v>210</v>
      </c>
      <c r="S21" s="9">
        <v>220</v>
      </c>
      <c r="T21" s="9">
        <f t="shared" si="1"/>
        <v>8.9924999999999997</v>
      </c>
      <c r="U21" s="10">
        <v>11.99</v>
      </c>
      <c r="V21" s="9">
        <v>440</v>
      </c>
      <c r="W21" s="9">
        <f t="shared" si="2"/>
        <v>22</v>
      </c>
      <c r="X21" s="9">
        <v>640</v>
      </c>
      <c r="Y21" s="9">
        <v>115</v>
      </c>
      <c r="Z21" s="9">
        <v>140</v>
      </c>
      <c r="AA21" s="9">
        <v>155</v>
      </c>
      <c r="AB21" s="9">
        <v>60</v>
      </c>
      <c r="AC21" s="9">
        <v>125</v>
      </c>
      <c r="AD21" s="9">
        <f>ROUNDUP(IF(P21=$D$26,W21*25.4+AB21*2,0),0)</f>
        <v>679</v>
      </c>
      <c r="AE21" s="9">
        <f>IF(AD21=0,0,R21*2+$B$72*1000+50+AC21*2)</f>
        <v>1340</v>
      </c>
      <c r="AF21" s="11">
        <f t="shared" si="4"/>
        <v>0.66544566544566541</v>
      </c>
      <c r="AG21" s="12">
        <f t="shared" si="5"/>
        <v>3.6036000000000001</v>
      </c>
    </row>
    <row r="22" spans="1:33" x14ac:dyDescent="0.25">
      <c r="B22" s="14" t="s">
        <v>40</v>
      </c>
      <c r="G22" s="3" t="s">
        <v>41</v>
      </c>
      <c r="H22" s="15"/>
      <c r="I22" s="16"/>
      <c r="J22" s="16"/>
      <c r="K22" s="16"/>
      <c r="L22" s="3" t="s">
        <v>42</v>
      </c>
      <c r="P22" s="8">
        <f t="shared" si="0"/>
        <v>2.7296969696969695</v>
      </c>
      <c r="Q22" s="9">
        <v>550</v>
      </c>
      <c r="R22" s="9">
        <v>200</v>
      </c>
      <c r="S22" s="9">
        <v>210</v>
      </c>
      <c r="T22" s="9">
        <f t="shared" si="1"/>
        <v>11.26</v>
      </c>
      <c r="U22" s="10">
        <v>15.013333333333334</v>
      </c>
      <c r="V22" s="9">
        <v>400</v>
      </c>
      <c r="W22" s="9">
        <f t="shared" si="2"/>
        <v>24</v>
      </c>
      <c r="X22" s="9">
        <v>700</v>
      </c>
      <c r="Y22" s="9">
        <v>125</v>
      </c>
      <c r="Z22" s="9">
        <v>150</v>
      </c>
      <c r="AA22" s="9">
        <v>170</v>
      </c>
      <c r="AB22" s="9">
        <v>70</v>
      </c>
      <c r="AC22" s="9">
        <v>110</v>
      </c>
      <c r="AD22" s="9">
        <f t="shared" si="3"/>
        <v>0</v>
      </c>
      <c r="AE22" s="9">
        <f t="shared" si="6"/>
        <v>0</v>
      </c>
      <c r="AF22" s="11">
        <f t="shared" si="4"/>
        <v>0.8332408332408332</v>
      </c>
      <c r="AG22" s="12">
        <f t="shared" si="5"/>
        <v>3.2759999999999998</v>
      </c>
    </row>
    <row r="23" spans="1:33" x14ac:dyDescent="0.25">
      <c r="A23" s="1" t="s">
        <v>43</v>
      </c>
      <c r="H23" s="1" t="s">
        <v>43</v>
      </c>
      <c r="L23" s="1" t="s">
        <v>43</v>
      </c>
      <c r="P23" s="8">
        <f t="shared" si="0"/>
        <v>3.3090909090909091</v>
      </c>
      <c r="Q23" s="9">
        <v>550</v>
      </c>
      <c r="R23" s="9">
        <v>220</v>
      </c>
      <c r="S23" s="9">
        <v>230</v>
      </c>
      <c r="T23" s="9">
        <f t="shared" si="1"/>
        <v>13.649999999999999</v>
      </c>
      <c r="U23" s="10">
        <v>18.2</v>
      </c>
      <c r="V23" s="9">
        <v>440</v>
      </c>
      <c r="W23" s="9">
        <f t="shared" si="2"/>
        <v>24</v>
      </c>
      <c r="X23" s="9">
        <v>700</v>
      </c>
      <c r="Y23" s="9">
        <v>140</v>
      </c>
      <c r="Z23" s="9">
        <v>170</v>
      </c>
      <c r="AA23" s="9">
        <v>190</v>
      </c>
      <c r="AB23" s="9">
        <v>70</v>
      </c>
      <c r="AC23" s="9">
        <v>110</v>
      </c>
      <c r="AD23" s="9">
        <f t="shared" si="3"/>
        <v>0</v>
      </c>
      <c r="AE23" s="9">
        <f t="shared" si="6"/>
        <v>0</v>
      </c>
      <c r="AF23" s="11">
        <f t="shared" si="4"/>
        <v>0.83842376332494906</v>
      </c>
      <c r="AG23" s="12">
        <f t="shared" si="5"/>
        <v>3.9468000000000001</v>
      </c>
    </row>
    <row r="24" spans="1:33" x14ac:dyDescent="0.25">
      <c r="A24" s="4" t="s">
        <v>26</v>
      </c>
      <c r="B24" s="17">
        <f>VLOOKUP(D26,P11:Z31,6,)</f>
        <v>11.99</v>
      </c>
      <c r="C24" s="1" t="s">
        <v>44</v>
      </c>
      <c r="D24" s="17">
        <f>B24/D26*100</f>
        <v>500</v>
      </c>
      <c r="E24" s="1" t="s">
        <v>45</v>
      </c>
      <c r="H24" s="4" t="s">
        <v>26</v>
      </c>
      <c r="I24" s="17">
        <f>B24</f>
        <v>11.99</v>
      </c>
      <c r="J24" s="1" t="s">
        <v>44</v>
      </c>
      <c r="L24" s="4" t="s">
        <v>26</v>
      </c>
      <c r="M24" s="17">
        <f>B24</f>
        <v>11.99</v>
      </c>
      <c r="N24" s="1" t="s">
        <v>44</v>
      </c>
      <c r="P24" s="8">
        <f t="shared" si="0"/>
        <v>3.6533333333333333</v>
      </c>
      <c r="Q24" s="9">
        <v>600</v>
      </c>
      <c r="R24" s="9">
        <v>230</v>
      </c>
      <c r="S24" s="9">
        <v>245</v>
      </c>
      <c r="T24" s="9">
        <f t="shared" si="1"/>
        <v>16.440000000000001</v>
      </c>
      <c r="U24" s="10">
        <v>21.92</v>
      </c>
      <c r="V24" s="9">
        <v>460</v>
      </c>
      <c r="W24" s="9">
        <f t="shared" si="2"/>
        <v>26</v>
      </c>
      <c r="X24" s="9">
        <v>750</v>
      </c>
      <c r="Y24" s="9">
        <v>160</v>
      </c>
      <c r="Z24" s="9">
        <v>190</v>
      </c>
      <c r="AA24" s="9">
        <v>220</v>
      </c>
      <c r="AB24" s="9">
        <v>70</v>
      </c>
      <c r="AC24" s="9">
        <v>110</v>
      </c>
      <c r="AD24" s="9">
        <f t="shared" si="3"/>
        <v>0</v>
      </c>
      <c r="AE24" s="9">
        <f t="shared" si="6"/>
        <v>0</v>
      </c>
      <c r="AF24" s="11">
        <f t="shared" si="4"/>
        <v>0.83119089330269458</v>
      </c>
      <c r="AG24" s="12">
        <f t="shared" si="5"/>
        <v>4.3952999999999998</v>
      </c>
    </row>
    <row r="25" spans="1:33" x14ac:dyDescent="0.25">
      <c r="A25" s="4" t="s">
        <v>28</v>
      </c>
      <c r="B25" s="18">
        <v>1</v>
      </c>
      <c r="C25" s="1" t="s">
        <v>46</v>
      </c>
      <c r="D25" s="17">
        <f>B24*0.75</f>
        <v>8.9924999999999997</v>
      </c>
      <c r="E25" s="1" t="s">
        <v>47</v>
      </c>
      <c r="H25" s="4" t="s">
        <v>28</v>
      </c>
      <c r="I25" s="19">
        <v>1</v>
      </c>
      <c r="J25" s="1" t="s">
        <v>46</v>
      </c>
      <c r="L25" s="4" t="s">
        <v>28</v>
      </c>
      <c r="M25" s="19">
        <f>B25</f>
        <v>1</v>
      </c>
      <c r="N25" s="1" t="s">
        <v>46</v>
      </c>
      <c r="P25" s="8">
        <f t="shared" si="0"/>
        <v>4.2311111111111108</v>
      </c>
      <c r="Q25" s="9">
        <v>450</v>
      </c>
      <c r="R25" s="9">
        <v>250</v>
      </c>
      <c r="S25" s="9">
        <v>260</v>
      </c>
      <c r="T25" s="9">
        <f t="shared" si="1"/>
        <v>14.28</v>
      </c>
      <c r="U25" s="10">
        <v>19.04</v>
      </c>
      <c r="V25" s="9">
        <v>500</v>
      </c>
      <c r="W25" s="9">
        <f t="shared" si="2"/>
        <v>20</v>
      </c>
      <c r="X25" s="9">
        <v>590</v>
      </c>
      <c r="Y25" s="9">
        <v>130</v>
      </c>
      <c r="Z25" s="9">
        <v>155</v>
      </c>
      <c r="AA25" s="9">
        <v>170</v>
      </c>
      <c r="AB25" s="9">
        <v>70</v>
      </c>
      <c r="AC25" s="9">
        <v>120</v>
      </c>
      <c r="AD25" s="9">
        <f t="shared" si="3"/>
        <v>0</v>
      </c>
      <c r="AE25" s="9">
        <f t="shared" si="6"/>
        <v>0</v>
      </c>
      <c r="AF25" s="11">
        <f t="shared" si="4"/>
        <v>0.83453868069252679</v>
      </c>
      <c r="AG25" s="12">
        <f t="shared" si="5"/>
        <v>5.07</v>
      </c>
    </row>
    <row r="26" spans="1:33" x14ac:dyDescent="0.25">
      <c r="A26" s="4" t="s">
        <v>30</v>
      </c>
      <c r="B26" s="35">
        <v>1.52</v>
      </c>
      <c r="C26" s="1" t="s">
        <v>48</v>
      </c>
      <c r="D26" s="71">
        <f>P21</f>
        <v>2.3980000000000001</v>
      </c>
      <c r="E26" s="1" t="s">
        <v>49</v>
      </c>
      <c r="H26" s="4" t="s">
        <v>30</v>
      </c>
      <c r="I26" s="19">
        <f>B26</f>
        <v>1.52</v>
      </c>
      <c r="J26" s="1" t="s">
        <v>48</v>
      </c>
      <c r="L26" s="4" t="s">
        <v>30</v>
      </c>
      <c r="M26" s="19">
        <f>B26</f>
        <v>1.52</v>
      </c>
      <c r="N26" s="1" t="s">
        <v>48</v>
      </c>
      <c r="P26" s="8">
        <f t="shared" si="0"/>
        <v>4.2346666666666666</v>
      </c>
      <c r="Q26" s="9">
        <v>500</v>
      </c>
      <c r="R26" s="9">
        <v>250</v>
      </c>
      <c r="S26" s="9">
        <v>260</v>
      </c>
      <c r="T26" s="9">
        <f t="shared" si="1"/>
        <v>15.880000000000003</v>
      </c>
      <c r="U26" s="10">
        <v>21.173333333333336</v>
      </c>
      <c r="V26" s="9">
        <v>500</v>
      </c>
      <c r="W26" s="9">
        <f t="shared" si="2"/>
        <v>22</v>
      </c>
      <c r="X26" s="9">
        <v>640</v>
      </c>
      <c r="Y26" s="9">
        <v>140</v>
      </c>
      <c r="Z26" s="9">
        <v>170</v>
      </c>
      <c r="AA26" s="9">
        <v>190</v>
      </c>
      <c r="AB26" s="9">
        <v>70</v>
      </c>
      <c r="AC26" s="9">
        <v>110</v>
      </c>
      <c r="AD26" s="9">
        <f t="shared" si="3"/>
        <v>0</v>
      </c>
      <c r="AE26" s="9">
        <f t="shared" si="6"/>
        <v>0</v>
      </c>
      <c r="AF26" s="11">
        <f t="shared" si="4"/>
        <v>0.83523997370151215</v>
      </c>
      <c r="AG26" s="12">
        <f t="shared" si="5"/>
        <v>5.07</v>
      </c>
    </row>
    <row r="27" spans="1:33" x14ac:dyDescent="0.25">
      <c r="A27" s="4" t="s">
        <v>32</v>
      </c>
      <c r="B27" s="72">
        <v>0.75</v>
      </c>
      <c r="C27" s="1" t="s">
        <v>50</v>
      </c>
      <c r="H27" s="4" t="s">
        <v>32</v>
      </c>
      <c r="I27" s="73">
        <v>1</v>
      </c>
      <c r="J27" s="1" t="s">
        <v>50</v>
      </c>
      <c r="L27" s="4" t="s">
        <v>32</v>
      </c>
      <c r="M27" s="73">
        <v>0.75</v>
      </c>
      <c r="N27" s="1" t="s">
        <v>50</v>
      </c>
      <c r="P27" s="8">
        <f t="shared" si="0"/>
        <v>4.2355555555555551</v>
      </c>
      <c r="Q27" s="9">
        <v>600</v>
      </c>
      <c r="R27" s="9">
        <v>250</v>
      </c>
      <c r="S27" s="9">
        <v>260</v>
      </c>
      <c r="T27" s="9">
        <f t="shared" si="1"/>
        <v>19.059999999999999</v>
      </c>
      <c r="U27" s="10">
        <v>25.41333333333333</v>
      </c>
      <c r="V27" s="9">
        <v>500</v>
      </c>
      <c r="W27" s="9">
        <f t="shared" si="2"/>
        <v>26</v>
      </c>
      <c r="X27" s="9">
        <v>750</v>
      </c>
      <c r="Y27" s="9">
        <v>170</v>
      </c>
      <c r="Z27" s="9">
        <v>200</v>
      </c>
      <c r="AA27" s="9">
        <v>230</v>
      </c>
      <c r="AB27" s="9">
        <v>70</v>
      </c>
      <c r="AC27" s="9">
        <v>110</v>
      </c>
      <c r="AD27" s="9">
        <f t="shared" si="3"/>
        <v>0</v>
      </c>
      <c r="AE27" s="9">
        <f t="shared" si="6"/>
        <v>0</v>
      </c>
      <c r="AF27" s="11">
        <f t="shared" si="4"/>
        <v>0.83541529695375838</v>
      </c>
      <c r="AG27" s="12">
        <f t="shared" si="5"/>
        <v>5.07</v>
      </c>
    </row>
    <row r="28" spans="1:33" x14ac:dyDescent="0.25">
      <c r="A28" s="4" t="s">
        <v>34</v>
      </c>
      <c r="B28" s="72">
        <v>1</v>
      </c>
      <c r="C28" s="1" t="s">
        <v>50</v>
      </c>
      <c r="H28" s="4" t="s">
        <v>34</v>
      </c>
      <c r="I28" s="73">
        <v>1</v>
      </c>
      <c r="J28" s="1" t="s">
        <v>50</v>
      </c>
      <c r="L28" s="4" t="s">
        <v>34</v>
      </c>
      <c r="M28" s="72">
        <v>1</v>
      </c>
      <c r="N28" s="1" t="s">
        <v>50</v>
      </c>
      <c r="P28" s="8">
        <f t="shared" si="0"/>
        <v>4.2358974358974351</v>
      </c>
      <c r="Q28" s="9">
        <v>650</v>
      </c>
      <c r="R28" s="9">
        <v>250</v>
      </c>
      <c r="S28" s="9">
        <v>260</v>
      </c>
      <c r="T28" s="9">
        <f t="shared" si="1"/>
        <v>20.65</v>
      </c>
      <c r="U28" s="10">
        <v>27.533333333333331</v>
      </c>
      <c r="V28" s="9">
        <v>500</v>
      </c>
      <c r="W28" s="23">
        <f t="shared" si="2"/>
        <v>28</v>
      </c>
      <c r="X28" s="23">
        <v>790</v>
      </c>
      <c r="Y28" s="23">
        <v>185</v>
      </c>
      <c r="Z28" s="23">
        <v>220</v>
      </c>
      <c r="AA28" s="23">
        <v>250</v>
      </c>
      <c r="AB28" s="23">
        <v>70</v>
      </c>
      <c r="AC28" s="23">
        <v>120</v>
      </c>
      <c r="AD28" s="23">
        <f t="shared" si="3"/>
        <v>0</v>
      </c>
      <c r="AE28" s="23">
        <f t="shared" si="6"/>
        <v>0</v>
      </c>
      <c r="AF28" s="11">
        <f t="shared" si="4"/>
        <v>0.83548272897385301</v>
      </c>
      <c r="AG28" s="12">
        <f t="shared" si="5"/>
        <v>5.07</v>
      </c>
    </row>
    <row r="29" spans="1:33" x14ac:dyDescent="0.25">
      <c r="A29" s="4" t="s">
        <v>36</v>
      </c>
      <c r="B29" s="18">
        <v>1</v>
      </c>
      <c r="C29" s="1" t="s">
        <v>51</v>
      </c>
      <c r="H29" s="4" t="s">
        <v>36</v>
      </c>
      <c r="I29" s="18">
        <v>1.4</v>
      </c>
      <c r="J29" s="1" t="s">
        <v>51</v>
      </c>
      <c r="L29" s="4" t="s">
        <v>36</v>
      </c>
      <c r="M29" s="18">
        <v>1.1100000000000001</v>
      </c>
      <c r="N29" s="1" t="s">
        <v>51</v>
      </c>
      <c r="P29" s="8">
        <f t="shared" si="0"/>
        <v>4.2361904761904761</v>
      </c>
      <c r="Q29" s="9">
        <v>700</v>
      </c>
      <c r="R29" s="9">
        <v>250</v>
      </c>
      <c r="S29" s="9">
        <v>260</v>
      </c>
      <c r="T29" s="9">
        <f t="shared" si="1"/>
        <v>22.24</v>
      </c>
      <c r="U29" s="10">
        <v>29.653333333333332</v>
      </c>
      <c r="V29" s="9">
        <v>500</v>
      </c>
      <c r="W29" s="9">
        <f t="shared" si="2"/>
        <v>30</v>
      </c>
      <c r="X29" s="9">
        <v>850</v>
      </c>
      <c r="Y29" s="9">
        <v>200</v>
      </c>
      <c r="Z29" s="9">
        <v>240</v>
      </c>
      <c r="AA29" s="9">
        <v>270</v>
      </c>
      <c r="AB29" s="9">
        <v>80</v>
      </c>
      <c r="AC29" s="9">
        <v>140</v>
      </c>
      <c r="AD29" s="9">
        <f t="shared" si="3"/>
        <v>0</v>
      </c>
      <c r="AE29" s="9">
        <f t="shared" si="6"/>
        <v>0</v>
      </c>
      <c r="AF29" s="11">
        <f t="shared" si="4"/>
        <v>0.83554052784822008</v>
      </c>
      <c r="AG29" s="12">
        <f t="shared" si="5"/>
        <v>5.07</v>
      </c>
    </row>
    <row r="30" spans="1:33" x14ac:dyDescent="0.25">
      <c r="A30" s="4" t="s">
        <v>38</v>
      </c>
      <c r="B30" s="18">
        <v>350</v>
      </c>
      <c r="C30" s="1" t="s">
        <v>52</v>
      </c>
      <c r="D30" s="17">
        <f>B30/VLOOKUP(D26,P11:R31,3)</f>
        <v>1.6666666666666667</v>
      </c>
      <c r="E30" s="1" t="s">
        <v>53</v>
      </c>
      <c r="H30" s="4" t="s">
        <v>38</v>
      </c>
      <c r="I30" s="19">
        <f>B30</f>
        <v>350</v>
      </c>
      <c r="J30" s="1" t="s">
        <v>52</v>
      </c>
      <c r="L30" s="4" t="s">
        <v>38</v>
      </c>
      <c r="M30" s="19">
        <f>B30</f>
        <v>350</v>
      </c>
      <c r="N30" s="1" t="s">
        <v>52</v>
      </c>
      <c r="P30" s="8">
        <f t="shared" si="0"/>
        <v>4.1857142857142859</v>
      </c>
      <c r="Q30" s="9">
        <v>700</v>
      </c>
      <c r="R30" s="9">
        <v>265</v>
      </c>
      <c r="S30" s="9">
        <v>320</v>
      </c>
      <c r="T30" s="9">
        <f t="shared" si="1"/>
        <v>21.975000000000001</v>
      </c>
      <c r="U30" s="10">
        <v>29.3</v>
      </c>
      <c r="V30" s="9">
        <v>350</v>
      </c>
      <c r="W30" s="9">
        <f t="shared" si="2"/>
        <v>30</v>
      </c>
      <c r="X30" s="9">
        <v>850</v>
      </c>
      <c r="Y30" s="9">
        <v>280</v>
      </c>
      <c r="Z30" s="9">
        <v>340</v>
      </c>
      <c r="AA30" s="9">
        <v>380</v>
      </c>
      <c r="AB30" s="9">
        <v>80</v>
      </c>
      <c r="AC30" s="9">
        <v>140</v>
      </c>
      <c r="AD30" s="9">
        <f t="shared" si="3"/>
        <v>0</v>
      </c>
      <c r="AE30" s="9">
        <f t="shared" si="6"/>
        <v>0</v>
      </c>
      <c r="AF30" s="11">
        <f t="shared" si="4"/>
        <v>0.63281843942221305</v>
      </c>
      <c r="AG30" s="12">
        <f t="shared" si="5"/>
        <v>6.6143999999999998</v>
      </c>
    </row>
    <row r="31" spans="1:33" x14ac:dyDescent="0.25">
      <c r="D31" s="1" t="s">
        <v>54</v>
      </c>
      <c r="P31" s="8">
        <f t="shared" si="0"/>
        <v>4.2666666666666666</v>
      </c>
      <c r="Q31" s="9">
        <v>750</v>
      </c>
      <c r="R31" s="9">
        <v>270</v>
      </c>
      <c r="S31" s="9">
        <v>320</v>
      </c>
      <c r="T31" s="9">
        <f t="shared" si="1"/>
        <v>24</v>
      </c>
      <c r="U31" s="10">
        <v>32</v>
      </c>
      <c r="V31" s="9">
        <v>350</v>
      </c>
      <c r="W31" s="9">
        <f t="shared" si="2"/>
        <v>32</v>
      </c>
      <c r="X31" s="9">
        <v>900</v>
      </c>
      <c r="Y31" s="9">
        <v>300</v>
      </c>
      <c r="Z31" s="9">
        <v>370</v>
      </c>
      <c r="AA31" s="9">
        <v>420</v>
      </c>
      <c r="AB31" s="9">
        <v>80</v>
      </c>
      <c r="AC31" s="9">
        <v>140</v>
      </c>
      <c r="AD31" s="9">
        <f t="shared" si="3"/>
        <v>0</v>
      </c>
      <c r="AE31" s="9">
        <f t="shared" si="6"/>
        <v>0</v>
      </c>
      <c r="AF31" s="11">
        <f t="shared" si="4"/>
        <v>0.63311174422285532</v>
      </c>
      <c r="AG31" s="12">
        <f t="shared" si="5"/>
        <v>6.7392000000000003</v>
      </c>
    </row>
    <row r="32" spans="1:33" x14ac:dyDescent="0.25">
      <c r="A32" s="4" t="s">
        <v>55</v>
      </c>
      <c r="H32" s="4" t="s">
        <v>55</v>
      </c>
      <c r="L32" s="4" t="s">
        <v>55</v>
      </c>
    </row>
    <row r="33" spans="1:31" x14ac:dyDescent="0.25">
      <c r="A33" s="4" t="s">
        <v>24</v>
      </c>
      <c r="B33" s="17">
        <f>3600*B24*B25*B26*B27*B28*B29/B30</f>
        <v>140.59131428571428</v>
      </c>
      <c r="C33" s="1" t="s">
        <v>56</v>
      </c>
      <c r="H33" s="4" t="s">
        <v>24</v>
      </c>
      <c r="I33" s="17">
        <f>3600*I24*I25*I26*I27*I28*I29/I30</f>
        <v>262.43711999999999</v>
      </c>
      <c r="J33" s="1" t="s">
        <v>57</v>
      </c>
      <c r="K33" s="24">
        <f>I33/M33</f>
        <v>1.6816816816816815</v>
      </c>
      <c r="L33" s="4" t="s">
        <v>24</v>
      </c>
      <c r="M33" s="17">
        <f>3600*M24*M25*M26*M27*M28*M29/M30</f>
        <v>156.05635885714287</v>
      </c>
      <c r="N33" s="1" t="s">
        <v>57</v>
      </c>
      <c r="P33" s="25" t="s">
        <v>58</v>
      </c>
      <c r="Q33" s="26">
        <f>VLOOKUP(D26,P11:AD31,2,)/1000</f>
        <v>0.5</v>
      </c>
      <c r="R33" s="26">
        <f>VLOOKUP(D26,P11:AD31,3,)/1000</f>
        <v>0.21</v>
      </c>
      <c r="S33" s="26">
        <f>VLOOKUP(D26,P11:AD31,4,)/1000</f>
        <v>0.22</v>
      </c>
      <c r="W33" s="27">
        <f>VLOOKUP(D26,P11:AD31,8,)</f>
        <v>22</v>
      </c>
      <c r="X33" s="26">
        <f>VLOOKUP(D26,P11:AD31,9,)/1000</f>
        <v>0.64</v>
      </c>
      <c r="AD33" s="26">
        <f>VLOOKUP(D26,P11:AD31,15,)/1000</f>
        <v>0.67900000000000005</v>
      </c>
      <c r="AE33" s="26">
        <f>VLOOKUP(D26,P11:AE31,16,)/1000</f>
        <v>1.34</v>
      </c>
    </row>
    <row r="34" spans="1:31" x14ac:dyDescent="0.25">
      <c r="A34" s="4"/>
    </row>
    <row r="37" spans="1:31" x14ac:dyDescent="0.25">
      <c r="A37" s="3" t="s">
        <v>59</v>
      </c>
      <c r="G37" s="3" t="s">
        <v>60</v>
      </c>
      <c r="H37" s="3"/>
      <c r="I37" s="25" t="s">
        <v>61</v>
      </c>
      <c r="J37" s="18">
        <v>20.6</v>
      </c>
      <c r="K37" s="1" t="s">
        <v>62</v>
      </c>
      <c r="Q37" s="1" t="s">
        <v>63</v>
      </c>
      <c r="S37" s="17">
        <f>B72*3.2</f>
        <v>1.984</v>
      </c>
      <c r="T37" s="1" t="s">
        <v>58</v>
      </c>
      <c r="X37" s="4" t="s">
        <v>64</v>
      </c>
    </row>
    <row r="39" spans="1:31" x14ac:dyDescent="0.25">
      <c r="I39" s="25" t="s">
        <v>65</v>
      </c>
      <c r="Q39" s="1" t="s">
        <v>66</v>
      </c>
      <c r="S39" s="17">
        <f>1.4*(2*AD33+2*AE33)*S37+1.2*AD33*AE33*3.14/2</f>
        <v>12.93012504</v>
      </c>
      <c r="T39" s="1" t="s">
        <v>67</v>
      </c>
      <c r="U39" s="29">
        <v>38</v>
      </c>
      <c r="V39" s="1" t="s">
        <v>68</v>
      </c>
      <c r="X39" s="30">
        <f>S39*U39*1.3</f>
        <v>638.74817697599997</v>
      </c>
      <c r="Y39" s="1" t="s">
        <v>68</v>
      </c>
    </row>
    <row r="40" spans="1:31" x14ac:dyDescent="0.25">
      <c r="A40" s="3" t="s">
        <v>69</v>
      </c>
    </row>
    <row r="41" spans="1:31" x14ac:dyDescent="0.25">
      <c r="I41" s="4" t="s">
        <v>70</v>
      </c>
      <c r="J41" s="18">
        <v>33</v>
      </c>
      <c r="K41" s="1" t="s">
        <v>71</v>
      </c>
      <c r="L41" s="1" t="s">
        <v>72</v>
      </c>
      <c r="Q41" s="1" t="s">
        <v>73</v>
      </c>
      <c r="S41" s="17">
        <f>B72*3.1</f>
        <v>1.9219999999999999</v>
      </c>
      <c r="T41" s="1" t="s">
        <v>58</v>
      </c>
    </row>
    <row r="42" spans="1:31" x14ac:dyDescent="0.25">
      <c r="B42" s="3" t="s">
        <v>74</v>
      </c>
      <c r="C42" s="3"/>
    </row>
    <row r="43" spans="1:31" x14ac:dyDescent="0.25">
      <c r="B43" s="3"/>
      <c r="C43" s="3" t="s">
        <v>75</v>
      </c>
      <c r="J43" s="74">
        <v>55</v>
      </c>
      <c r="K43" s="32" t="s">
        <v>76</v>
      </c>
      <c r="Q43" s="1" t="s">
        <v>77</v>
      </c>
      <c r="S43" s="17">
        <f>(S41*2+AE33*1.4*AD33)+(2*AE33*S41*1.4)</f>
        <v>12.329148</v>
      </c>
      <c r="T43" s="1" t="s">
        <v>67</v>
      </c>
      <c r="U43" s="29">
        <v>38</v>
      </c>
      <c r="V43" s="1" t="s">
        <v>68</v>
      </c>
      <c r="X43" s="30">
        <f>S43*U43*1.5</f>
        <v>702.761436</v>
      </c>
      <c r="Y43" s="1" t="s">
        <v>68</v>
      </c>
    </row>
    <row r="44" spans="1:31" x14ac:dyDescent="0.25">
      <c r="A44" s="1" t="s">
        <v>23</v>
      </c>
    </row>
    <row r="45" spans="1:31" x14ac:dyDescent="0.25">
      <c r="A45" s="4" t="s">
        <v>78</v>
      </c>
      <c r="B45" s="1" t="s">
        <v>79</v>
      </c>
      <c r="I45" s="4" t="s">
        <v>80</v>
      </c>
      <c r="J45" s="17">
        <f>ROUNDUP(B230*100/(J43*B231*B233),0)</f>
        <v>5</v>
      </c>
      <c r="K45" s="1" t="s">
        <v>81</v>
      </c>
      <c r="L45" s="18">
        <v>4</v>
      </c>
      <c r="M45" s="1" t="s">
        <v>81</v>
      </c>
      <c r="Q45" s="1" t="s">
        <v>82</v>
      </c>
      <c r="S45" s="17">
        <f>B71-B72*1.9-B72*1.6</f>
        <v>18.43</v>
      </c>
      <c r="T45" s="1" t="s">
        <v>58</v>
      </c>
      <c r="U45" s="29">
        <v>4.57</v>
      </c>
      <c r="V45" s="30">
        <f>1.25*U45*(2*1.41*2+4*2+4*AD33+AE33*4)</f>
        <v>124.05265000000001</v>
      </c>
      <c r="W45" s="1" t="s">
        <v>68</v>
      </c>
      <c r="X45" s="33">
        <f>S45*0.5*V45</f>
        <v>1143.1451697500002</v>
      </c>
      <c r="Y45" s="1" t="s">
        <v>68</v>
      </c>
    </row>
    <row r="46" spans="1:31" x14ac:dyDescent="0.25">
      <c r="A46" s="4" t="s">
        <v>36</v>
      </c>
      <c r="B46" s="1" t="s">
        <v>37</v>
      </c>
      <c r="I46" s="4" t="s">
        <v>83</v>
      </c>
      <c r="J46" s="17">
        <f>IF(R33&lt;0.201,3,IF(R33&lt;0.251,4,IF(R33&lt;0.301,5,6)))</f>
        <v>4</v>
      </c>
      <c r="K46" s="1" t="s">
        <v>84</v>
      </c>
    </row>
    <row r="47" spans="1:31" x14ac:dyDescent="0.25">
      <c r="A47" s="4" t="s">
        <v>26</v>
      </c>
      <c r="B47" s="1" t="s">
        <v>85</v>
      </c>
      <c r="O47" s="34">
        <f>D94</f>
        <v>123.3</v>
      </c>
      <c r="P47" s="1" t="s">
        <v>86</v>
      </c>
      <c r="Q47" s="1" t="s">
        <v>87</v>
      </c>
      <c r="S47" s="17">
        <f>R33*S33*2*Q33+Q33*R33*3</f>
        <v>0.36120000000000002</v>
      </c>
      <c r="T47" s="1" t="s">
        <v>67</v>
      </c>
      <c r="U47" s="29">
        <v>38</v>
      </c>
      <c r="V47" s="33">
        <f>S47*U47*1.2</f>
        <v>16.47072</v>
      </c>
      <c r="W47" s="1" t="s">
        <v>68</v>
      </c>
      <c r="X47" s="33">
        <f>V47*D94</f>
        <v>2030.839776</v>
      </c>
      <c r="Y47" s="1" t="s">
        <v>68</v>
      </c>
    </row>
    <row r="48" spans="1:31" x14ac:dyDescent="0.25">
      <c r="A48" s="4" t="s">
        <v>38</v>
      </c>
      <c r="B48" s="1" t="s">
        <v>39</v>
      </c>
      <c r="Z48" s="33"/>
    </row>
    <row r="49" spans="1:27" x14ac:dyDescent="0.25">
      <c r="I49" s="25" t="s">
        <v>88</v>
      </c>
      <c r="J49" s="17">
        <f>B394</f>
        <v>0.60467352755092552</v>
      </c>
      <c r="K49" s="1" t="s">
        <v>89</v>
      </c>
      <c r="L49" s="35">
        <v>0.62</v>
      </c>
      <c r="M49" s="1" t="s">
        <v>58</v>
      </c>
      <c r="Q49" s="1" t="s">
        <v>90</v>
      </c>
      <c r="S49" s="17">
        <f>1.3*2*B72*B72*3.1415/4+1.3*B72*3.1415*X33</f>
        <v>2.4054465500000002</v>
      </c>
      <c r="T49" s="1" t="s">
        <v>67</v>
      </c>
      <c r="U49" s="36">
        <f>CONVERT(K342/1000,"m","in")*200</f>
        <v>66.449591680235258</v>
      </c>
      <c r="V49" s="1" t="s">
        <v>68</v>
      </c>
      <c r="X49" s="33">
        <f>S49*U49*1.45</f>
        <v>231.76936453138939</v>
      </c>
      <c r="Y49" s="1" t="s">
        <v>68</v>
      </c>
    </row>
    <row r="50" spans="1:27" x14ac:dyDescent="0.25">
      <c r="A50" s="4" t="s">
        <v>91</v>
      </c>
      <c r="D50" s="4" t="s">
        <v>91</v>
      </c>
    </row>
    <row r="51" spans="1:27" x14ac:dyDescent="0.25">
      <c r="A51" s="4" t="s">
        <v>36</v>
      </c>
      <c r="B51" s="19">
        <f>M29</f>
        <v>1.1100000000000001</v>
      </c>
      <c r="C51" s="1" t="s">
        <v>51</v>
      </c>
      <c r="D51" s="4" t="s">
        <v>36</v>
      </c>
      <c r="E51" s="19">
        <f>I29</f>
        <v>1.4</v>
      </c>
      <c r="F51" s="1" t="s">
        <v>51</v>
      </c>
      <c r="Q51" s="1" t="s">
        <v>92</v>
      </c>
      <c r="S51" s="17">
        <f>1.2*2*B72*B72*3.1415/4+1.2*B72*3.1415*(X33-0.05)</f>
        <v>2.1035484000000002</v>
      </c>
      <c r="T51" s="1" t="s">
        <v>67</v>
      </c>
      <c r="U51" s="29">
        <v>38</v>
      </c>
      <c r="V51" s="1" t="s">
        <v>68</v>
      </c>
      <c r="X51" s="33">
        <f>S51*U51*1.4</f>
        <v>111.90877488000001</v>
      </c>
      <c r="Y51" s="1" t="s">
        <v>68</v>
      </c>
      <c r="Z51" s="33"/>
    </row>
    <row r="52" spans="1:27" x14ac:dyDescent="0.25">
      <c r="A52" s="4" t="s">
        <v>26</v>
      </c>
      <c r="B52" s="19">
        <f>B24*B27*B28</f>
        <v>8.9924999999999997</v>
      </c>
      <c r="C52" s="1" t="s">
        <v>44</v>
      </c>
      <c r="D52" s="4" t="s">
        <v>26</v>
      </c>
      <c r="E52" s="19">
        <f>I24*I27*I28</f>
        <v>11.99</v>
      </c>
      <c r="F52" s="1" t="s">
        <v>44</v>
      </c>
      <c r="G52" s="37" t="s">
        <v>93</v>
      </c>
      <c r="O52" s="1" t="s">
        <v>94</v>
      </c>
    </row>
    <row r="53" spans="1:27" x14ac:dyDescent="0.25">
      <c r="A53" s="4" t="s">
        <v>38</v>
      </c>
      <c r="B53" s="19">
        <f>B30</f>
        <v>350</v>
      </c>
      <c r="C53" s="1" t="s">
        <v>52</v>
      </c>
      <c r="D53" s="4" t="s">
        <v>38</v>
      </c>
      <c r="E53" s="19">
        <f>I30</f>
        <v>350</v>
      </c>
      <c r="F53" s="1" t="s">
        <v>52</v>
      </c>
      <c r="O53" s="18">
        <v>20</v>
      </c>
      <c r="Q53" s="1" t="s">
        <v>95</v>
      </c>
      <c r="S53" s="17">
        <f>B299</f>
        <v>127</v>
      </c>
      <c r="T53" s="1" t="s">
        <v>52</v>
      </c>
      <c r="U53" s="33">
        <f>E299/1000</f>
        <v>1.6665000000000001</v>
      </c>
      <c r="V53" s="1" t="s">
        <v>58</v>
      </c>
      <c r="X53" s="30">
        <f>E301</f>
        <v>166.76961414155625</v>
      </c>
      <c r="Y53" s="1" t="s">
        <v>68</v>
      </c>
      <c r="Z53" s="30"/>
    </row>
    <row r="54" spans="1:27" x14ac:dyDescent="0.25">
      <c r="A54" s="4"/>
      <c r="D54" s="4"/>
    </row>
    <row r="55" spans="1:27" x14ac:dyDescent="0.25">
      <c r="A55" s="4" t="s">
        <v>96</v>
      </c>
      <c r="D55" s="4" t="s">
        <v>96</v>
      </c>
      <c r="Q55" s="1" t="s">
        <v>97</v>
      </c>
      <c r="S55" s="17">
        <f>B310</f>
        <v>76.199999999999989</v>
      </c>
      <c r="T55" s="1" t="s">
        <v>52</v>
      </c>
      <c r="U55" s="1">
        <f>E310/1000</f>
        <v>1.0940000000000001</v>
      </c>
      <c r="V55" s="1" t="s">
        <v>58</v>
      </c>
      <c r="X55" s="30">
        <f>E311</f>
        <v>39.412268126918988</v>
      </c>
      <c r="Y55" s="1" t="s">
        <v>68</v>
      </c>
      <c r="AA55" s="33"/>
    </row>
    <row r="56" spans="1:27" x14ac:dyDescent="0.25">
      <c r="A56" s="4" t="s">
        <v>78</v>
      </c>
      <c r="B56" s="17">
        <f>1000*B51*B52/B53</f>
        <v>28.519071428571426</v>
      </c>
      <c r="C56" s="1" t="s">
        <v>98</v>
      </c>
      <c r="D56" s="4" t="s">
        <v>78</v>
      </c>
      <c r="E56" s="17">
        <f>1000*E51*E52/E53</f>
        <v>47.96</v>
      </c>
      <c r="F56" s="1" t="s">
        <v>98</v>
      </c>
      <c r="G56" s="1" t="s">
        <v>99</v>
      </c>
      <c r="J56" s="1" t="s">
        <v>100</v>
      </c>
      <c r="L56" s="29">
        <v>38</v>
      </c>
      <c r="M56" s="1" t="s">
        <v>68</v>
      </c>
      <c r="N56" s="38" t="s">
        <v>101</v>
      </c>
    </row>
    <row r="57" spans="1:27" ht="15.6" x14ac:dyDescent="0.3">
      <c r="X57" s="39">
        <f>SUM(X39:X56)+SUM(L58:L64)</f>
        <v>5146.0337484058646</v>
      </c>
    </row>
    <row r="58" spans="1:27" x14ac:dyDescent="0.25">
      <c r="A58" s="4"/>
      <c r="J58" s="1" t="s">
        <v>102</v>
      </c>
      <c r="K58" s="75">
        <v>0</v>
      </c>
      <c r="L58" s="33">
        <f>S45*(AD33*2+AE33*2)*L56*K58</f>
        <v>0</v>
      </c>
      <c r="M58" s="1" t="s">
        <v>68</v>
      </c>
      <c r="N58" s="30">
        <f>S45*(AD33*2+AE33*2)</f>
        <v>74.42034000000001</v>
      </c>
      <c r="O58" s="1" t="s">
        <v>67</v>
      </c>
    </row>
    <row r="59" spans="1:27" x14ac:dyDescent="0.25">
      <c r="A59" s="3" t="s">
        <v>103</v>
      </c>
      <c r="K59" s="42"/>
      <c r="L59" s="33"/>
      <c r="X59" s="30"/>
    </row>
    <row r="60" spans="1:27" x14ac:dyDescent="0.25">
      <c r="A60" s="4"/>
      <c r="J60" s="1" t="s">
        <v>104</v>
      </c>
      <c r="K60" s="75">
        <v>0</v>
      </c>
      <c r="L60" s="33">
        <f>K60*(4*AE33+8*2+AD33*4)*0.05*L56*1.1*S45/2+K60*L56*0.08*0.12*24*S45/2</f>
        <v>0</v>
      </c>
      <c r="M60" s="1" t="s">
        <v>68</v>
      </c>
      <c r="Z60" s="33"/>
    </row>
    <row r="61" spans="1:27" x14ac:dyDescent="0.25">
      <c r="A61" s="4"/>
      <c r="B61" s="1" t="s">
        <v>105</v>
      </c>
      <c r="K61" s="42"/>
      <c r="L61" s="33"/>
    </row>
    <row r="62" spans="1:27" x14ac:dyDescent="0.25">
      <c r="A62" s="4"/>
      <c r="J62" s="1" t="s">
        <v>106</v>
      </c>
      <c r="K62" s="75">
        <v>0</v>
      </c>
      <c r="L62" s="33">
        <f>K62*(4*AE33+8*2+AD33*4)*0.05*L56*1.1*S45/2+K62*L56*0.08*0.12*24*S45/2</f>
        <v>0</v>
      </c>
      <c r="M62" s="1" t="s">
        <v>68</v>
      </c>
    </row>
    <row r="63" spans="1:27" x14ac:dyDescent="0.25">
      <c r="A63" s="4" t="s">
        <v>23</v>
      </c>
      <c r="K63" s="42"/>
      <c r="L63" s="33"/>
    </row>
    <row r="64" spans="1:27" x14ac:dyDescent="0.25">
      <c r="A64" s="4" t="s">
        <v>107</v>
      </c>
      <c r="B64" s="1" t="s">
        <v>108</v>
      </c>
      <c r="J64" s="1" t="s">
        <v>109</v>
      </c>
      <c r="K64" s="75">
        <v>1</v>
      </c>
      <c r="L64" s="33">
        <f>K64*L56*0.08*0.12*24*S45/2</f>
        <v>80.679168000000004</v>
      </c>
      <c r="M64" s="1" t="s">
        <v>68</v>
      </c>
    </row>
    <row r="65" spans="1:14" x14ac:dyDescent="0.25">
      <c r="A65" s="4" t="s">
        <v>110</v>
      </c>
      <c r="B65" s="38">
        <v>3.1415000000000002</v>
      </c>
    </row>
    <row r="66" spans="1:14" x14ac:dyDescent="0.25">
      <c r="A66" s="4" t="s">
        <v>111</v>
      </c>
      <c r="B66" s="1" t="s">
        <v>112</v>
      </c>
      <c r="J66" s="1" t="s">
        <v>113</v>
      </c>
      <c r="M66" s="30">
        <f>(INT(S45/2)+1)*(AD33*2+AE33*2)*3</f>
        <v>121.14000000000001</v>
      </c>
      <c r="N66" s="1" t="s">
        <v>58</v>
      </c>
    </row>
    <row r="67" spans="1:14" x14ac:dyDescent="0.25">
      <c r="A67" s="4" t="s">
        <v>114</v>
      </c>
      <c r="B67" s="1" t="s">
        <v>115</v>
      </c>
    </row>
    <row r="68" spans="1:14" x14ac:dyDescent="0.25">
      <c r="A68" s="4"/>
    </row>
    <row r="69" spans="1:14" x14ac:dyDescent="0.25">
      <c r="A69" s="4" t="s">
        <v>91</v>
      </c>
    </row>
    <row r="70" spans="1:14" x14ac:dyDescent="0.25">
      <c r="A70" s="4"/>
    </row>
    <row r="71" spans="1:14" x14ac:dyDescent="0.25">
      <c r="A71" s="4" t="s">
        <v>111</v>
      </c>
      <c r="B71" s="43">
        <f>J37</f>
        <v>20.6</v>
      </c>
      <c r="C71" s="1" t="s">
        <v>58</v>
      </c>
    </row>
    <row r="72" spans="1:14" x14ac:dyDescent="0.25">
      <c r="A72" s="4" t="s">
        <v>114</v>
      </c>
      <c r="B72" s="17">
        <f>L49</f>
        <v>0.62</v>
      </c>
      <c r="C72" s="1" t="s">
        <v>58</v>
      </c>
    </row>
    <row r="73" spans="1:14" x14ac:dyDescent="0.25">
      <c r="A73" s="4"/>
    </row>
    <row r="74" spans="1:14" x14ac:dyDescent="0.25">
      <c r="A74" s="4" t="s">
        <v>116</v>
      </c>
    </row>
    <row r="75" spans="1:14" x14ac:dyDescent="0.25">
      <c r="A75" s="4" t="s">
        <v>107</v>
      </c>
      <c r="B75" s="44">
        <f>3.1415*B72+2*B71</f>
        <v>43.147730000000003</v>
      </c>
      <c r="C75" s="1" t="s">
        <v>46</v>
      </c>
    </row>
    <row r="76" spans="1:14" x14ac:dyDescent="0.25">
      <c r="A76" s="4"/>
    </row>
    <row r="77" spans="1:14" x14ac:dyDescent="0.25">
      <c r="A77" s="4"/>
    </row>
    <row r="78" spans="1:14" x14ac:dyDescent="0.25">
      <c r="A78" s="3" t="s">
        <v>117</v>
      </c>
    </row>
    <row r="79" spans="1:14" x14ac:dyDescent="0.25">
      <c r="A79" s="4"/>
    </row>
    <row r="80" spans="1:14" x14ac:dyDescent="0.25">
      <c r="A80" s="4"/>
      <c r="B80" s="1" t="s">
        <v>118</v>
      </c>
    </row>
    <row r="81" spans="1:5" x14ac:dyDescent="0.25">
      <c r="A81" s="4"/>
      <c r="C81" s="1" t="s">
        <v>75</v>
      </c>
    </row>
    <row r="82" spans="1:5" x14ac:dyDescent="0.25">
      <c r="A82" s="4" t="s">
        <v>23</v>
      </c>
    </row>
    <row r="83" spans="1:5" x14ac:dyDescent="0.25">
      <c r="A83" s="4" t="s">
        <v>119</v>
      </c>
      <c r="B83" s="1" t="s">
        <v>120</v>
      </c>
    </row>
    <row r="84" spans="1:5" x14ac:dyDescent="0.25">
      <c r="A84" s="4" t="s">
        <v>107</v>
      </c>
      <c r="B84" s="1" t="s">
        <v>121</v>
      </c>
    </row>
    <row r="85" spans="1:5" x14ac:dyDescent="0.25">
      <c r="A85" s="4" t="s">
        <v>28</v>
      </c>
      <c r="B85" s="1" t="s">
        <v>29</v>
      </c>
    </row>
    <row r="86" spans="1:5" x14ac:dyDescent="0.25">
      <c r="A86" s="4" t="s">
        <v>38</v>
      </c>
      <c r="B86" s="1" t="s">
        <v>39</v>
      </c>
    </row>
    <row r="87" spans="1:5" x14ac:dyDescent="0.25">
      <c r="A87" s="4"/>
    </row>
    <row r="88" spans="1:5" x14ac:dyDescent="0.25">
      <c r="A88" s="4" t="s">
        <v>91</v>
      </c>
    </row>
    <row r="89" spans="1:5" x14ac:dyDescent="0.25">
      <c r="A89" s="4" t="s">
        <v>107</v>
      </c>
      <c r="B89" s="44">
        <f>B75</f>
        <v>43.147730000000003</v>
      </c>
      <c r="C89" s="1" t="s">
        <v>58</v>
      </c>
    </row>
    <row r="90" spans="1:5" x14ac:dyDescent="0.25">
      <c r="A90" s="4" t="s">
        <v>28</v>
      </c>
      <c r="B90" s="19">
        <f>B25</f>
        <v>1</v>
      </c>
      <c r="C90" s="1" t="s">
        <v>46</v>
      </c>
    </row>
    <row r="91" spans="1:5" x14ac:dyDescent="0.25">
      <c r="A91" s="4" t="s">
        <v>38</v>
      </c>
      <c r="B91" s="19">
        <f>B30</f>
        <v>350</v>
      </c>
      <c r="C91" s="1" t="s">
        <v>52</v>
      </c>
    </row>
    <row r="92" spans="1:5" x14ac:dyDescent="0.25">
      <c r="A92" s="4"/>
    </row>
    <row r="93" spans="1:5" x14ac:dyDescent="0.25">
      <c r="A93" s="4" t="s">
        <v>116</v>
      </c>
    </row>
    <row r="94" spans="1:5" x14ac:dyDescent="0.25">
      <c r="A94" s="4" t="s">
        <v>119</v>
      </c>
      <c r="B94" s="44">
        <f>1000*B89*B90/B91</f>
        <v>123.27922857142858</v>
      </c>
      <c r="C94" s="1" t="s">
        <v>46</v>
      </c>
      <c r="D94" s="34">
        <f>ROUNDUP(B94,1)</f>
        <v>123.3</v>
      </c>
      <c r="E94" s="1" t="s">
        <v>86</v>
      </c>
    </row>
    <row r="95" spans="1:5" x14ac:dyDescent="0.25">
      <c r="A95" s="4"/>
    </row>
    <row r="96" spans="1:5" x14ac:dyDescent="0.25">
      <c r="A96" s="3" t="s">
        <v>122</v>
      </c>
    </row>
    <row r="98" spans="1:4" x14ac:dyDescent="0.25">
      <c r="A98" s="4"/>
      <c r="B98" s="1" t="s">
        <v>123</v>
      </c>
    </row>
    <row r="99" spans="1:4" x14ac:dyDescent="0.25">
      <c r="C99" s="38">
        <v>2</v>
      </c>
      <c r="D99" s="1">
        <v>4</v>
      </c>
    </row>
    <row r="100" spans="1:4" x14ac:dyDescent="0.25">
      <c r="A100" s="4" t="s">
        <v>23</v>
      </c>
    </row>
    <row r="101" spans="1:4" x14ac:dyDescent="0.25">
      <c r="A101" s="4" t="s">
        <v>124</v>
      </c>
      <c r="B101" s="1" t="s">
        <v>125</v>
      </c>
    </row>
    <row r="102" spans="1:4" x14ac:dyDescent="0.25">
      <c r="A102" s="4" t="s">
        <v>126</v>
      </c>
      <c r="B102" s="1" t="s">
        <v>127</v>
      </c>
    </row>
    <row r="103" spans="1:4" x14ac:dyDescent="0.25">
      <c r="A103" s="4" t="s">
        <v>119</v>
      </c>
      <c r="B103" s="1" t="s">
        <v>128</v>
      </c>
    </row>
    <row r="104" spans="1:4" x14ac:dyDescent="0.25">
      <c r="A104" s="4" t="s">
        <v>129</v>
      </c>
      <c r="B104" s="1" t="s">
        <v>130</v>
      </c>
    </row>
    <row r="105" spans="1:4" x14ac:dyDescent="0.25">
      <c r="A105" s="4" t="s">
        <v>107</v>
      </c>
      <c r="B105" s="1" t="s">
        <v>121</v>
      </c>
    </row>
    <row r="106" spans="1:4" x14ac:dyDescent="0.25">
      <c r="A106" s="4" t="s">
        <v>131</v>
      </c>
      <c r="B106" s="1" t="s">
        <v>132</v>
      </c>
    </row>
    <row r="108" spans="1:4" x14ac:dyDescent="0.25">
      <c r="A108" s="4" t="s">
        <v>91</v>
      </c>
    </row>
    <row r="109" spans="1:4" x14ac:dyDescent="0.25">
      <c r="A109" s="4" t="s">
        <v>126</v>
      </c>
      <c r="B109" s="17">
        <f>V47</f>
        <v>16.47072</v>
      </c>
      <c r="C109" s="1" t="s">
        <v>68</v>
      </c>
    </row>
    <row r="110" spans="1:4" x14ac:dyDescent="0.25">
      <c r="A110" s="4" t="s">
        <v>119</v>
      </c>
      <c r="B110" s="43">
        <f>B94</f>
        <v>123.27922857142858</v>
      </c>
      <c r="C110" s="1" t="s">
        <v>46</v>
      </c>
    </row>
    <row r="111" spans="1:4" x14ac:dyDescent="0.25">
      <c r="A111" s="4" t="s">
        <v>129</v>
      </c>
      <c r="B111" s="43">
        <f>B223</f>
        <v>11.593982399999998</v>
      </c>
      <c r="C111" s="1" t="s">
        <v>98</v>
      </c>
    </row>
    <row r="112" spans="1:4" x14ac:dyDescent="0.25">
      <c r="A112" s="4" t="s">
        <v>107</v>
      </c>
      <c r="B112" s="44">
        <f>B75</f>
        <v>43.147730000000003</v>
      </c>
      <c r="C112" s="1" t="s">
        <v>58</v>
      </c>
    </row>
    <row r="113" spans="1:5" x14ac:dyDescent="0.25">
      <c r="A113" s="4" t="s">
        <v>131</v>
      </c>
      <c r="B113" s="17">
        <f>I29*I24*I27</f>
        <v>16.785999999999998</v>
      </c>
      <c r="C113" s="1" t="s">
        <v>68</v>
      </c>
    </row>
    <row r="115" spans="1:5" x14ac:dyDescent="0.25">
      <c r="A115" s="4" t="s">
        <v>116</v>
      </c>
    </row>
    <row r="116" spans="1:5" x14ac:dyDescent="0.25">
      <c r="A116" s="4" t="s">
        <v>124</v>
      </c>
      <c r="B116" s="17">
        <f>(B109*B110+B111*B112)/2+(B113*B110)/4</f>
        <v>1782.7171216179759</v>
      </c>
      <c r="C116" s="1" t="s">
        <v>133</v>
      </c>
    </row>
    <row r="117" spans="1:5" x14ac:dyDescent="0.25">
      <c r="A117" s="4"/>
    </row>
    <row r="118" spans="1:5" x14ac:dyDescent="0.25">
      <c r="A118" s="3" t="s">
        <v>134</v>
      </c>
    </row>
    <row r="119" spans="1:5" x14ac:dyDescent="0.25">
      <c r="A119" s="4"/>
    </row>
    <row r="120" spans="1:5" x14ac:dyDescent="0.25">
      <c r="A120" s="4"/>
      <c r="B120" s="1" t="s">
        <v>1385</v>
      </c>
      <c r="E120" s="1" t="s">
        <v>136</v>
      </c>
    </row>
    <row r="121" spans="1:5" x14ac:dyDescent="0.25">
      <c r="A121" s="4"/>
    </row>
    <row r="122" spans="1:5" x14ac:dyDescent="0.25">
      <c r="A122" s="4"/>
      <c r="B122" s="45" t="s">
        <v>1384</v>
      </c>
      <c r="C122" s="45"/>
      <c r="D122" s="45"/>
      <c r="E122" s="45" t="s">
        <v>138</v>
      </c>
    </row>
    <row r="123" spans="1:5" x14ac:dyDescent="0.25">
      <c r="A123" s="4"/>
      <c r="B123" s="45"/>
      <c r="C123" s="62" t="s">
        <v>140</v>
      </c>
      <c r="E123" s="45"/>
    </row>
    <row r="124" spans="1:5" x14ac:dyDescent="0.25">
      <c r="A124" s="4"/>
    </row>
    <row r="125" spans="1:5" x14ac:dyDescent="0.25">
      <c r="A125" s="4" t="s">
        <v>23</v>
      </c>
      <c r="E125" s="38"/>
    </row>
    <row r="126" spans="1:5" x14ac:dyDescent="0.25">
      <c r="A126" s="4" t="s">
        <v>141</v>
      </c>
      <c r="B126" s="1" t="s">
        <v>142</v>
      </c>
    </row>
    <row r="127" spans="1:5" x14ac:dyDescent="0.25">
      <c r="A127" s="4" t="s">
        <v>78</v>
      </c>
      <c r="B127" s="1" t="s">
        <v>79</v>
      </c>
    </row>
    <row r="128" spans="1:5" x14ac:dyDescent="0.25">
      <c r="A128" s="4" t="s">
        <v>111</v>
      </c>
      <c r="B128" s="1" t="s">
        <v>112</v>
      </c>
    </row>
    <row r="129" spans="1:3" x14ac:dyDescent="0.25">
      <c r="A129" s="4" t="s">
        <v>143</v>
      </c>
      <c r="B129" s="1" t="s">
        <v>144</v>
      </c>
    </row>
    <row r="130" spans="1:3" x14ac:dyDescent="0.25">
      <c r="A130" s="4"/>
      <c r="B130" s="1" t="s">
        <v>145</v>
      </c>
    </row>
    <row r="131" spans="1:3" x14ac:dyDescent="0.25">
      <c r="A131" s="4"/>
      <c r="B131" s="1" t="s">
        <v>146</v>
      </c>
    </row>
    <row r="132" spans="1:3" x14ac:dyDescent="0.25">
      <c r="A132" s="4" t="s">
        <v>131</v>
      </c>
      <c r="B132" s="1" t="s">
        <v>132</v>
      </c>
    </row>
    <row r="133" spans="1:3" x14ac:dyDescent="0.25">
      <c r="A133" s="4" t="s">
        <v>147</v>
      </c>
      <c r="B133" s="1" t="s">
        <v>120</v>
      </c>
    </row>
    <row r="134" spans="1:3" x14ac:dyDescent="0.25">
      <c r="A134" s="4"/>
    </row>
    <row r="135" spans="1:3" x14ac:dyDescent="0.25">
      <c r="A135" s="4"/>
    </row>
    <row r="136" spans="1:3" x14ac:dyDescent="0.25">
      <c r="A136" s="4" t="s">
        <v>91</v>
      </c>
    </row>
    <row r="137" spans="1:3" x14ac:dyDescent="0.25">
      <c r="A137" s="4" t="s">
        <v>78</v>
      </c>
      <c r="B137" s="43">
        <f>E56</f>
        <v>47.96</v>
      </c>
      <c r="C137" s="1" t="s">
        <v>98</v>
      </c>
    </row>
    <row r="138" spans="1:3" x14ac:dyDescent="0.25">
      <c r="A138" s="4" t="s">
        <v>111</v>
      </c>
      <c r="B138" s="43">
        <f>B71</f>
        <v>20.6</v>
      </c>
      <c r="C138" s="1" t="s">
        <v>58</v>
      </c>
    </row>
    <row r="139" spans="1:3" x14ac:dyDescent="0.25">
      <c r="A139" s="4" t="s">
        <v>143</v>
      </c>
      <c r="B139" s="48">
        <v>7</v>
      </c>
      <c r="C139" s="1" t="s">
        <v>58</v>
      </c>
    </row>
    <row r="140" spans="1:3" x14ac:dyDescent="0.25">
      <c r="A140" s="4" t="s">
        <v>131</v>
      </c>
      <c r="B140" s="44">
        <f>B113</f>
        <v>16.785999999999998</v>
      </c>
      <c r="C140" s="1" t="s">
        <v>68</v>
      </c>
    </row>
    <row r="141" spans="1:3" x14ac:dyDescent="0.25">
      <c r="A141" s="4" t="s">
        <v>129</v>
      </c>
      <c r="B141" s="44">
        <f>B111</f>
        <v>11.593982399999998</v>
      </c>
      <c r="C141" s="1" t="s">
        <v>68</v>
      </c>
    </row>
    <row r="142" spans="1:3" x14ac:dyDescent="0.25">
      <c r="A142" s="4" t="s">
        <v>147</v>
      </c>
      <c r="B142" s="44">
        <f>B94</f>
        <v>123.27922857142858</v>
      </c>
      <c r="C142" s="1" t="s">
        <v>46</v>
      </c>
    </row>
    <row r="143" spans="1:3" x14ac:dyDescent="0.25">
      <c r="A143" s="4"/>
    </row>
    <row r="144" spans="1:3" x14ac:dyDescent="0.25">
      <c r="A144" s="4" t="s">
        <v>116</v>
      </c>
    </row>
    <row r="145" spans="1:4" x14ac:dyDescent="0.25">
      <c r="A145" s="4" t="s">
        <v>141</v>
      </c>
      <c r="B145" s="17">
        <f>(B138+12*B72)*B140/(B30/1000)</f>
        <v>1344.7983999999999</v>
      </c>
      <c r="C145" s="1" t="s">
        <v>148</v>
      </c>
      <c r="D145" s="1" t="s">
        <v>149</v>
      </c>
    </row>
    <row r="146" spans="1:4" x14ac:dyDescent="0.25">
      <c r="A146" s="4" t="s">
        <v>141</v>
      </c>
      <c r="B146" s="49">
        <f>0.8*B140*B142*(B138+B139)/B138</f>
        <v>2218.0379654399999</v>
      </c>
      <c r="C146" s="1" t="s">
        <v>148</v>
      </c>
      <c r="D146" s="1" t="s">
        <v>150</v>
      </c>
    </row>
    <row r="147" spans="1:4" x14ac:dyDescent="0.25">
      <c r="A147" s="4"/>
    </row>
    <row r="148" spans="1:4" x14ac:dyDescent="0.25">
      <c r="A148" s="3" t="s">
        <v>151</v>
      </c>
    </row>
    <row r="149" spans="1:4" x14ac:dyDescent="0.25">
      <c r="A149" s="4"/>
    </row>
    <row r="150" spans="1:4" x14ac:dyDescent="0.25">
      <c r="B150" s="1" t="s">
        <v>152</v>
      </c>
    </row>
    <row r="152" spans="1:4" x14ac:dyDescent="0.25">
      <c r="A152" s="4" t="s">
        <v>153</v>
      </c>
    </row>
    <row r="153" spans="1:4" x14ac:dyDescent="0.25">
      <c r="A153" s="4" t="s">
        <v>154</v>
      </c>
      <c r="B153" s="1" t="s">
        <v>155</v>
      </c>
    </row>
    <row r="154" spans="1:4" x14ac:dyDescent="0.25">
      <c r="A154" s="4" t="s">
        <v>141</v>
      </c>
      <c r="B154" s="1" t="s">
        <v>156</v>
      </c>
    </row>
    <row r="155" spans="1:4" x14ac:dyDescent="0.25">
      <c r="A155" s="4" t="s">
        <v>157</v>
      </c>
      <c r="B155" s="1" t="s">
        <v>158</v>
      </c>
    </row>
    <row r="156" spans="1:4" x14ac:dyDescent="0.25">
      <c r="A156" s="4"/>
      <c r="B156" s="1" t="s">
        <v>159</v>
      </c>
    </row>
    <row r="157" spans="1:4" x14ac:dyDescent="0.25">
      <c r="B157" s="1" t="s">
        <v>160</v>
      </c>
    </row>
    <row r="158" spans="1:4" x14ac:dyDescent="0.25">
      <c r="A158" s="4" t="s">
        <v>91</v>
      </c>
    </row>
    <row r="159" spans="1:4" x14ac:dyDescent="0.25">
      <c r="A159" s="4" t="s">
        <v>141</v>
      </c>
      <c r="B159" s="44">
        <f>B146</f>
        <v>2218.0379654399999</v>
      </c>
      <c r="C159" s="1" t="s">
        <v>148</v>
      </c>
    </row>
    <row r="160" spans="1:4" x14ac:dyDescent="0.25">
      <c r="A160" s="4" t="s">
        <v>157</v>
      </c>
      <c r="B160" s="50">
        <v>0.85</v>
      </c>
      <c r="C160" s="1" t="s">
        <v>50</v>
      </c>
    </row>
    <row r="162" spans="1:7" x14ac:dyDescent="0.25">
      <c r="A162" s="4" t="s">
        <v>116</v>
      </c>
    </row>
    <row r="163" spans="1:7" x14ac:dyDescent="0.25">
      <c r="A163" s="4" t="s">
        <v>154</v>
      </c>
      <c r="B163" s="17">
        <f>(1+B160)*B159</f>
        <v>4103.370236064</v>
      </c>
      <c r="C163" s="1" t="s">
        <v>148</v>
      </c>
      <c r="E163" s="1">
        <f>10*B163</f>
        <v>41033.702360640003</v>
      </c>
      <c r="F163" s="1">
        <f>E163/1000</f>
        <v>41.033702360640007</v>
      </c>
      <c r="G163" s="1">
        <f>F163*10/2</f>
        <v>205.16851180320003</v>
      </c>
    </row>
    <row r="164" spans="1:7" x14ac:dyDescent="0.25">
      <c r="A164" s="4"/>
    </row>
    <row r="165" spans="1:7" x14ac:dyDescent="0.25">
      <c r="A165" s="3" t="s">
        <v>161</v>
      </c>
    </row>
    <row r="167" spans="1:7" x14ac:dyDescent="0.25">
      <c r="B167" s="1" t="s">
        <v>162</v>
      </c>
    </row>
    <row r="168" spans="1:7" x14ac:dyDescent="0.25">
      <c r="B168" s="51" t="s">
        <v>163</v>
      </c>
    </row>
    <row r="169" spans="1:7" x14ac:dyDescent="0.25">
      <c r="B169" s="1" t="s">
        <v>164</v>
      </c>
    </row>
    <row r="171" spans="1:7" x14ac:dyDescent="0.25">
      <c r="B171" s="1" t="s">
        <v>165</v>
      </c>
    </row>
    <row r="172" spans="1:7" x14ac:dyDescent="0.25">
      <c r="B172" s="1" t="s">
        <v>166</v>
      </c>
    </row>
    <row r="173" spans="1:7" x14ac:dyDescent="0.25">
      <c r="B173" s="1" t="s">
        <v>167</v>
      </c>
    </row>
    <row r="175" spans="1:7" x14ac:dyDescent="0.25">
      <c r="B175" s="1" t="s">
        <v>168</v>
      </c>
    </row>
    <row r="176" spans="1:7" x14ac:dyDescent="0.25">
      <c r="B176" s="1" t="s">
        <v>169</v>
      </c>
    </row>
    <row r="177" spans="1:3" x14ac:dyDescent="0.25">
      <c r="A177" s="1" t="s">
        <v>43</v>
      </c>
    </row>
    <row r="178" spans="1:3" x14ac:dyDescent="0.25">
      <c r="A178" s="4" t="s">
        <v>170</v>
      </c>
      <c r="B178" s="18">
        <v>0.35</v>
      </c>
      <c r="C178" s="1" t="s">
        <v>46</v>
      </c>
    </row>
    <row r="179" spans="1:3" x14ac:dyDescent="0.25">
      <c r="A179" s="4" t="s">
        <v>171</v>
      </c>
      <c r="B179" s="18">
        <v>180</v>
      </c>
      <c r="C179" s="1" t="s">
        <v>172</v>
      </c>
    </row>
    <row r="181" spans="1:3" x14ac:dyDescent="0.25">
      <c r="A181" s="4" t="s">
        <v>116</v>
      </c>
    </row>
    <row r="182" spans="1:3" x14ac:dyDescent="0.25">
      <c r="A182" s="4" t="s">
        <v>173</v>
      </c>
      <c r="B182" s="19">
        <f>1/(POWER(2.71828,(0.0174*B178*B179)))</f>
        <v>0.33413864657348746</v>
      </c>
    </row>
    <row r="183" spans="1:3" x14ac:dyDescent="0.25">
      <c r="A183" s="4"/>
    </row>
    <row r="184" spans="1:3" x14ac:dyDescent="0.25">
      <c r="A184" s="3" t="s">
        <v>174</v>
      </c>
    </row>
    <row r="185" spans="1:3" x14ac:dyDescent="0.25">
      <c r="A185" s="4"/>
    </row>
    <row r="186" spans="1:3" x14ac:dyDescent="0.25">
      <c r="B186" s="1" t="s">
        <v>175</v>
      </c>
    </row>
    <row r="188" spans="1:3" x14ac:dyDescent="0.25">
      <c r="A188" s="4" t="s">
        <v>176</v>
      </c>
      <c r="B188"/>
    </row>
    <row r="189" spans="1:3" x14ac:dyDescent="0.25">
      <c r="A189" s="4" t="s">
        <v>177</v>
      </c>
      <c r="B189" s="19">
        <f>B182*B159</f>
        <v>741.13220382073337</v>
      </c>
      <c r="C189" s="1" t="s">
        <v>133</v>
      </c>
    </row>
    <row r="190" spans="1:3" x14ac:dyDescent="0.25">
      <c r="A190" s="4"/>
      <c r="B190"/>
    </row>
    <row r="191" spans="1:3" x14ac:dyDescent="0.25">
      <c r="A191" s="4" t="s">
        <v>178</v>
      </c>
      <c r="B191" s="44">
        <f>B71*1.5%</f>
        <v>0.309</v>
      </c>
      <c r="C191" s="1" t="s">
        <v>58</v>
      </c>
    </row>
    <row r="194" spans="1:4" x14ac:dyDescent="0.25">
      <c r="A194" s="3" t="s">
        <v>179</v>
      </c>
    </row>
    <row r="195" spans="1:4" x14ac:dyDescent="0.25">
      <c r="A195" s="3"/>
    </row>
    <row r="196" spans="1:4" x14ac:dyDescent="0.25">
      <c r="A196" s="3" t="s">
        <v>180</v>
      </c>
    </row>
    <row r="197" spans="1:4" x14ac:dyDescent="0.25">
      <c r="A197" s="3"/>
    </row>
    <row r="198" spans="1:4" x14ac:dyDescent="0.25">
      <c r="A198" s="3"/>
      <c r="B198" s="1" t="s">
        <v>181</v>
      </c>
      <c r="D198" s="1" t="s">
        <v>182</v>
      </c>
    </row>
    <row r="199" spans="1:4" x14ac:dyDescent="0.25">
      <c r="A199" s="3"/>
      <c r="B199" s="42" t="s">
        <v>183</v>
      </c>
      <c r="D199" s="1" t="s">
        <v>184</v>
      </c>
    </row>
    <row r="200" spans="1:4" x14ac:dyDescent="0.25">
      <c r="A200" s="3"/>
      <c r="B200" s="42"/>
    </row>
    <row r="201" spans="1:4" x14ac:dyDescent="0.25">
      <c r="A201" s="52" t="s">
        <v>185</v>
      </c>
    </row>
    <row r="202" spans="1:4" x14ac:dyDescent="0.25">
      <c r="A202" s="53" t="s">
        <v>186</v>
      </c>
      <c r="B202" s="1" t="s">
        <v>187</v>
      </c>
    </row>
    <row r="203" spans="1:4" x14ac:dyDescent="0.25">
      <c r="A203" s="4" t="s">
        <v>188</v>
      </c>
      <c r="B203" s="1" t="s">
        <v>189</v>
      </c>
    </row>
    <row r="204" spans="1:4" x14ac:dyDescent="0.25">
      <c r="A204" s="4" t="s">
        <v>190</v>
      </c>
      <c r="B204" s="1" t="s">
        <v>191</v>
      </c>
    </row>
    <row r="205" spans="1:4" x14ac:dyDescent="0.25">
      <c r="A205" s="4" t="s">
        <v>154</v>
      </c>
      <c r="B205" s="1" t="s">
        <v>192</v>
      </c>
    </row>
    <row r="206" spans="1:4" x14ac:dyDescent="0.25">
      <c r="A206" s="4" t="s">
        <v>70</v>
      </c>
      <c r="B206" s="1" t="s">
        <v>193</v>
      </c>
    </row>
    <row r="207" spans="1:4" x14ac:dyDescent="0.25">
      <c r="A207" s="4" t="s">
        <v>194</v>
      </c>
      <c r="B207" s="1" t="s">
        <v>195</v>
      </c>
    </row>
    <row r="208" spans="1:4" x14ac:dyDescent="0.25">
      <c r="A208" s="52" t="s">
        <v>43</v>
      </c>
    </row>
    <row r="209" spans="1:11" x14ac:dyDescent="0.25">
      <c r="A209" s="4" t="s">
        <v>154</v>
      </c>
      <c r="B209" s="17">
        <f>B163</f>
        <v>4103.370236064</v>
      </c>
      <c r="C209" s="1" t="s">
        <v>133</v>
      </c>
    </row>
    <row r="210" spans="1:11" x14ac:dyDescent="0.25">
      <c r="A210" s="4" t="s">
        <v>190</v>
      </c>
      <c r="B210" s="17">
        <f>W33*25.4/10</f>
        <v>55.879999999999995</v>
      </c>
      <c r="C210" s="1" t="s">
        <v>196</v>
      </c>
    </row>
    <row r="211" spans="1:11" x14ac:dyDescent="0.25">
      <c r="A211" s="4" t="s">
        <v>197</v>
      </c>
      <c r="B211" s="19">
        <f>B163</f>
        <v>4103.370236064</v>
      </c>
      <c r="C211" s="1" t="s">
        <v>133</v>
      </c>
    </row>
    <row r="213" spans="1:11" x14ac:dyDescent="0.25">
      <c r="A213" s="4" t="s">
        <v>70</v>
      </c>
      <c r="B213" s="34">
        <f>J41</f>
        <v>33</v>
      </c>
      <c r="C213" s="1" t="s">
        <v>71</v>
      </c>
    </row>
    <row r="214" spans="1:11" x14ac:dyDescent="0.25">
      <c r="A214" s="4"/>
    </row>
    <row r="215" spans="1:11" x14ac:dyDescent="0.25">
      <c r="A215" s="52" t="s">
        <v>55</v>
      </c>
    </row>
    <row r="216" spans="1:11" x14ac:dyDescent="0.25">
      <c r="A216" s="52"/>
    </row>
    <row r="217" spans="1:11" x14ac:dyDescent="0.25">
      <c r="A217" s="4" t="s">
        <v>188</v>
      </c>
      <c r="B217" s="19">
        <f>B211/B210</f>
        <v>73.431822406299219</v>
      </c>
      <c r="C217" s="1" t="s">
        <v>198</v>
      </c>
    </row>
    <row r="218" spans="1:11" x14ac:dyDescent="0.25">
      <c r="A218" s="4" t="s">
        <v>186</v>
      </c>
      <c r="B218" s="19">
        <f>B217/B213</f>
        <v>2.225206739584825</v>
      </c>
      <c r="C218" s="1" t="s">
        <v>81</v>
      </c>
    </row>
    <row r="219" spans="1:11" x14ac:dyDescent="0.25">
      <c r="A219" s="38" t="s">
        <v>199</v>
      </c>
    </row>
    <row r="220" spans="1:11" x14ac:dyDescent="0.25">
      <c r="A220" s="4" t="s">
        <v>200</v>
      </c>
      <c r="B220" s="34">
        <f>L45</f>
        <v>4</v>
      </c>
      <c r="C220" s="1" t="s">
        <v>81</v>
      </c>
      <c r="F220" s="240" t="s">
        <v>201</v>
      </c>
      <c r="G220" s="240"/>
      <c r="H220" s="240"/>
      <c r="I220" s="240"/>
      <c r="J220" s="240"/>
      <c r="K220" s="240"/>
    </row>
    <row r="221" spans="1:11" x14ac:dyDescent="0.25">
      <c r="A221" s="4" t="s">
        <v>202</v>
      </c>
      <c r="B221" s="18">
        <v>3.2</v>
      </c>
      <c r="C221" s="1" t="s">
        <v>52</v>
      </c>
    </row>
    <row r="222" spans="1:11" x14ac:dyDescent="0.25">
      <c r="A222" s="4"/>
    </row>
    <row r="223" spans="1:11" x14ac:dyDescent="0.25">
      <c r="A223" s="55" t="s">
        <v>129</v>
      </c>
      <c r="B223" s="43">
        <f>(B220*2.3*1.33+B221*2*1.33)*B210/100</f>
        <v>11.593982399999998</v>
      </c>
      <c r="C223" s="1" t="s">
        <v>203</v>
      </c>
    </row>
    <row r="224" spans="1:11" x14ac:dyDescent="0.25">
      <c r="A224" s="4"/>
    </row>
    <row r="225" spans="1:3" x14ac:dyDescent="0.25">
      <c r="A225" s="3" t="s">
        <v>204</v>
      </c>
    </row>
    <row r="227" spans="1:3" x14ac:dyDescent="0.25">
      <c r="B227" s="1" t="s">
        <v>205</v>
      </c>
    </row>
    <row r="228" spans="1:3" x14ac:dyDescent="0.25">
      <c r="B228" s="1" t="s">
        <v>206</v>
      </c>
    </row>
    <row r="229" spans="1:3" x14ac:dyDescent="0.25">
      <c r="A229" s="1" t="s">
        <v>207</v>
      </c>
    </row>
    <row r="230" spans="1:3" x14ac:dyDescent="0.25">
      <c r="A230" s="4" t="s">
        <v>197</v>
      </c>
      <c r="B230" s="19">
        <f>B211</f>
        <v>4103.370236064</v>
      </c>
      <c r="C230" s="1" t="s">
        <v>133</v>
      </c>
    </row>
    <row r="231" spans="1:3" x14ac:dyDescent="0.25">
      <c r="A231" s="4" t="s">
        <v>190</v>
      </c>
      <c r="B231" s="19">
        <f>B210</f>
        <v>55.879999999999995</v>
      </c>
      <c r="C231" s="1" t="s">
        <v>196</v>
      </c>
    </row>
    <row r="232" spans="1:3" x14ac:dyDescent="0.25">
      <c r="A232" s="4" t="s">
        <v>208</v>
      </c>
      <c r="B232" s="19">
        <f>B220</f>
        <v>4</v>
      </c>
      <c r="C232" s="1" t="s">
        <v>46</v>
      </c>
    </row>
    <row r="233" spans="1:3" x14ac:dyDescent="0.25">
      <c r="A233" s="4" t="s">
        <v>209</v>
      </c>
      <c r="B233" s="19">
        <f>B213</f>
        <v>33</v>
      </c>
      <c r="C233" s="1" t="s">
        <v>210</v>
      </c>
    </row>
    <row r="235" spans="1:3" x14ac:dyDescent="0.25">
      <c r="A235" s="4" t="s">
        <v>211</v>
      </c>
      <c r="B235" s="17">
        <f>B230*100/(B231*B232*B233)</f>
        <v>55.630168489620615</v>
      </c>
      <c r="C235" s="32" t="s">
        <v>212</v>
      </c>
    </row>
    <row r="236" spans="1:3" x14ac:dyDescent="0.25">
      <c r="A236" s="4"/>
    </row>
    <row r="238" spans="1:3" x14ac:dyDescent="0.25">
      <c r="A238" s="3" t="s">
        <v>213</v>
      </c>
      <c r="B238" s="3"/>
    </row>
    <row r="240" spans="1:3" x14ac:dyDescent="0.25">
      <c r="A240" s="3" t="s">
        <v>214</v>
      </c>
    </row>
    <row r="241" spans="1:2" x14ac:dyDescent="0.25">
      <c r="B241" s="1" t="s">
        <v>215</v>
      </c>
    </row>
    <row r="243" spans="1:2" ht="15" x14ac:dyDescent="0.25">
      <c r="B243" s="1" t="s">
        <v>216</v>
      </c>
    </row>
    <row r="244" spans="1:2" x14ac:dyDescent="0.25">
      <c r="B244" s="4">
        <v>2</v>
      </c>
    </row>
    <row r="246" spans="1:2" ht="15" x14ac:dyDescent="0.25">
      <c r="B246" s="1" t="s">
        <v>217</v>
      </c>
    </row>
    <row r="247" spans="1:2" x14ac:dyDescent="0.25">
      <c r="B247" s="1" t="s">
        <v>218</v>
      </c>
    </row>
    <row r="249" spans="1:2" ht="17.399999999999999" x14ac:dyDescent="0.25">
      <c r="B249" s="1" t="s">
        <v>219</v>
      </c>
    </row>
    <row r="252" spans="1:2" ht="15" x14ac:dyDescent="0.25">
      <c r="B252" s="1" t="s">
        <v>220</v>
      </c>
    </row>
    <row r="253" spans="1:2" x14ac:dyDescent="0.25">
      <c r="B253" s="1" t="s">
        <v>221</v>
      </c>
    </row>
    <row r="255" spans="1:2" x14ac:dyDescent="0.25">
      <c r="A255" s="3" t="s">
        <v>222</v>
      </c>
    </row>
    <row r="257" spans="1:2" x14ac:dyDescent="0.25">
      <c r="B257" s="1" t="s">
        <v>223</v>
      </c>
    </row>
    <row r="259" spans="1:2" ht="15" x14ac:dyDescent="0.25">
      <c r="B259" s="1" t="s">
        <v>224</v>
      </c>
    </row>
    <row r="260" spans="1:2" x14ac:dyDescent="0.25">
      <c r="B260" s="4">
        <v>2</v>
      </c>
    </row>
    <row r="262" spans="1:2" ht="15" x14ac:dyDescent="0.25">
      <c r="B262" s="1" t="s">
        <v>225</v>
      </c>
    </row>
    <row r="263" spans="1:2" x14ac:dyDescent="0.25">
      <c r="B263" s="1" t="s">
        <v>221</v>
      </c>
    </row>
    <row r="265" spans="1:2" x14ac:dyDescent="0.25">
      <c r="A265" s="1" t="s">
        <v>23</v>
      </c>
    </row>
    <row r="266" spans="1:2" x14ac:dyDescent="0.25">
      <c r="B266" s="1" t="s">
        <v>226</v>
      </c>
    </row>
    <row r="267" spans="1:2" x14ac:dyDescent="0.25">
      <c r="B267" s="1" t="s">
        <v>227</v>
      </c>
    </row>
    <row r="268" spans="1:2" x14ac:dyDescent="0.25">
      <c r="B268" s="1" t="s">
        <v>228</v>
      </c>
    </row>
    <row r="269" spans="1:2" x14ac:dyDescent="0.25">
      <c r="B269" s="1" t="s">
        <v>229</v>
      </c>
    </row>
    <row r="270" spans="1:2" ht="15.6" x14ac:dyDescent="0.25">
      <c r="B270" s="52" t="s">
        <v>230</v>
      </c>
    </row>
    <row r="271" spans="1:2" x14ac:dyDescent="0.25">
      <c r="B271" s="1" t="s">
        <v>231</v>
      </c>
    </row>
    <row r="272" spans="1:2" x14ac:dyDescent="0.25">
      <c r="B272" s="1" t="s">
        <v>232</v>
      </c>
    </row>
    <row r="273" spans="1:16" x14ac:dyDescent="0.25">
      <c r="B273" s="1" t="s">
        <v>233</v>
      </c>
    </row>
    <row r="274" spans="1:16" x14ac:dyDescent="0.25">
      <c r="B274" s="1" t="s">
        <v>234</v>
      </c>
    </row>
    <row r="275" spans="1:16" x14ac:dyDescent="0.25">
      <c r="B275" s="1" t="s">
        <v>235</v>
      </c>
    </row>
    <row r="276" spans="1:16" x14ac:dyDescent="0.25">
      <c r="B276" s="1" t="s">
        <v>236</v>
      </c>
    </row>
    <row r="277" spans="1:16" x14ac:dyDescent="0.25">
      <c r="B277" s="1" t="s">
        <v>237</v>
      </c>
    </row>
    <row r="278" spans="1:16" x14ac:dyDescent="0.25">
      <c r="B278" s="1" t="s">
        <v>238</v>
      </c>
    </row>
    <row r="279" spans="1:16" x14ac:dyDescent="0.25">
      <c r="B279" s="1" t="s">
        <v>239</v>
      </c>
    </row>
    <row r="281" spans="1:16" x14ac:dyDescent="0.25">
      <c r="A281" s="3" t="s">
        <v>240</v>
      </c>
      <c r="K281" s="9" t="s">
        <v>241</v>
      </c>
      <c r="L281" s="9"/>
      <c r="O281" s="241" t="s">
        <v>242</v>
      </c>
      <c r="P281" s="241"/>
    </row>
    <row r="282" spans="1:16" ht="15.6" x14ac:dyDescent="0.3">
      <c r="A282" s="1" t="s">
        <v>243</v>
      </c>
      <c r="K282" s="9" t="s">
        <v>244</v>
      </c>
      <c r="L282" s="9" t="s">
        <v>245</v>
      </c>
      <c r="O282" s="56">
        <v>25</v>
      </c>
      <c r="P282" s="56">
        <v>140</v>
      </c>
    </row>
    <row r="283" spans="1:16" x14ac:dyDescent="0.25">
      <c r="K283" s="9">
        <v>20</v>
      </c>
      <c r="L283" s="9">
        <v>67</v>
      </c>
      <c r="O283" s="56">
        <v>30</v>
      </c>
      <c r="P283" s="56">
        <v>150</v>
      </c>
    </row>
    <row r="284" spans="1:16" x14ac:dyDescent="0.25">
      <c r="A284" s="4" t="s">
        <v>246</v>
      </c>
      <c r="B284" s="18">
        <v>195</v>
      </c>
      <c r="C284" s="1" t="s">
        <v>133</v>
      </c>
      <c r="K284" s="9">
        <v>25</v>
      </c>
      <c r="L284" s="9">
        <v>77</v>
      </c>
      <c r="O284" s="56">
        <v>35</v>
      </c>
      <c r="P284" s="56">
        <v>180</v>
      </c>
    </row>
    <row r="285" spans="1:16" ht="14.4" x14ac:dyDescent="0.3">
      <c r="A285" s="4" t="s">
        <v>247</v>
      </c>
      <c r="B285" s="57">
        <f>(VLOOKUP(D26,P11:AC31,14,)+I298/2)/10-6</f>
        <v>16</v>
      </c>
      <c r="C285" s="1" t="s">
        <v>196</v>
      </c>
      <c r="K285" s="9">
        <v>30</v>
      </c>
      <c r="L285" s="9">
        <v>82</v>
      </c>
      <c r="O285" s="56">
        <v>40</v>
      </c>
      <c r="P285" s="56">
        <v>210</v>
      </c>
    </row>
    <row r="286" spans="1:16" x14ac:dyDescent="0.25">
      <c r="A286" s="4" t="s">
        <v>248</v>
      </c>
      <c r="B286" s="17">
        <f>B163</f>
        <v>4103.370236064</v>
      </c>
      <c r="C286" s="1" t="s">
        <v>68</v>
      </c>
      <c r="K286" s="9">
        <v>35</v>
      </c>
      <c r="L286" s="9">
        <v>85</v>
      </c>
      <c r="O286" s="56">
        <v>45</v>
      </c>
      <c r="P286" s="56">
        <v>240</v>
      </c>
    </row>
    <row r="287" spans="1:16" x14ac:dyDescent="0.25">
      <c r="A287" s="4" t="s">
        <v>147</v>
      </c>
      <c r="B287" s="17">
        <f>B376</f>
        <v>22.5</v>
      </c>
      <c r="C287" s="1" t="s">
        <v>249</v>
      </c>
      <c r="K287" s="9">
        <v>40</v>
      </c>
      <c r="L287" s="9">
        <v>85</v>
      </c>
      <c r="O287" s="56">
        <v>50</v>
      </c>
      <c r="P287" s="56">
        <v>240</v>
      </c>
    </row>
    <row r="288" spans="1:16" x14ac:dyDescent="0.25">
      <c r="A288" s="4" t="s">
        <v>114</v>
      </c>
      <c r="B288" s="17">
        <f>B72*100</f>
        <v>62</v>
      </c>
      <c r="C288" s="1" t="s">
        <v>196</v>
      </c>
      <c r="K288" s="9">
        <v>45</v>
      </c>
      <c r="L288" s="9">
        <v>90</v>
      </c>
      <c r="O288" s="56">
        <v>55</v>
      </c>
      <c r="P288" s="56">
        <v>280</v>
      </c>
    </row>
    <row r="289" spans="1:16" x14ac:dyDescent="0.25">
      <c r="A289" s="4" t="s">
        <v>30</v>
      </c>
      <c r="B289" s="17">
        <f>B26</f>
        <v>1.52</v>
      </c>
      <c r="C289" s="1" t="s">
        <v>48</v>
      </c>
      <c r="K289" s="9">
        <v>50</v>
      </c>
      <c r="L289" s="9">
        <v>95</v>
      </c>
      <c r="O289" s="56">
        <v>60</v>
      </c>
      <c r="P289" s="56">
        <v>280</v>
      </c>
    </row>
    <row r="290" spans="1:16" x14ac:dyDescent="0.25">
      <c r="A290" s="4" t="s">
        <v>250</v>
      </c>
      <c r="B290" s="50">
        <v>2</v>
      </c>
      <c r="C290" s="1" t="s">
        <v>46</v>
      </c>
      <c r="K290" s="9">
        <v>55</v>
      </c>
      <c r="L290" s="9">
        <v>105</v>
      </c>
      <c r="O290" s="56">
        <v>65</v>
      </c>
      <c r="P290" s="56">
        <v>280</v>
      </c>
    </row>
    <row r="291" spans="1:16" x14ac:dyDescent="0.25">
      <c r="A291" s="4" t="s">
        <v>251</v>
      </c>
      <c r="B291" s="50">
        <v>1.5</v>
      </c>
      <c r="C291" s="1" t="s">
        <v>46</v>
      </c>
      <c r="K291" s="9">
        <v>60</v>
      </c>
      <c r="L291" s="9">
        <v>110</v>
      </c>
      <c r="O291" s="56">
        <v>70</v>
      </c>
      <c r="P291" s="56">
        <v>345</v>
      </c>
    </row>
    <row r="292" spans="1:16" x14ac:dyDescent="0.25">
      <c r="A292" s="4" t="s">
        <v>252</v>
      </c>
      <c r="B292" s="19">
        <f>B285*B286/2</f>
        <v>32826.961888512</v>
      </c>
      <c r="C292" s="1" t="s">
        <v>253</v>
      </c>
      <c r="K292" s="9">
        <v>65</v>
      </c>
      <c r="L292" s="9">
        <v>115</v>
      </c>
      <c r="O292" s="56">
        <v>75</v>
      </c>
      <c r="P292" s="56">
        <v>345</v>
      </c>
    </row>
    <row r="293" spans="1:16" x14ac:dyDescent="0.25">
      <c r="A293" s="4" t="s">
        <v>254</v>
      </c>
      <c r="B293" s="19">
        <f>B287*38*B288/B289</f>
        <v>34875</v>
      </c>
      <c r="C293" s="1" t="s">
        <v>253</v>
      </c>
      <c r="K293" s="9">
        <v>70</v>
      </c>
      <c r="L293" s="9">
        <v>120</v>
      </c>
      <c r="O293" s="56">
        <v>80</v>
      </c>
      <c r="P293" s="56">
        <v>405</v>
      </c>
    </row>
    <row r="294" spans="1:16" x14ac:dyDescent="0.25">
      <c r="A294" s="4" t="s">
        <v>255</v>
      </c>
      <c r="B294" s="19">
        <f>POWER((POWER(B291*B292,2)+POWER(B290*B293,2)),0.5)</f>
        <v>85379.644590306736</v>
      </c>
      <c r="C294" s="1" t="s">
        <v>253</v>
      </c>
      <c r="K294" s="9">
        <v>75</v>
      </c>
      <c r="L294" s="9">
        <v>125</v>
      </c>
      <c r="O294" s="56">
        <v>85</v>
      </c>
      <c r="P294" s="56">
        <v>405</v>
      </c>
    </row>
    <row r="295" spans="1:16" x14ac:dyDescent="0.25">
      <c r="K295" s="9">
        <v>80</v>
      </c>
      <c r="L295" s="9">
        <v>140</v>
      </c>
      <c r="O295" s="56">
        <v>90</v>
      </c>
      <c r="P295" s="56">
        <v>405</v>
      </c>
    </row>
    <row r="296" spans="1:16" x14ac:dyDescent="0.25">
      <c r="A296" s="1" t="s">
        <v>256</v>
      </c>
      <c r="D296" s="1" t="s">
        <v>257</v>
      </c>
      <c r="K296" s="9">
        <v>85</v>
      </c>
      <c r="L296" s="9">
        <v>145</v>
      </c>
      <c r="O296" s="56">
        <v>95</v>
      </c>
      <c r="P296" s="56">
        <v>405</v>
      </c>
    </row>
    <row r="297" spans="1:16" x14ac:dyDescent="0.25">
      <c r="A297" s="4" t="s">
        <v>258</v>
      </c>
      <c r="B297" s="19">
        <f>10*POWER(((16*B294)/(3.1415*560)),1/3)</f>
        <v>91.914298735643541</v>
      </c>
      <c r="C297" s="1" t="s">
        <v>52</v>
      </c>
      <c r="D297" s="4" t="s">
        <v>258</v>
      </c>
      <c r="E297" s="17">
        <f>B337</f>
        <v>125.60643862902637</v>
      </c>
      <c r="F297" s="1" t="s">
        <v>52</v>
      </c>
      <c r="H297" s="4" t="s">
        <v>259</v>
      </c>
      <c r="I297" s="19" cm="1">
        <f t="array" ref="I297">SUMPRODUCT(LARGE((K283:K311&gt;E297)*(K283:K311),COUNTIF(K283:K311,"&gt;"&amp;E297)))-O53</f>
        <v>115</v>
      </c>
      <c r="J297" s="1" t="s">
        <v>52</v>
      </c>
      <c r="K297" s="9">
        <v>90</v>
      </c>
      <c r="L297" s="9">
        <v>160</v>
      </c>
      <c r="O297" s="56">
        <v>100</v>
      </c>
      <c r="P297" s="56">
        <v>485</v>
      </c>
    </row>
    <row r="298" spans="1:16" x14ac:dyDescent="0.25">
      <c r="A298" s="1" t="s">
        <v>199</v>
      </c>
      <c r="H298" s="4" t="s">
        <v>260</v>
      </c>
      <c r="I298" s="18">
        <v>190</v>
      </c>
      <c r="J298" s="1" t="s">
        <v>52</v>
      </c>
      <c r="K298" s="9">
        <v>100</v>
      </c>
      <c r="L298" s="9">
        <v>175</v>
      </c>
      <c r="O298" s="56">
        <v>105</v>
      </c>
      <c r="P298" s="56">
        <v>485</v>
      </c>
    </row>
    <row r="299" spans="1:16" x14ac:dyDescent="0.25">
      <c r="A299" s="4" t="s">
        <v>261</v>
      </c>
      <c r="B299" s="34">
        <f>ROUNDUP(E297/12.7,0)/2*25.4</f>
        <v>127</v>
      </c>
      <c r="C299" s="1" t="s">
        <v>52</v>
      </c>
      <c r="E299" s="1">
        <f>B329*10+VLOOKUP(I297-15,K283:L311,2,)+I297/2+P313</f>
        <v>1666.5</v>
      </c>
      <c r="F299" s="1" t="s">
        <v>52</v>
      </c>
      <c r="K299" s="9">
        <v>110</v>
      </c>
      <c r="L299" s="9">
        <v>185</v>
      </c>
      <c r="O299" s="56">
        <v>110</v>
      </c>
      <c r="P299" s="56">
        <v>580</v>
      </c>
    </row>
    <row r="300" spans="1:16" x14ac:dyDescent="0.25">
      <c r="K300" s="9">
        <v>115</v>
      </c>
      <c r="L300" s="9">
        <v>190</v>
      </c>
      <c r="O300" s="56">
        <v>115</v>
      </c>
      <c r="P300" s="56">
        <v>580</v>
      </c>
    </row>
    <row r="301" spans="1:16" x14ac:dyDescent="0.25">
      <c r="A301" s="3" t="s">
        <v>262</v>
      </c>
      <c r="E301" s="30">
        <f>(((B299/100)*(B299/100)*3.1415/4)*E299/100)*7.9</f>
        <v>166.76961414155625</v>
      </c>
      <c r="F301" s="1" t="s">
        <v>68</v>
      </c>
      <c r="K301" s="9">
        <v>125</v>
      </c>
      <c r="L301" s="9">
        <v>205</v>
      </c>
      <c r="O301" s="56">
        <v>120</v>
      </c>
      <c r="P301" s="56">
        <v>580</v>
      </c>
    </row>
    <row r="302" spans="1:16" ht="15.6" x14ac:dyDescent="0.3">
      <c r="A302" s="1" t="s">
        <v>243</v>
      </c>
      <c r="K302" s="9">
        <v>135</v>
      </c>
      <c r="L302" s="9">
        <v>180</v>
      </c>
      <c r="O302" s="56">
        <v>125</v>
      </c>
      <c r="P302" s="56">
        <v>580</v>
      </c>
    </row>
    <row r="303" spans="1:16" x14ac:dyDescent="0.25">
      <c r="A303" s="4" t="s">
        <v>247</v>
      </c>
      <c r="B303" s="34">
        <f>B285</f>
        <v>16</v>
      </c>
      <c r="C303" s="1" t="s">
        <v>196</v>
      </c>
      <c r="K303" s="9">
        <v>140</v>
      </c>
      <c r="L303" s="9">
        <v>190</v>
      </c>
      <c r="O303" s="56">
        <v>135</v>
      </c>
      <c r="P303" s="56">
        <v>660</v>
      </c>
    </row>
    <row r="304" spans="1:16" x14ac:dyDescent="0.25">
      <c r="A304" s="4" t="s">
        <v>263</v>
      </c>
      <c r="B304" s="17">
        <f>B189</f>
        <v>741.13220382073337</v>
      </c>
      <c r="C304" s="1" t="s">
        <v>68</v>
      </c>
      <c r="K304" s="9">
        <v>150</v>
      </c>
      <c r="L304" s="9">
        <v>205</v>
      </c>
      <c r="O304" s="56">
        <v>140</v>
      </c>
      <c r="P304" s="56">
        <v>660</v>
      </c>
    </row>
    <row r="305" spans="1:16" x14ac:dyDescent="0.25">
      <c r="A305" s="4" t="s">
        <v>251</v>
      </c>
      <c r="B305" s="50">
        <v>1.5</v>
      </c>
      <c r="C305" s="1" t="s">
        <v>46</v>
      </c>
      <c r="K305" s="9">
        <v>160</v>
      </c>
      <c r="L305" s="9">
        <v>210</v>
      </c>
      <c r="O305" s="56">
        <v>150</v>
      </c>
      <c r="P305" s="56">
        <v>660</v>
      </c>
    </row>
    <row r="306" spans="1:16" x14ac:dyDescent="0.25">
      <c r="A306" s="4"/>
      <c r="H306" s="1" t="s">
        <v>264</v>
      </c>
      <c r="I306" s="18">
        <v>5</v>
      </c>
      <c r="K306" s="9">
        <v>170</v>
      </c>
      <c r="L306" s="9">
        <v>220</v>
      </c>
      <c r="O306" s="56">
        <v>170</v>
      </c>
      <c r="P306" s="56">
        <v>760</v>
      </c>
    </row>
    <row r="307" spans="1:16" x14ac:dyDescent="0.25">
      <c r="A307" s="1" t="s">
        <v>256</v>
      </c>
      <c r="D307" s="1" t="s">
        <v>257</v>
      </c>
      <c r="K307" s="9">
        <v>180</v>
      </c>
      <c r="L307" s="9">
        <v>235</v>
      </c>
      <c r="O307" s="56">
        <v>180</v>
      </c>
      <c r="P307" s="56">
        <v>760</v>
      </c>
    </row>
    <row r="308" spans="1:16" x14ac:dyDescent="0.25">
      <c r="A308" s="4" t="s">
        <v>258</v>
      </c>
      <c r="B308" s="19">
        <f>10*POWER((32*B285*B304*B305)/(3.1415*560*2),1/3)</f>
        <v>54.487967221095658</v>
      </c>
      <c r="C308" s="1" t="s">
        <v>52</v>
      </c>
      <c r="D308" s="4" t="s">
        <v>258</v>
      </c>
      <c r="E308" s="17">
        <f>B351</f>
        <v>73.391145342246531</v>
      </c>
      <c r="F308" s="1" t="s">
        <v>52</v>
      </c>
      <c r="H308" s="4" t="s">
        <v>259</v>
      </c>
      <c r="I308" s="19" cm="1">
        <f t="array" ref="I308">SUMPRODUCT(LARGE((K283:K311&gt;E308)*(K283:K311),COUNTIF(K283:K311,"&gt;"&amp;E308)))-I306</f>
        <v>70</v>
      </c>
      <c r="J308" s="1" t="s">
        <v>52</v>
      </c>
      <c r="K308" s="9">
        <v>200</v>
      </c>
      <c r="L308" s="9">
        <v>255</v>
      </c>
      <c r="O308" s="56">
        <v>200</v>
      </c>
      <c r="P308" s="56">
        <v>760</v>
      </c>
    </row>
    <row r="309" spans="1:16" x14ac:dyDescent="0.25">
      <c r="A309" s="1" t="s">
        <v>265</v>
      </c>
      <c r="K309" s="9">
        <v>220</v>
      </c>
      <c r="L309" s="9">
        <v>265</v>
      </c>
      <c r="O309" s="56">
        <v>220</v>
      </c>
      <c r="P309" s="56">
        <v>800</v>
      </c>
    </row>
    <row r="310" spans="1:16" x14ac:dyDescent="0.25">
      <c r="A310" s="4" t="s">
        <v>266</v>
      </c>
      <c r="B310" s="18">
        <f>3*25.4</f>
        <v>76.199999999999989</v>
      </c>
      <c r="C310" s="1" t="s">
        <v>52</v>
      </c>
      <c r="E310" s="1">
        <f>B329*10+VLOOKUP(I308-10,K283:L311,2,)+I308/2</f>
        <v>1094</v>
      </c>
      <c r="F310" s="1" t="s">
        <v>52</v>
      </c>
      <c r="K310" s="9">
        <v>240</v>
      </c>
      <c r="L310" s="9">
        <v>285</v>
      </c>
      <c r="O310" s="56">
        <v>240</v>
      </c>
      <c r="P310" s="56">
        <v>900</v>
      </c>
    </row>
    <row r="311" spans="1:16" x14ac:dyDescent="0.25">
      <c r="E311" s="30">
        <f>(((B310/100)*(B310/100)*3.1415/4)*E310/100)*7.9</f>
        <v>39.412268126918988</v>
      </c>
      <c r="F311" s="1" t="s">
        <v>68</v>
      </c>
      <c r="K311" s="9">
        <v>260</v>
      </c>
      <c r="L311" s="9">
        <v>295</v>
      </c>
      <c r="O311" s="56">
        <v>260</v>
      </c>
      <c r="P311" s="56">
        <v>1000</v>
      </c>
    </row>
    <row r="312" spans="1:16" x14ac:dyDescent="0.25">
      <c r="A312" s="3" t="s">
        <v>267</v>
      </c>
    </row>
    <row r="313" spans="1:16" x14ac:dyDescent="0.25">
      <c r="A313" s="3"/>
      <c r="P313" s="1">
        <f>VLOOKUP(I297-10,O282:P311,2,)</f>
        <v>485</v>
      </c>
    </row>
    <row r="314" spans="1:16" x14ac:dyDescent="0.25">
      <c r="B314" s="1" t="s">
        <v>268</v>
      </c>
    </row>
    <row r="315" spans="1:16" ht="15.6" x14ac:dyDescent="0.25">
      <c r="B315" s="52" t="s">
        <v>269</v>
      </c>
    </row>
    <row r="316" spans="1:16" x14ac:dyDescent="0.25">
      <c r="A316" s="1" t="s">
        <v>270</v>
      </c>
    </row>
    <row r="317" spans="1:16" x14ac:dyDescent="0.25">
      <c r="A317" s="4" t="s">
        <v>271</v>
      </c>
      <c r="B317" s="1" t="s">
        <v>272</v>
      </c>
    </row>
    <row r="318" spans="1:16" x14ac:dyDescent="0.25">
      <c r="A318" s="4" t="s">
        <v>248</v>
      </c>
      <c r="B318" s="1" t="s">
        <v>273</v>
      </c>
    </row>
    <row r="319" spans="1:16" x14ac:dyDescent="0.25">
      <c r="A319" s="4" t="s">
        <v>274</v>
      </c>
      <c r="B319" s="1" t="s">
        <v>275</v>
      </c>
    </row>
    <row r="320" spans="1:16" x14ac:dyDescent="0.25">
      <c r="A320" s="4" t="s">
        <v>276</v>
      </c>
      <c r="B320" s="1" t="s">
        <v>277</v>
      </c>
    </row>
    <row r="321" spans="1:11" x14ac:dyDescent="0.25">
      <c r="A321" s="4" t="s">
        <v>278</v>
      </c>
      <c r="B321" s="1" t="s">
        <v>279</v>
      </c>
    </row>
    <row r="322" spans="1:11" x14ac:dyDescent="0.25">
      <c r="A322" s="4" t="s">
        <v>280</v>
      </c>
      <c r="B322" s="1" t="s">
        <v>281</v>
      </c>
      <c r="D322" s="52"/>
    </row>
    <row r="323" spans="1:11" ht="15.6" x14ac:dyDescent="0.25">
      <c r="A323" s="4" t="s">
        <v>282</v>
      </c>
      <c r="B323" s="52" t="s">
        <v>283</v>
      </c>
    </row>
    <row r="324" spans="1:11" x14ac:dyDescent="0.25">
      <c r="A324" s="4"/>
    </row>
    <row r="325" spans="1:11" ht="13.8" x14ac:dyDescent="0.25">
      <c r="A325" s="1" t="s">
        <v>284</v>
      </c>
      <c r="I325" s="58" t="s">
        <v>285</v>
      </c>
      <c r="K325" s="58" t="s">
        <v>286</v>
      </c>
    </row>
    <row r="327" spans="1:11" x14ac:dyDescent="0.25">
      <c r="A327" s="4" t="s">
        <v>248</v>
      </c>
      <c r="B327" s="19">
        <f>B286</f>
        <v>4103.370236064</v>
      </c>
      <c r="C327" s="1" t="s">
        <v>133</v>
      </c>
    </row>
    <row r="328" spans="1:11" ht="15" x14ac:dyDescent="0.25">
      <c r="A328" s="4" t="s">
        <v>274</v>
      </c>
      <c r="B328" s="50">
        <v>1.5</v>
      </c>
      <c r="C328" s="1" t="s">
        <v>287</v>
      </c>
      <c r="K328" s="1" t="s">
        <v>288</v>
      </c>
    </row>
    <row r="329" spans="1:11" ht="14.4" x14ac:dyDescent="0.3">
      <c r="A329" s="4" t="s">
        <v>276</v>
      </c>
      <c r="B329" s="59">
        <f>(VLOOKUP(D26,P11:AD31,15,)+I298+80)/10</f>
        <v>94.9</v>
      </c>
      <c r="C329" s="1" t="s">
        <v>196</v>
      </c>
      <c r="K329" s="1" t="s">
        <v>289</v>
      </c>
    </row>
    <row r="330" spans="1:11" ht="14.4" x14ac:dyDescent="0.3">
      <c r="A330" s="4" t="s">
        <v>278</v>
      </c>
      <c r="B330" s="60">
        <f>(B210)+2</f>
        <v>57.879999999999995</v>
      </c>
      <c r="C330" s="1" t="s">
        <v>196</v>
      </c>
    </row>
    <row r="331" spans="1:11" x14ac:dyDescent="0.25">
      <c r="A331" s="4" t="s">
        <v>280</v>
      </c>
      <c r="B331" s="17">
        <f>B299/10</f>
        <v>12.7</v>
      </c>
      <c r="C331" s="1" t="s">
        <v>196</v>
      </c>
      <c r="J331" s="4" t="s">
        <v>290</v>
      </c>
      <c r="K331" s="1" t="s">
        <v>291</v>
      </c>
    </row>
    <row r="332" spans="1:11" x14ac:dyDescent="0.25">
      <c r="A332" s="4" t="s">
        <v>282</v>
      </c>
      <c r="B332" s="61">
        <v>2100000</v>
      </c>
      <c r="C332" s="1" t="s">
        <v>292</v>
      </c>
      <c r="E332" s="1" t="s">
        <v>293</v>
      </c>
      <c r="J332" s="4" t="s">
        <v>294</v>
      </c>
      <c r="K332" s="1" t="s">
        <v>295</v>
      </c>
    </row>
    <row r="333" spans="1:11" x14ac:dyDescent="0.25">
      <c r="E333" s="4">
        <v>2000</v>
      </c>
      <c r="J333" s="4" t="s">
        <v>296</v>
      </c>
      <c r="K333" s="1" t="s">
        <v>297</v>
      </c>
    </row>
    <row r="334" spans="1:11" x14ac:dyDescent="0.25">
      <c r="J334" s="4" t="s">
        <v>298</v>
      </c>
      <c r="K334" s="1" t="s">
        <v>299</v>
      </c>
    </row>
    <row r="335" spans="1:11" x14ac:dyDescent="0.25">
      <c r="A335" s="4" t="s">
        <v>271</v>
      </c>
      <c r="B335" s="61">
        <f>4*B327*B328*(B329-B330)*(2*B329*B329+2*B329*B330-B330*B330)/(3*3.1415*B332*B331*B331*B331*B331)</f>
        <v>4.5402707279239632E-2</v>
      </c>
      <c r="C335" s="1" t="s">
        <v>196</v>
      </c>
      <c r="D335" s="1" t="s">
        <v>300</v>
      </c>
      <c r="E335" s="61">
        <f>B329/E333</f>
        <v>4.7450000000000006E-2</v>
      </c>
      <c r="F335" s="1" t="s">
        <v>196</v>
      </c>
      <c r="J335" s="4" t="s">
        <v>114</v>
      </c>
      <c r="K335" s="1" t="s">
        <v>301</v>
      </c>
    </row>
    <row r="336" spans="1:11" x14ac:dyDescent="0.25">
      <c r="A336" s="4"/>
      <c r="J336" s="4"/>
    </row>
    <row r="337" spans="1:14" x14ac:dyDescent="0.25">
      <c r="A337" s="4" t="s">
        <v>280</v>
      </c>
      <c r="B337" s="17">
        <f>10*((E333*4*B327*B328*(B329-B330)*(2*B329^2+2*B329*B330-B330^2))/(3*PI()*B332*B329))^(1/4)</f>
        <v>125.60643862902637</v>
      </c>
      <c r="C337" s="1" t="s">
        <v>52</v>
      </c>
      <c r="J337" s="4" t="s">
        <v>294</v>
      </c>
      <c r="K337" s="43">
        <f>B327/B210</f>
        <v>73.431822406299219</v>
      </c>
      <c r="L337" s="1" t="s">
        <v>198</v>
      </c>
      <c r="N337" s="1" t="s">
        <v>302</v>
      </c>
    </row>
    <row r="338" spans="1:14" x14ac:dyDescent="0.25">
      <c r="J338" s="4" t="s">
        <v>296</v>
      </c>
      <c r="K338" s="50">
        <v>2.92E-2</v>
      </c>
      <c r="L338" s="1" t="s">
        <v>303</v>
      </c>
    </row>
    <row r="339" spans="1:14" x14ac:dyDescent="0.25">
      <c r="A339" s="1" t="s">
        <v>304</v>
      </c>
      <c r="J339" s="4" t="s">
        <v>298</v>
      </c>
      <c r="K339" s="50">
        <v>560</v>
      </c>
      <c r="L339" s="38" t="s">
        <v>305</v>
      </c>
    </row>
    <row r="340" spans="1:14" x14ac:dyDescent="0.25">
      <c r="J340" s="4" t="s">
        <v>306</v>
      </c>
      <c r="K340" s="17">
        <f>B288</f>
        <v>62</v>
      </c>
      <c r="L340" s="1" t="s">
        <v>307</v>
      </c>
    </row>
    <row r="341" spans="1:14" x14ac:dyDescent="0.25">
      <c r="A341" s="4" t="s">
        <v>248</v>
      </c>
      <c r="B341" s="19">
        <f>B304</f>
        <v>741.13220382073337</v>
      </c>
      <c r="C341" s="1" t="s">
        <v>133</v>
      </c>
    </row>
    <row r="342" spans="1:14" x14ac:dyDescent="0.25">
      <c r="A342" s="4" t="s">
        <v>274</v>
      </c>
      <c r="B342" s="50">
        <v>1.5</v>
      </c>
      <c r="C342" s="1" t="s">
        <v>287</v>
      </c>
      <c r="J342" s="4" t="s">
        <v>290</v>
      </c>
      <c r="K342" s="17">
        <f>10*(K338*(3*K337*K340)/K339)^0.5</f>
        <v>8.4390981433898773</v>
      </c>
      <c r="L342" s="1" t="s">
        <v>52</v>
      </c>
    </row>
    <row r="343" spans="1:14" ht="14.4" x14ac:dyDescent="0.3">
      <c r="A343" s="4" t="s">
        <v>276</v>
      </c>
      <c r="B343" s="59">
        <f>B329-4</f>
        <v>90.9</v>
      </c>
      <c r="C343" s="1" t="s">
        <v>196</v>
      </c>
    </row>
    <row r="344" spans="1:14" ht="14.4" x14ac:dyDescent="0.3">
      <c r="A344" s="4" t="s">
        <v>278</v>
      </c>
      <c r="B344" s="59">
        <f>B330</f>
        <v>57.879999999999995</v>
      </c>
      <c r="C344" s="1" t="s">
        <v>196</v>
      </c>
    </row>
    <row r="345" spans="1:14" x14ac:dyDescent="0.25">
      <c r="A345" s="4" t="s">
        <v>280</v>
      </c>
      <c r="B345" s="17">
        <f>B310/10</f>
        <v>7.6199999999999992</v>
      </c>
      <c r="C345" s="1" t="s">
        <v>196</v>
      </c>
      <c r="L345" s="62" t="s">
        <v>308</v>
      </c>
    </row>
    <row r="346" spans="1:14" x14ac:dyDescent="0.25">
      <c r="A346" s="4" t="s">
        <v>282</v>
      </c>
      <c r="B346" s="50">
        <v>2100000</v>
      </c>
      <c r="C346" s="1" t="s">
        <v>292</v>
      </c>
      <c r="E346" s="1" t="s">
        <v>309</v>
      </c>
      <c r="K346" s="1" t="s">
        <v>310</v>
      </c>
    </row>
    <row r="347" spans="1:14" x14ac:dyDescent="0.25">
      <c r="E347" s="4">
        <v>1500</v>
      </c>
      <c r="K347" s="1" t="s">
        <v>311</v>
      </c>
    </row>
    <row r="349" spans="1:14" x14ac:dyDescent="0.25">
      <c r="A349" s="4" t="s">
        <v>271</v>
      </c>
      <c r="B349" s="61">
        <f>4*B341*B342*(B343-B344)*(2*B343*B343+2*B343*B344-B344*B344)/(3*3.1415*B346*B345*B345*B345*B345)</f>
        <v>5.2148306433479452E-2</v>
      </c>
      <c r="C349" s="1" t="s">
        <v>196</v>
      </c>
      <c r="D349" s="1" t="s">
        <v>300</v>
      </c>
      <c r="E349" s="61">
        <f>B343/E347</f>
        <v>6.0600000000000001E-2</v>
      </c>
      <c r="F349" s="1" t="s">
        <v>196</v>
      </c>
      <c r="J349" s="4" t="s">
        <v>290</v>
      </c>
      <c r="K349" s="1" t="s">
        <v>312</v>
      </c>
    </row>
    <row r="350" spans="1:14" x14ac:dyDescent="0.25">
      <c r="J350" s="4" t="s">
        <v>294</v>
      </c>
      <c r="K350" s="1" t="s">
        <v>295</v>
      </c>
    </row>
    <row r="351" spans="1:14" x14ac:dyDescent="0.25">
      <c r="A351" s="4" t="s">
        <v>280</v>
      </c>
      <c r="B351" s="17">
        <f>10*((E347*4*B341*B342*(B343-B344)*(2*B343^2+2*B343*B344-B344^2))/(3*PI()*B346*B343))^(1/4)</f>
        <v>73.391145342246531</v>
      </c>
      <c r="C351" s="1" t="s">
        <v>52</v>
      </c>
      <c r="J351" s="4" t="s">
        <v>313</v>
      </c>
      <c r="K351" s="1" t="s">
        <v>314</v>
      </c>
    </row>
    <row r="352" spans="1:14" x14ac:dyDescent="0.25">
      <c r="J352" s="4" t="s">
        <v>278</v>
      </c>
      <c r="K352" s="1" t="s">
        <v>315</v>
      </c>
    </row>
    <row r="353" spans="1:15" ht="15.6" x14ac:dyDescent="0.25">
      <c r="A353" s="3" t="s">
        <v>316</v>
      </c>
      <c r="J353" s="4" t="s">
        <v>317</v>
      </c>
      <c r="K353" s="52" t="s">
        <v>283</v>
      </c>
    </row>
    <row r="355" spans="1:15" x14ac:dyDescent="0.25">
      <c r="A355" s="3"/>
      <c r="B355" s="3" t="s">
        <v>1386</v>
      </c>
      <c r="C355" s="3"/>
    </row>
    <row r="356" spans="1:15" x14ac:dyDescent="0.25">
      <c r="A356" s="3"/>
      <c r="B356" s="3"/>
      <c r="C356" s="3" t="s">
        <v>319</v>
      </c>
      <c r="J356" s="4" t="s">
        <v>290</v>
      </c>
      <c r="K356" s="44">
        <f>K342/10</f>
        <v>0.84390981433898771</v>
      </c>
      <c r="L356" s="1" t="s">
        <v>307</v>
      </c>
    </row>
    <row r="357" spans="1:15" x14ac:dyDescent="0.25">
      <c r="A357" s="52" t="s">
        <v>23</v>
      </c>
      <c r="J357" s="4" t="s">
        <v>313</v>
      </c>
      <c r="K357" s="44">
        <f>B231</f>
        <v>55.879999999999995</v>
      </c>
      <c r="L357" s="1" t="s">
        <v>307</v>
      </c>
    </row>
    <row r="358" spans="1:15" x14ac:dyDescent="0.25">
      <c r="A358" s="4" t="s">
        <v>147</v>
      </c>
      <c r="B358" s="1" t="s">
        <v>320</v>
      </c>
      <c r="J358" s="4" t="s">
        <v>321</v>
      </c>
      <c r="K358" s="43">
        <f>B395*100/2</f>
        <v>31</v>
      </c>
      <c r="L358" s="1" t="s">
        <v>307</v>
      </c>
    </row>
    <row r="359" spans="1:15" x14ac:dyDescent="0.25">
      <c r="A359" s="4" t="s">
        <v>322</v>
      </c>
      <c r="B359" s="1" t="s">
        <v>323</v>
      </c>
    </row>
    <row r="360" spans="1:15" s="3" customFormat="1" ht="14.4" x14ac:dyDescent="0.3">
      <c r="A360" s="4" t="s">
        <v>78</v>
      </c>
      <c r="B360" s="1" t="s">
        <v>79</v>
      </c>
      <c r="C360" s="1"/>
      <c r="J360" s="4" t="s">
        <v>324</v>
      </c>
      <c r="K360" s="44">
        <f>(B332*K357*K358*K356/K337)^0.25</f>
        <v>80.410410509126777</v>
      </c>
      <c r="M360" s="4" t="s">
        <v>278</v>
      </c>
      <c r="N360" s="60">
        <f>B330</f>
        <v>57.879999999999995</v>
      </c>
      <c r="O360" s="1" t="s">
        <v>196</v>
      </c>
    </row>
    <row r="361" spans="1:15" x14ac:dyDescent="0.25">
      <c r="A361" s="4" t="s">
        <v>111</v>
      </c>
      <c r="B361" s="1" t="s">
        <v>112</v>
      </c>
    </row>
    <row r="362" spans="1:15" x14ac:dyDescent="0.25">
      <c r="A362" s="4" t="s">
        <v>114</v>
      </c>
      <c r="B362" s="1" t="s">
        <v>115</v>
      </c>
      <c r="K362" s="1" t="s">
        <v>325</v>
      </c>
    </row>
    <row r="363" spans="1:15" x14ac:dyDescent="0.25">
      <c r="A363" s="4" t="s">
        <v>326</v>
      </c>
      <c r="B363" s="1" t="s">
        <v>327</v>
      </c>
    </row>
    <row r="365" spans="1:15" x14ac:dyDescent="0.25">
      <c r="A365" s="1" t="s">
        <v>91</v>
      </c>
    </row>
    <row r="366" spans="1:15" x14ac:dyDescent="0.25">
      <c r="A366" s="4" t="s">
        <v>322</v>
      </c>
      <c r="B366" s="19">
        <f>B26</f>
        <v>1.52</v>
      </c>
      <c r="C366" s="1" t="s">
        <v>48</v>
      </c>
    </row>
    <row r="367" spans="1:15" x14ac:dyDescent="0.25">
      <c r="A367" s="4" t="s">
        <v>328</v>
      </c>
      <c r="B367" s="17">
        <f>E56</f>
        <v>47.96</v>
      </c>
      <c r="C367" s="1" t="s">
        <v>98</v>
      </c>
    </row>
    <row r="368" spans="1:15" x14ac:dyDescent="0.25">
      <c r="A368" s="4" t="s">
        <v>111</v>
      </c>
      <c r="B368" s="19">
        <f>B71</f>
        <v>20.6</v>
      </c>
      <c r="C368" s="1" t="s">
        <v>58</v>
      </c>
    </row>
    <row r="369" spans="1:3" x14ac:dyDescent="0.25">
      <c r="A369" s="4" t="s">
        <v>114</v>
      </c>
      <c r="B369" s="63">
        <f>B72</f>
        <v>0.62</v>
      </c>
      <c r="C369" s="1" t="s">
        <v>58</v>
      </c>
    </row>
    <row r="370" spans="1:3" x14ac:dyDescent="0.25">
      <c r="A370" s="4" t="s">
        <v>326</v>
      </c>
      <c r="B370" s="18">
        <v>0.95</v>
      </c>
      <c r="C370" s="1" t="s">
        <v>50</v>
      </c>
    </row>
    <row r="371" spans="1:3" x14ac:dyDescent="0.25">
      <c r="A371" s="4"/>
    </row>
    <row r="372" spans="1:3" x14ac:dyDescent="0.25">
      <c r="A372" s="4" t="s">
        <v>55</v>
      </c>
    </row>
    <row r="373" spans="1:3" x14ac:dyDescent="0.25">
      <c r="A373" s="4" t="s">
        <v>147</v>
      </c>
      <c r="B373" s="44">
        <f>B366*B367*(B368+10*B369)/(75*B370)</f>
        <v>27.420330666666672</v>
      </c>
      <c r="C373" s="1" t="s">
        <v>249</v>
      </c>
    </row>
    <row r="374" spans="1:3" x14ac:dyDescent="0.25">
      <c r="A374" s="4" t="s">
        <v>329</v>
      </c>
      <c r="B374" s="18">
        <v>30</v>
      </c>
      <c r="C374" s="1" t="s">
        <v>330</v>
      </c>
    </row>
    <row r="375" spans="1:3" x14ac:dyDescent="0.25">
      <c r="A375" s="4" t="s">
        <v>331</v>
      </c>
      <c r="B375" s="19">
        <f>B374/B373</f>
        <v>1.0940787098701652</v>
      </c>
      <c r="C375" s="1" t="s">
        <v>332</v>
      </c>
    </row>
    <row r="376" spans="1:3" x14ac:dyDescent="0.25">
      <c r="A376" s="4" t="s">
        <v>147</v>
      </c>
      <c r="B376" s="19">
        <f>B374*0.75</f>
        <v>22.5</v>
      </c>
      <c r="C376" s="1" t="s">
        <v>333</v>
      </c>
    </row>
    <row r="379" spans="1:3" x14ac:dyDescent="0.25">
      <c r="A379" s="3" t="s">
        <v>334</v>
      </c>
    </row>
    <row r="380" spans="1:3" x14ac:dyDescent="0.25">
      <c r="A380" s="3"/>
    </row>
    <row r="381" spans="1:3" x14ac:dyDescent="0.25">
      <c r="B381" s="52" t="s">
        <v>335</v>
      </c>
    </row>
    <row r="382" spans="1:3" x14ac:dyDescent="0.25">
      <c r="B382" s="52" t="s">
        <v>336</v>
      </c>
    </row>
    <row r="384" spans="1:3" x14ac:dyDescent="0.25">
      <c r="B384" s="52" t="s">
        <v>337</v>
      </c>
    </row>
    <row r="385" spans="1:3" x14ac:dyDescent="0.25">
      <c r="B385" s="52" t="s">
        <v>338</v>
      </c>
    </row>
    <row r="386" spans="1:3" x14ac:dyDescent="0.25">
      <c r="A386" s="52" t="s">
        <v>23</v>
      </c>
    </row>
    <row r="387" spans="1:3" x14ac:dyDescent="0.25">
      <c r="B387" s="1" t="s">
        <v>339</v>
      </c>
    </row>
    <row r="388" spans="1:3" x14ac:dyDescent="0.25">
      <c r="B388" s="1" t="s">
        <v>340</v>
      </c>
      <c r="C388" s="64"/>
    </row>
    <row r="389" spans="1:3" x14ac:dyDescent="0.25">
      <c r="B389" s="1" t="s">
        <v>341</v>
      </c>
    </row>
    <row r="390" spans="1:3" x14ac:dyDescent="0.25">
      <c r="B390" s="1" t="s">
        <v>342</v>
      </c>
      <c r="C390" s="64"/>
    </row>
    <row r="391" spans="1:3" x14ac:dyDescent="0.25">
      <c r="B391" s="1" t="s">
        <v>343</v>
      </c>
      <c r="C391" s="64"/>
    </row>
    <row r="392" spans="1:3" x14ac:dyDescent="0.25">
      <c r="B392" s="64"/>
    </row>
    <row r="393" spans="1:3" x14ac:dyDescent="0.25">
      <c r="A393" s="1" t="s">
        <v>344</v>
      </c>
      <c r="B393" s="64"/>
    </row>
    <row r="394" spans="1:3" x14ac:dyDescent="0.25">
      <c r="A394" s="4" t="s">
        <v>345</v>
      </c>
      <c r="B394" s="17">
        <f>(POWER(((6.56-((100-B235)/40))*(2*POWER(B220,1/2)+0.0122*B213)),2))*1.05/1000</f>
        <v>0.60467352755092552</v>
      </c>
      <c r="C394" s="1" t="s">
        <v>58</v>
      </c>
    </row>
    <row r="395" spans="1:3" x14ac:dyDescent="0.25">
      <c r="A395" s="4" t="s">
        <v>114</v>
      </c>
      <c r="B395" s="17">
        <f>B369</f>
        <v>0.62</v>
      </c>
      <c r="C395" s="1" t="s">
        <v>58</v>
      </c>
    </row>
    <row r="396" spans="1:3" x14ac:dyDescent="0.25">
      <c r="A396" s="4" t="s">
        <v>26</v>
      </c>
      <c r="B396" s="17">
        <f>B366</f>
        <v>1.52</v>
      </c>
      <c r="C396" s="38" t="s">
        <v>48</v>
      </c>
    </row>
    <row r="397" spans="1:3" x14ac:dyDescent="0.25">
      <c r="A397" s="4" t="s">
        <v>346</v>
      </c>
      <c r="B397" s="18">
        <v>1750</v>
      </c>
      <c r="C397" s="38" t="s">
        <v>347</v>
      </c>
    </row>
    <row r="398" spans="1:3" x14ac:dyDescent="0.25">
      <c r="A398" s="4" t="s">
        <v>348</v>
      </c>
      <c r="B398" s="65">
        <f>B396*60/B395/3.1415</f>
        <v>46.823738403166757</v>
      </c>
      <c r="C398" s="38" t="s">
        <v>347</v>
      </c>
    </row>
    <row r="400" spans="1:3" x14ac:dyDescent="0.25">
      <c r="A400" s="1" t="s">
        <v>349</v>
      </c>
    </row>
    <row r="401" spans="1:11" x14ac:dyDescent="0.25">
      <c r="A401" s="1" t="s">
        <v>350</v>
      </c>
      <c r="B401" s="66">
        <v>1</v>
      </c>
      <c r="C401" s="65">
        <f>B397/B398</f>
        <v>37.374205043859654</v>
      </c>
      <c r="F401" s="240" t="s">
        <v>1392</v>
      </c>
      <c r="G401" s="240"/>
      <c r="H401" s="240"/>
      <c r="I401" s="240"/>
      <c r="J401" s="240"/>
      <c r="K401" s="240"/>
    </row>
    <row r="403" spans="1:11" x14ac:dyDescent="0.25">
      <c r="F403" s="242" t="s">
        <v>1394</v>
      </c>
      <c r="G403" s="243"/>
      <c r="H403" s="243"/>
      <c r="I403" s="243"/>
      <c r="J403" s="243"/>
      <c r="K403" s="244"/>
    </row>
    <row r="404" spans="1:11" x14ac:dyDescent="0.25">
      <c r="A404" s="3" t="s">
        <v>351</v>
      </c>
    </row>
    <row r="406" spans="1:11" x14ac:dyDescent="0.25">
      <c r="A406" s="3" t="s">
        <v>352</v>
      </c>
    </row>
    <row r="407" spans="1:11" ht="15" x14ac:dyDescent="0.25">
      <c r="A407" s="1" t="s">
        <v>353</v>
      </c>
    </row>
    <row r="408" spans="1:11" x14ac:dyDescent="0.25">
      <c r="A408" s="1" t="s">
        <v>354</v>
      </c>
    </row>
    <row r="409" spans="1:11" x14ac:dyDescent="0.25">
      <c r="A409" s="1" t="s">
        <v>355</v>
      </c>
    </row>
    <row r="410" spans="1:11" x14ac:dyDescent="0.25">
      <c r="B410" s="1" t="s">
        <v>356</v>
      </c>
    </row>
    <row r="411" spans="1:11" x14ac:dyDescent="0.25">
      <c r="B411" s="1" t="s">
        <v>357</v>
      </c>
    </row>
    <row r="412" spans="1:11" x14ac:dyDescent="0.25">
      <c r="B412" s="1" t="s">
        <v>358</v>
      </c>
    </row>
    <row r="413" spans="1:11" x14ac:dyDescent="0.25">
      <c r="B413" s="1" t="s">
        <v>359</v>
      </c>
    </row>
    <row r="414" spans="1:11" x14ac:dyDescent="0.25">
      <c r="B414" s="1" t="s">
        <v>360</v>
      </c>
    </row>
    <row r="415" spans="1:11" x14ac:dyDescent="0.25">
      <c r="B415" s="1" t="s">
        <v>361</v>
      </c>
    </row>
    <row r="416" spans="1:11" x14ac:dyDescent="0.25">
      <c r="A416" s="1" t="s">
        <v>55</v>
      </c>
    </row>
    <row r="418" spans="1:4" x14ac:dyDescent="0.25">
      <c r="A418" s="3" t="s">
        <v>362</v>
      </c>
    </row>
    <row r="420" spans="1:4" x14ac:dyDescent="0.25">
      <c r="A420" s="4" t="s">
        <v>278</v>
      </c>
      <c r="B420" s="67">
        <v>7030</v>
      </c>
      <c r="C420" s="1" t="s">
        <v>46</v>
      </c>
    </row>
    <row r="421" spans="1:4" x14ac:dyDescent="0.25">
      <c r="A421" s="4" t="s">
        <v>363</v>
      </c>
      <c r="B421" s="67">
        <v>1.5</v>
      </c>
      <c r="C421" s="1" t="s">
        <v>46</v>
      </c>
    </row>
    <row r="422" spans="1:4" x14ac:dyDescent="0.25">
      <c r="A422" s="4" t="s">
        <v>364</v>
      </c>
      <c r="B422" s="66">
        <f>B374</f>
        <v>30</v>
      </c>
      <c r="C422" s="1" t="s">
        <v>249</v>
      </c>
    </row>
    <row r="423" spans="1:4" x14ac:dyDescent="0.25">
      <c r="A423" s="4" t="s">
        <v>365</v>
      </c>
      <c r="B423" s="54">
        <v>1750</v>
      </c>
      <c r="C423" s="1" t="s">
        <v>347</v>
      </c>
    </row>
    <row r="425" spans="1:4" x14ac:dyDescent="0.25">
      <c r="A425" s="1" t="s">
        <v>256</v>
      </c>
      <c r="B425" s="4" t="s">
        <v>366</v>
      </c>
      <c r="C425" s="17">
        <f>B420*B421*B422/B423</f>
        <v>180.77142857142857</v>
      </c>
      <c r="D425" s="1" t="s">
        <v>367</v>
      </c>
    </row>
    <row r="427" spans="1:4" x14ac:dyDescent="0.25">
      <c r="A427" s="1" t="s">
        <v>265</v>
      </c>
      <c r="B427" s="1" t="s">
        <v>368</v>
      </c>
    </row>
    <row r="429" spans="1:4" x14ac:dyDescent="0.25">
      <c r="A429" s="3" t="s">
        <v>369</v>
      </c>
    </row>
    <row r="431" spans="1:4" x14ac:dyDescent="0.25">
      <c r="A431" s="4" t="s">
        <v>278</v>
      </c>
      <c r="B431" s="67">
        <v>7030</v>
      </c>
      <c r="C431" s="1" t="s">
        <v>46</v>
      </c>
    </row>
    <row r="432" spans="1:4" x14ac:dyDescent="0.25">
      <c r="A432" s="4" t="s">
        <v>363</v>
      </c>
      <c r="B432" s="67">
        <v>1.5</v>
      </c>
      <c r="C432" s="1" t="s">
        <v>46</v>
      </c>
    </row>
    <row r="433" spans="1:6" x14ac:dyDescent="0.25">
      <c r="A433" s="4" t="s">
        <v>364</v>
      </c>
      <c r="B433" s="66">
        <f>B422</f>
        <v>30</v>
      </c>
      <c r="C433" s="1" t="s">
        <v>249</v>
      </c>
    </row>
    <row r="434" spans="1:6" x14ac:dyDescent="0.25">
      <c r="A434" s="4" t="s">
        <v>365</v>
      </c>
      <c r="B434" s="68">
        <f>B398</f>
        <v>46.823738403166757</v>
      </c>
      <c r="C434" s="1" t="s">
        <v>347</v>
      </c>
    </row>
    <row r="435" spans="1:6" x14ac:dyDescent="0.25">
      <c r="A435" s="4"/>
    </row>
    <row r="436" spans="1:6" x14ac:dyDescent="0.25">
      <c r="A436" s="1" t="s">
        <v>256</v>
      </c>
    </row>
    <row r="438" spans="1:6" x14ac:dyDescent="0.25">
      <c r="A438" s="4" t="s">
        <v>366</v>
      </c>
      <c r="B438" s="69">
        <f>B431*B432*B433/B434</f>
        <v>6756.1884375000009</v>
      </c>
      <c r="C438" s="1" t="s">
        <v>367</v>
      </c>
      <c r="D438" s="4" t="s">
        <v>370</v>
      </c>
      <c r="E438" s="67">
        <v>6.5</v>
      </c>
      <c r="F438" s="1" t="s">
        <v>46</v>
      </c>
    </row>
    <row r="439" spans="1:6" x14ac:dyDescent="0.25">
      <c r="A439" s="4" t="s">
        <v>366</v>
      </c>
      <c r="B439" s="69">
        <f>B431*B432*B433/(9.8*B434)</f>
        <v>689.40698341836742</v>
      </c>
      <c r="C439" s="1" t="s">
        <v>371</v>
      </c>
      <c r="D439" s="4" t="s">
        <v>372</v>
      </c>
      <c r="E439" s="69">
        <f>B438*E438/15</f>
        <v>2927.6816562500007</v>
      </c>
      <c r="F439" s="1" t="s">
        <v>373</v>
      </c>
    </row>
    <row r="441" spans="1:6" x14ac:dyDescent="0.25">
      <c r="A441" s="1" t="s">
        <v>265</v>
      </c>
      <c r="B441" s="1" t="s">
        <v>374</v>
      </c>
    </row>
    <row r="443" spans="1:6" x14ac:dyDescent="0.25">
      <c r="A443" s="3" t="s">
        <v>375</v>
      </c>
    </row>
    <row r="444" spans="1:6" x14ac:dyDescent="0.25">
      <c r="A444" s="3" t="s">
        <v>376</v>
      </c>
    </row>
    <row r="446" spans="1:6" x14ac:dyDescent="0.25">
      <c r="A446" s="3" t="s">
        <v>377</v>
      </c>
    </row>
    <row r="449" spans="1:4" x14ac:dyDescent="0.25">
      <c r="B449" s="1" t="s">
        <v>378</v>
      </c>
      <c r="D449" s="70" t="s">
        <v>379</v>
      </c>
    </row>
    <row r="450" spans="1:4" x14ac:dyDescent="0.25">
      <c r="C450" s="42" t="s">
        <v>380</v>
      </c>
      <c r="D450" s="42" t="s">
        <v>381</v>
      </c>
    </row>
    <row r="452" spans="1:4" x14ac:dyDescent="0.25">
      <c r="A452" s="1" t="s">
        <v>382</v>
      </c>
    </row>
    <row r="454" spans="1:4" x14ac:dyDescent="0.25">
      <c r="B454" s="1" t="s">
        <v>383</v>
      </c>
    </row>
    <row r="455" spans="1:4" x14ac:dyDescent="0.25">
      <c r="C455" s="1" t="s">
        <v>384</v>
      </c>
    </row>
    <row r="457" spans="1:4" x14ac:dyDescent="0.25">
      <c r="A457" s="1" t="s">
        <v>385</v>
      </c>
    </row>
    <row r="459" spans="1:4" x14ac:dyDescent="0.25">
      <c r="A459" s="4" t="s">
        <v>386</v>
      </c>
      <c r="B459" s="1" t="s">
        <v>387</v>
      </c>
    </row>
    <row r="460" spans="1:4" x14ac:dyDescent="0.25">
      <c r="A460" s="4" t="s">
        <v>28</v>
      </c>
      <c r="B460" s="1" t="s">
        <v>388</v>
      </c>
    </row>
    <row r="461" spans="1:4" x14ac:dyDescent="0.25">
      <c r="A461" s="4" t="s">
        <v>248</v>
      </c>
      <c r="B461" s="1" t="s">
        <v>389</v>
      </c>
    </row>
    <row r="462" spans="1:4" x14ac:dyDescent="0.25">
      <c r="A462" s="4" t="s">
        <v>278</v>
      </c>
      <c r="B462" s="1" t="s">
        <v>390</v>
      </c>
    </row>
    <row r="464" spans="1:4" x14ac:dyDescent="0.25">
      <c r="A464" s="3" t="s">
        <v>391</v>
      </c>
    </row>
    <row r="465" spans="1:4" x14ac:dyDescent="0.25">
      <c r="B465" s="4" t="s">
        <v>386</v>
      </c>
      <c r="C465" s="18">
        <v>50000</v>
      </c>
      <c r="D465" s="1" t="s">
        <v>392</v>
      </c>
    </row>
    <row r="466" spans="1:4" x14ac:dyDescent="0.25">
      <c r="B466" s="4" t="s">
        <v>28</v>
      </c>
      <c r="C466" s="17">
        <f>B434</f>
        <v>46.823738403166757</v>
      </c>
      <c r="D466" s="1" t="s">
        <v>347</v>
      </c>
    </row>
    <row r="467" spans="1:4" x14ac:dyDescent="0.25">
      <c r="B467" s="4" t="s">
        <v>248</v>
      </c>
      <c r="C467" s="69">
        <f>9.8*B327/2</f>
        <v>20106.514156713602</v>
      </c>
      <c r="D467" s="1" t="s">
        <v>393</v>
      </c>
    </row>
    <row r="468" spans="1:4" x14ac:dyDescent="0.25">
      <c r="A468" s="4" t="s">
        <v>394</v>
      </c>
      <c r="B468" s="4"/>
    </row>
    <row r="469" spans="1:4" x14ac:dyDescent="0.25">
      <c r="B469" s="4" t="s">
        <v>278</v>
      </c>
      <c r="C469" s="69">
        <f>C467*POWER((C465*C466*60/1000000),1/3)</f>
        <v>104519.95894976112</v>
      </c>
      <c r="D469" s="1" t="s">
        <v>393</v>
      </c>
    </row>
    <row r="470" spans="1:4" x14ac:dyDescent="0.25">
      <c r="B470" s="4"/>
    </row>
    <row r="472" spans="1:4" x14ac:dyDescent="0.25">
      <c r="A472" s="3" t="s">
        <v>395</v>
      </c>
    </row>
    <row r="473" spans="1:4" x14ac:dyDescent="0.25">
      <c r="B473" s="4" t="s">
        <v>386</v>
      </c>
      <c r="C473" s="18">
        <v>50000</v>
      </c>
      <c r="D473" s="1" t="s">
        <v>392</v>
      </c>
    </row>
    <row r="474" spans="1:4" x14ac:dyDescent="0.25">
      <c r="B474" s="4" t="s">
        <v>28</v>
      </c>
      <c r="C474" s="17">
        <f>C466</f>
        <v>46.823738403166757</v>
      </c>
      <c r="D474" s="1" t="s">
        <v>347</v>
      </c>
    </row>
    <row r="475" spans="1:4" x14ac:dyDescent="0.25">
      <c r="B475" s="4" t="s">
        <v>248</v>
      </c>
      <c r="C475" s="69">
        <f>9.8*B341/2</f>
        <v>3631.5477987215936</v>
      </c>
      <c r="D475" s="1" t="s">
        <v>393</v>
      </c>
    </row>
    <row r="476" spans="1:4" x14ac:dyDescent="0.25">
      <c r="A476" s="4" t="s">
        <v>394</v>
      </c>
    </row>
    <row r="477" spans="1:4" x14ac:dyDescent="0.25">
      <c r="B477" s="4" t="s">
        <v>278</v>
      </c>
      <c r="C477" s="69">
        <f>C475*POWER((C473*C474*60/1000000),1/3)</f>
        <v>18877.923039670077</v>
      </c>
      <c r="D477" s="1" t="s">
        <v>393</v>
      </c>
    </row>
    <row r="481" spans="2:2" x14ac:dyDescent="0.25">
      <c r="B481" s="1" t="s">
        <v>396</v>
      </c>
    </row>
    <row r="482" spans="2:2" x14ac:dyDescent="0.25">
      <c r="B482" s="1" t="s">
        <v>397</v>
      </c>
    </row>
    <row r="483" spans="2:2" x14ac:dyDescent="0.25">
      <c r="B483" s="1" t="s">
        <v>398</v>
      </c>
    </row>
  </sheetData>
  <mergeCells count="4">
    <mergeCell ref="F220:K220"/>
    <mergeCell ref="O281:P281"/>
    <mergeCell ref="F401:K401"/>
    <mergeCell ref="F403:K403"/>
  </mergeCells>
  <conditionalFormatting sqref="P11:P12">
    <cfRule type="expression" dxfId="27" priority="172">
      <formula>AD8&gt;0</formula>
    </cfRule>
  </conditionalFormatting>
  <conditionalFormatting sqref="P11:P31">
    <cfRule type="expression" dxfId="26" priority="171">
      <formula>$AD$11&gt;0</formula>
    </cfRule>
  </conditionalFormatting>
  <conditionalFormatting sqref="P13:P31">
    <cfRule type="expression" dxfId="25" priority="174">
      <formula>AC10&gt;0</formula>
    </cfRule>
  </conditionalFormatting>
  <conditionalFormatting sqref="Q11:R11">
    <cfRule type="expression" dxfId="24" priority="173">
      <formula>AD11&gt;0</formula>
    </cfRule>
  </conditionalFormatting>
  <conditionalFormatting sqref="Q14:T14">
    <cfRule type="expression" dxfId="23" priority="169">
      <formula>$AD$14&gt;0</formula>
    </cfRule>
  </conditionalFormatting>
  <conditionalFormatting sqref="Q15:T15">
    <cfRule type="expression" dxfId="22" priority="170">
      <formula>$AD$15&gt;0</formula>
    </cfRule>
  </conditionalFormatting>
  <conditionalFormatting sqref="Q11:AE11">
    <cfRule type="expression" dxfId="21" priority="23">
      <formula>$AD$11&gt;0</formula>
    </cfRule>
  </conditionalFormatting>
  <conditionalFormatting sqref="Q12:AE12">
    <cfRule type="expression" dxfId="20" priority="21">
      <formula>$AD$12&gt;0</formula>
    </cfRule>
  </conditionalFormatting>
  <conditionalFormatting sqref="Q13:AE13">
    <cfRule type="expression" dxfId="19" priority="20">
      <formula>$AD$13&gt;0</formula>
    </cfRule>
  </conditionalFormatting>
  <conditionalFormatting sqref="Q14:AE14">
    <cfRule type="expression" priority="19">
      <formula>$AD$14&gt;0</formula>
    </cfRule>
  </conditionalFormatting>
  <conditionalFormatting sqref="Q15:AE15">
    <cfRule type="expression" priority="18">
      <formula>$AD$15&gt;0</formula>
    </cfRule>
  </conditionalFormatting>
  <conditionalFormatting sqref="Q16:AE16">
    <cfRule type="expression" dxfId="18" priority="17">
      <formula>$AD$16&gt;0</formula>
    </cfRule>
  </conditionalFormatting>
  <conditionalFormatting sqref="Q17:AE17">
    <cfRule type="expression" dxfId="17" priority="16">
      <formula>$AD$17&gt;0</formula>
    </cfRule>
  </conditionalFormatting>
  <conditionalFormatting sqref="Q18:AE18">
    <cfRule type="expression" dxfId="16" priority="15">
      <formula>$AD$18&gt;0</formula>
    </cfRule>
  </conditionalFormatting>
  <conditionalFormatting sqref="Q19:AE19">
    <cfRule type="expression" dxfId="15" priority="14">
      <formula>$AD$19&gt;0</formula>
    </cfRule>
  </conditionalFormatting>
  <conditionalFormatting sqref="Q20:AE20">
    <cfRule type="expression" dxfId="14" priority="13">
      <formula>$AD$20&gt;0</formula>
    </cfRule>
  </conditionalFormatting>
  <conditionalFormatting sqref="Q21:AE21">
    <cfRule type="expression" dxfId="13" priority="12">
      <formula>$AD$21&gt;0</formula>
    </cfRule>
  </conditionalFormatting>
  <conditionalFormatting sqref="Q22:AE22">
    <cfRule type="expression" dxfId="12" priority="11">
      <formula>$AD$22&gt;0</formula>
    </cfRule>
  </conditionalFormatting>
  <conditionalFormatting sqref="Q23:AE23">
    <cfRule type="expression" dxfId="11" priority="22">
      <formula>$AD$23&gt;0</formula>
    </cfRule>
  </conditionalFormatting>
  <conditionalFormatting sqref="Q24:AE24">
    <cfRule type="expression" dxfId="10" priority="10">
      <formula>$AD$24&gt;0</formula>
    </cfRule>
  </conditionalFormatting>
  <conditionalFormatting sqref="Q25:AE25">
    <cfRule type="expression" dxfId="9" priority="9">
      <formula>$AD$25&gt;0</formula>
    </cfRule>
  </conditionalFormatting>
  <conditionalFormatting sqref="Q26:AE26">
    <cfRule type="expression" dxfId="8" priority="8">
      <formula>$AD$26&gt;0</formula>
    </cfRule>
  </conditionalFormatting>
  <conditionalFormatting sqref="Q27:AE27">
    <cfRule type="expression" dxfId="7" priority="7">
      <formula>$AD$27&gt;0</formula>
    </cfRule>
  </conditionalFormatting>
  <conditionalFormatting sqref="Q28:AE28">
    <cfRule type="expression" dxfId="6" priority="6">
      <formula>$AD$28&gt;0</formula>
    </cfRule>
  </conditionalFormatting>
  <conditionalFormatting sqref="Q29:AE29">
    <cfRule type="expression" dxfId="5" priority="5">
      <formula>$AD$29&gt;0</formula>
    </cfRule>
  </conditionalFormatting>
  <conditionalFormatting sqref="Q30:AE30">
    <cfRule type="expression" dxfId="4" priority="4">
      <formula>$AD$30</formula>
    </cfRule>
  </conditionalFormatting>
  <conditionalFormatting sqref="Q31:AE31">
    <cfRule type="expression" dxfId="3" priority="3">
      <formula>$AD$31</formula>
    </cfRule>
  </conditionalFormatting>
  <conditionalFormatting sqref="S11:AE11">
    <cfRule type="expression" dxfId="2" priority="24">
      <formula>AG8&gt;0</formula>
    </cfRule>
  </conditionalFormatting>
  <conditionalFormatting sqref="V14:AE14">
    <cfRule type="expression" dxfId="1" priority="1">
      <formula>$AD$14&gt;0</formula>
    </cfRule>
  </conditionalFormatting>
  <conditionalFormatting sqref="V15:AE15">
    <cfRule type="expression" dxfId="0" priority="2">
      <formula>$AD$15&gt;0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401F-5980-41E3-B6EB-D6EC9E1EA572}">
  <sheetPr>
    <tabColor theme="9" tint="0.59999389629810485"/>
  </sheetPr>
  <dimension ref="A1:U460"/>
  <sheetViews>
    <sheetView zoomScaleNormal="100" zoomScaleSheetLayoutView="100" workbookViewId="0">
      <selection activeCell="F32" sqref="F32"/>
    </sheetView>
  </sheetViews>
  <sheetFormatPr defaultColWidth="9.21875" defaultRowHeight="13.2" x14ac:dyDescent="0.25"/>
  <cols>
    <col min="1" max="1" width="3.44140625" style="167" customWidth="1"/>
    <col min="2" max="2" width="72.77734375" style="208" customWidth="1"/>
    <col min="3" max="3" width="10.77734375" style="208" customWidth="1"/>
    <col min="4" max="4" width="6.21875" style="208" customWidth="1"/>
    <col min="5" max="5" width="7.77734375" style="208" customWidth="1"/>
    <col min="6" max="6" width="5.44140625" style="208" customWidth="1"/>
    <col min="7" max="7" width="8.77734375" style="208" customWidth="1"/>
    <col min="8" max="8" width="10" style="167" customWidth="1"/>
    <col min="9" max="10" width="9.44140625" style="167" bestFit="1" customWidth="1"/>
    <col min="11" max="11" width="9.44140625" style="167" customWidth="1"/>
    <col min="12" max="12" width="9.44140625" style="167" bestFit="1" customWidth="1"/>
    <col min="13" max="13" width="10.21875" style="167" customWidth="1"/>
    <col min="14" max="16384" width="9.21875" style="167"/>
  </cols>
  <sheetData>
    <row r="1" spans="1:21" ht="17.399999999999999" x14ac:dyDescent="0.3">
      <c r="A1" s="163"/>
      <c r="B1" s="163"/>
      <c r="C1" s="163"/>
      <c r="D1" s="163"/>
      <c r="E1" s="163"/>
      <c r="F1" s="163"/>
      <c r="G1" s="164"/>
      <c r="H1" s="165"/>
      <c r="I1" s="166" t="s">
        <v>1057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</row>
    <row r="2" spans="1:21" ht="17.399999999999999" x14ac:dyDescent="0.3">
      <c r="A2" s="163"/>
      <c r="B2" s="166" t="s">
        <v>1171</v>
      </c>
      <c r="C2" s="163"/>
      <c r="D2" s="163"/>
      <c r="E2" s="163"/>
      <c r="F2" s="163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</row>
    <row r="3" spans="1:21" ht="15" x14ac:dyDescent="0.25">
      <c r="A3" s="163"/>
      <c r="B3" s="163"/>
      <c r="C3" s="163"/>
      <c r="D3" s="163"/>
      <c r="E3" s="163"/>
      <c r="F3" s="163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</row>
    <row r="4" spans="1:21" ht="15" x14ac:dyDescent="0.25">
      <c r="A4" s="163"/>
      <c r="B4" s="163"/>
      <c r="C4" s="168"/>
      <c r="D4" s="163"/>
      <c r="E4" s="163"/>
      <c r="F4" s="163"/>
      <c r="G4" s="164"/>
      <c r="H4" s="164"/>
      <c r="I4" s="169" t="s">
        <v>1059</v>
      </c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</row>
    <row r="5" spans="1:21" ht="15" x14ac:dyDescent="0.25">
      <c r="A5" s="163"/>
      <c r="B5" s="170" t="s">
        <v>1060</v>
      </c>
      <c r="C5" s="171">
        <v>140</v>
      </c>
      <c r="D5" s="163" t="s">
        <v>56</v>
      </c>
      <c r="E5" s="163"/>
      <c r="F5" s="163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</row>
    <row r="6" spans="1:21" ht="15" x14ac:dyDescent="0.25">
      <c r="A6" s="163"/>
      <c r="B6" s="170" t="s">
        <v>1061</v>
      </c>
      <c r="C6" s="171">
        <v>1</v>
      </c>
      <c r="D6" s="163" t="s">
        <v>51</v>
      </c>
      <c r="E6" s="163"/>
      <c r="F6" s="163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</row>
    <row r="7" spans="1:21" ht="15" x14ac:dyDescent="0.25">
      <c r="A7" s="163"/>
      <c r="B7" s="170" t="s">
        <v>1062</v>
      </c>
      <c r="C7" s="172">
        <f>C5*C6</f>
        <v>140</v>
      </c>
      <c r="D7" s="163" t="s">
        <v>57</v>
      </c>
      <c r="E7" s="163"/>
      <c r="F7" s="163"/>
      <c r="G7" s="164"/>
      <c r="H7" s="164"/>
      <c r="I7" s="164" t="s">
        <v>1063</v>
      </c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</row>
    <row r="8" spans="1:21" ht="15" x14ac:dyDescent="0.25">
      <c r="A8" s="163"/>
      <c r="B8" s="170" t="s">
        <v>1064</v>
      </c>
      <c r="C8" s="173">
        <v>0</v>
      </c>
      <c r="D8" s="163"/>
      <c r="E8" s="163"/>
      <c r="F8" s="163"/>
      <c r="G8" s="164"/>
      <c r="H8" s="164"/>
      <c r="I8" s="174" t="s">
        <v>1065</v>
      </c>
      <c r="J8" s="175">
        <f>C30</f>
        <v>2.7</v>
      </c>
      <c r="K8" s="164" t="s">
        <v>58</v>
      </c>
      <c r="L8" s="164"/>
      <c r="M8" s="164"/>
      <c r="N8" s="164"/>
      <c r="O8" s="164"/>
      <c r="P8" s="164"/>
      <c r="Q8" s="164"/>
      <c r="R8" s="164"/>
      <c r="S8" s="164"/>
      <c r="T8" s="164"/>
      <c r="U8" s="164"/>
    </row>
    <row r="9" spans="1:21" ht="15" x14ac:dyDescent="0.25">
      <c r="A9" s="163"/>
      <c r="B9" s="170" t="s">
        <v>1066</v>
      </c>
      <c r="C9" s="172">
        <f>(C5-C5*C8)</f>
        <v>140</v>
      </c>
      <c r="D9" s="163" t="s">
        <v>56</v>
      </c>
      <c r="E9" s="163"/>
      <c r="F9" s="163"/>
      <c r="G9" s="164"/>
      <c r="H9" s="164"/>
      <c r="I9" s="174" t="s">
        <v>306</v>
      </c>
      <c r="J9" s="175">
        <f>C28</f>
        <v>1.1000000000000001</v>
      </c>
      <c r="K9" s="164" t="s">
        <v>58</v>
      </c>
      <c r="L9" s="164"/>
      <c r="M9" s="164"/>
      <c r="N9" s="164"/>
      <c r="O9" s="164"/>
      <c r="P9" s="164"/>
      <c r="Q9" s="164"/>
      <c r="R9" s="164"/>
      <c r="S9" s="164"/>
      <c r="T9" s="164"/>
      <c r="U9" s="164"/>
    </row>
    <row r="10" spans="1:21" ht="15" x14ac:dyDescent="0.25">
      <c r="A10" s="163"/>
      <c r="B10" s="170" t="s">
        <v>1067</v>
      </c>
      <c r="C10" s="172">
        <f>C9*C6</f>
        <v>140</v>
      </c>
      <c r="D10" s="163" t="s">
        <v>57</v>
      </c>
      <c r="E10" s="163"/>
      <c r="F10" s="163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</row>
    <row r="11" spans="1:21" ht="15" x14ac:dyDescent="0.25">
      <c r="A11" s="163"/>
      <c r="B11" s="170" t="s">
        <v>1068</v>
      </c>
      <c r="C11" s="176">
        <f>100-C13</f>
        <v>2</v>
      </c>
      <c r="D11" s="163" t="s">
        <v>212</v>
      </c>
      <c r="E11" s="163"/>
      <c r="F11" s="163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</row>
    <row r="12" spans="1:21" ht="15" x14ac:dyDescent="0.25">
      <c r="A12" s="163"/>
      <c r="B12" s="170" t="s">
        <v>1069</v>
      </c>
      <c r="C12" s="172">
        <f>C10*C11/100</f>
        <v>2.8</v>
      </c>
      <c r="D12" s="163" t="s">
        <v>57</v>
      </c>
      <c r="E12" s="177"/>
      <c r="F12" s="163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</row>
    <row r="13" spans="1:21" ht="15" x14ac:dyDescent="0.25">
      <c r="A13" s="163"/>
      <c r="B13" s="170" t="s">
        <v>1070</v>
      </c>
      <c r="C13" s="178">
        <v>98</v>
      </c>
      <c r="D13" s="163" t="s">
        <v>212</v>
      </c>
      <c r="E13" s="163"/>
      <c r="F13" s="163"/>
      <c r="G13" s="164"/>
      <c r="H13" s="164"/>
      <c r="I13" s="169" t="s">
        <v>1071</v>
      </c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</row>
    <row r="14" spans="1:21" ht="15" x14ac:dyDescent="0.25">
      <c r="A14" s="163"/>
      <c r="B14" s="170" t="s">
        <v>1072</v>
      </c>
      <c r="C14" s="172">
        <f>C10*C13/100</f>
        <v>137.19999999999999</v>
      </c>
      <c r="D14" s="163" t="s">
        <v>57</v>
      </c>
      <c r="E14" s="163"/>
      <c r="F14" s="163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</row>
    <row r="15" spans="1:21" ht="15" x14ac:dyDescent="0.25">
      <c r="A15" s="163"/>
      <c r="B15" s="170" t="s">
        <v>1073</v>
      </c>
      <c r="C15" s="171">
        <v>22</v>
      </c>
      <c r="D15" s="163" t="s">
        <v>1074</v>
      </c>
      <c r="E15" s="163"/>
      <c r="F15" s="163"/>
      <c r="G15" s="164"/>
      <c r="H15" s="164"/>
      <c r="I15" s="164" t="s">
        <v>1075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</row>
    <row r="16" spans="1:21" ht="15" x14ac:dyDescent="0.25">
      <c r="A16" s="163"/>
      <c r="B16" s="170" t="s">
        <v>1076</v>
      </c>
      <c r="C16" s="171">
        <v>10</v>
      </c>
      <c r="D16" s="163" t="s">
        <v>52</v>
      </c>
      <c r="E16" s="163"/>
      <c r="F16" s="163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</row>
    <row r="17" spans="1:21" ht="30" x14ac:dyDescent="0.25">
      <c r="A17" s="163"/>
      <c r="B17" s="179" t="s">
        <v>1077</v>
      </c>
      <c r="C17" s="180">
        <f>((F43-F44)/5)*(C11-E44)+F44</f>
        <v>0.90480000000000005</v>
      </c>
      <c r="D17" s="163"/>
      <c r="E17" s="163"/>
      <c r="F17" s="163"/>
      <c r="G17" s="164"/>
      <c r="H17" s="164"/>
      <c r="I17" s="164"/>
      <c r="J17" s="164" t="s">
        <v>1078</v>
      </c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</row>
    <row r="18" spans="1:21" ht="30.75" customHeight="1" x14ac:dyDescent="0.25">
      <c r="A18" s="163"/>
      <c r="B18" s="179" t="s">
        <v>1079</v>
      </c>
      <c r="C18" s="180">
        <v>2</v>
      </c>
      <c r="D18" s="171">
        <v>90</v>
      </c>
      <c r="E18" s="163" t="s">
        <v>212</v>
      </c>
      <c r="F18" s="163"/>
      <c r="G18" s="164"/>
      <c r="H18" s="164"/>
      <c r="I18" s="164"/>
      <c r="J18" s="164" t="s">
        <v>1080</v>
      </c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</row>
    <row r="19" spans="1:21" ht="30" x14ac:dyDescent="0.25">
      <c r="A19" s="163"/>
      <c r="B19" s="179" t="s">
        <v>1081</v>
      </c>
      <c r="C19" s="171">
        <v>1.1499999999999999</v>
      </c>
      <c r="D19" s="163"/>
      <c r="E19" s="163"/>
      <c r="F19" s="163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</row>
    <row r="20" spans="1:21" ht="30" x14ac:dyDescent="0.25">
      <c r="A20" s="163"/>
      <c r="B20" s="179" t="s">
        <v>1082</v>
      </c>
      <c r="C20" s="171">
        <v>1</v>
      </c>
      <c r="D20" s="163"/>
      <c r="E20" s="163"/>
      <c r="F20" s="163"/>
      <c r="G20" s="164"/>
      <c r="H20" s="164"/>
      <c r="I20" s="164" t="s">
        <v>1083</v>
      </c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</row>
    <row r="21" spans="1:21" ht="30" x14ac:dyDescent="0.25">
      <c r="A21" s="163"/>
      <c r="B21" s="179" t="s">
        <v>1084</v>
      </c>
      <c r="C21" s="171">
        <v>1</v>
      </c>
      <c r="D21" s="163"/>
      <c r="E21" s="163"/>
      <c r="F21" s="163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</row>
    <row r="22" spans="1:21" ht="30" x14ac:dyDescent="0.25">
      <c r="A22" s="163"/>
      <c r="B22" s="179" t="s">
        <v>1085</v>
      </c>
      <c r="C22" s="171">
        <v>1</v>
      </c>
      <c r="D22" s="163"/>
      <c r="E22" s="163"/>
      <c r="F22" s="163"/>
      <c r="G22" s="164"/>
      <c r="H22" s="164"/>
      <c r="I22" s="164"/>
      <c r="J22" s="164" t="s">
        <v>1086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</row>
    <row r="23" spans="1:21" ht="30" x14ac:dyDescent="0.25">
      <c r="A23" s="163"/>
      <c r="B23" s="179" t="s">
        <v>1087</v>
      </c>
      <c r="C23" s="171">
        <v>1</v>
      </c>
      <c r="D23" s="163"/>
      <c r="E23" s="163"/>
      <c r="F23" s="163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</row>
    <row r="24" spans="1:21" ht="30" x14ac:dyDescent="0.25">
      <c r="A24" s="163"/>
      <c r="B24" s="179" t="s">
        <v>1088</v>
      </c>
      <c r="C24" s="171">
        <v>1.1000000000000001</v>
      </c>
      <c r="D24" s="163"/>
      <c r="E24" s="163"/>
      <c r="F24" s="163"/>
      <c r="G24" s="164"/>
      <c r="H24" s="164"/>
      <c r="I24" s="174" t="s">
        <v>306</v>
      </c>
      <c r="J24" s="175">
        <f>C28</f>
        <v>1.1000000000000001</v>
      </c>
      <c r="K24" s="164" t="s">
        <v>58</v>
      </c>
      <c r="L24" s="164"/>
      <c r="M24" s="164"/>
      <c r="N24" s="164"/>
      <c r="O24" s="164"/>
      <c r="P24" s="164"/>
      <c r="Q24" s="164"/>
      <c r="R24" s="164"/>
      <c r="S24" s="164"/>
      <c r="T24" s="164"/>
      <c r="U24" s="164"/>
    </row>
    <row r="25" spans="1:21" ht="15" x14ac:dyDescent="0.25">
      <c r="A25" s="163"/>
      <c r="B25" s="163"/>
      <c r="C25" s="163"/>
      <c r="D25" s="163"/>
      <c r="E25" s="163"/>
      <c r="F25" s="163"/>
      <c r="G25" s="164"/>
      <c r="H25" s="164"/>
      <c r="I25" s="174" t="s">
        <v>1089</v>
      </c>
      <c r="J25" s="181">
        <f>42.2/(J24^0.5)</f>
        <v>40.236121266163998</v>
      </c>
      <c r="K25" s="164" t="s">
        <v>347</v>
      </c>
      <c r="L25" s="164"/>
      <c r="M25" s="164"/>
      <c r="N25" s="164"/>
      <c r="O25" s="164"/>
      <c r="P25" s="164"/>
      <c r="Q25" s="164"/>
      <c r="R25" s="164"/>
      <c r="S25" s="164"/>
      <c r="T25" s="164"/>
      <c r="U25" s="164"/>
    </row>
    <row r="26" spans="1:21" ht="15" x14ac:dyDescent="0.25">
      <c r="A26" s="163"/>
      <c r="B26" s="163"/>
      <c r="C26" s="163"/>
      <c r="D26" s="163"/>
      <c r="E26" s="163"/>
      <c r="F26" s="163"/>
      <c r="G26" s="164"/>
      <c r="H26" s="164"/>
      <c r="I26" s="174"/>
      <c r="J26" s="239">
        <v>0.47499999999999998</v>
      </c>
      <c r="K26" s="164" t="s">
        <v>1090</v>
      </c>
      <c r="L26" s="164"/>
      <c r="M26" s="164"/>
      <c r="N26" s="164"/>
      <c r="O26" s="164"/>
      <c r="P26" s="164"/>
      <c r="Q26" s="164"/>
      <c r="R26" s="164"/>
      <c r="S26" s="164"/>
      <c r="T26" s="164"/>
      <c r="U26" s="164"/>
    </row>
    <row r="27" spans="1:21" ht="15" x14ac:dyDescent="0.25">
      <c r="A27" s="163"/>
      <c r="B27" s="170" t="s">
        <v>1091</v>
      </c>
      <c r="C27" s="183">
        <f>C9/(C15*C17*C18*C19*C20*C21*C22*C23*C24)</f>
        <v>2.779919639671582</v>
      </c>
      <c r="D27" s="163" t="s">
        <v>67</v>
      </c>
      <c r="E27" s="184">
        <f>C31/C27</f>
        <v>1.1187736492870082</v>
      </c>
      <c r="F27" s="163" t="s">
        <v>1092</v>
      </c>
      <c r="G27" s="164"/>
      <c r="H27" s="164"/>
      <c r="I27" s="17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</row>
    <row r="28" spans="1:21" ht="15" x14ac:dyDescent="0.25">
      <c r="A28" s="163"/>
      <c r="B28" s="170" t="s">
        <v>1093</v>
      </c>
      <c r="C28" s="171">
        <v>1.1000000000000001</v>
      </c>
      <c r="D28" s="163"/>
      <c r="E28" s="184"/>
      <c r="F28" s="163"/>
      <c r="G28" s="164"/>
      <c r="H28" s="164"/>
      <c r="I28" s="174" t="s">
        <v>1094</v>
      </c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</row>
    <row r="29" spans="1:21" ht="15" x14ac:dyDescent="0.25">
      <c r="A29" s="163"/>
      <c r="B29" s="170" t="s">
        <v>1095</v>
      </c>
      <c r="C29" s="183">
        <f>3.141516*C28</f>
        <v>3.4556676000000004</v>
      </c>
      <c r="D29" s="163" t="s">
        <v>58</v>
      </c>
      <c r="E29" s="185" t="s">
        <v>1096</v>
      </c>
      <c r="F29" s="186">
        <f>C30/C28</f>
        <v>2.4545454545454546</v>
      </c>
      <c r="G29" s="164"/>
      <c r="H29" s="164"/>
      <c r="I29" s="174" t="s">
        <v>1097</v>
      </c>
      <c r="J29" s="181">
        <f>J25*J26</f>
        <v>19.112157601427899</v>
      </c>
      <c r="K29" s="164" t="s">
        <v>1098</v>
      </c>
      <c r="L29" s="164"/>
      <c r="M29" s="164"/>
      <c r="N29" s="164"/>
      <c r="O29" s="164"/>
      <c r="P29" s="164"/>
      <c r="Q29" s="164"/>
      <c r="R29" s="164"/>
      <c r="S29" s="164"/>
      <c r="T29" s="164"/>
      <c r="U29" s="164"/>
    </row>
    <row r="30" spans="1:21" ht="15" x14ac:dyDescent="0.25">
      <c r="A30" s="163"/>
      <c r="B30" s="170" t="s">
        <v>1099</v>
      </c>
      <c r="C30" s="171">
        <v>2.7</v>
      </c>
      <c r="D30" s="163" t="s">
        <v>58</v>
      </c>
      <c r="E30" s="177"/>
      <c r="F30" s="163"/>
      <c r="G30" s="164"/>
      <c r="H30" s="164"/>
      <c r="I30" s="164"/>
      <c r="J30" s="164">
        <v>1750</v>
      </c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</row>
    <row r="31" spans="1:21" ht="15" x14ac:dyDescent="0.25">
      <c r="A31" s="163"/>
      <c r="B31" s="170" t="s">
        <v>1100</v>
      </c>
      <c r="C31" s="187">
        <f>C29*C30*1/3</f>
        <v>3.1101008400000008</v>
      </c>
      <c r="D31" s="163" t="s">
        <v>67</v>
      </c>
      <c r="E31" s="188" t="s">
        <v>1101</v>
      </c>
      <c r="F31" s="163"/>
      <c r="G31" s="164"/>
      <c r="H31" s="164"/>
      <c r="I31" s="164"/>
      <c r="J31" s="189">
        <f>J30/J29</f>
        <v>91.564753519469448</v>
      </c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</row>
    <row r="32" spans="1:21" ht="15" x14ac:dyDescent="0.25">
      <c r="A32" s="163"/>
      <c r="B32" s="163"/>
      <c r="C32" s="163"/>
      <c r="D32" s="163"/>
      <c r="E32" s="163"/>
      <c r="F32" s="163"/>
      <c r="G32" s="164"/>
      <c r="H32" s="164"/>
      <c r="I32" s="169" t="s">
        <v>1102</v>
      </c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</row>
    <row r="33" spans="1:21" ht="15" x14ac:dyDescent="0.25">
      <c r="A33" s="163"/>
      <c r="B33" s="163" t="s">
        <v>1103</v>
      </c>
      <c r="C33" s="163"/>
      <c r="D33" s="163"/>
      <c r="E33" s="163"/>
      <c r="F33" s="163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</row>
    <row r="34" spans="1:21" ht="15" x14ac:dyDescent="0.25">
      <c r="A34" s="163"/>
      <c r="B34" s="170" t="s">
        <v>1104</v>
      </c>
      <c r="C34" s="190">
        <f>C5*C11/(C6*100)</f>
        <v>2.8</v>
      </c>
      <c r="D34" s="163" t="s">
        <v>56</v>
      </c>
      <c r="E34" s="163"/>
      <c r="F34" s="163"/>
      <c r="G34" s="164"/>
      <c r="H34" s="164"/>
      <c r="I34" s="164" t="s">
        <v>1105</v>
      </c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</row>
    <row r="35" spans="1:21" ht="15" x14ac:dyDescent="0.25">
      <c r="A35" s="163"/>
      <c r="B35" s="170" t="s">
        <v>1106</v>
      </c>
      <c r="C35" s="171">
        <v>30</v>
      </c>
      <c r="D35" s="163" t="s">
        <v>431</v>
      </c>
      <c r="E35" s="163"/>
      <c r="F35" s="163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</row>
    <row r="36" spans="1:21" ht="16.2" x14ac:dyDescent="0.3">
      <c r="A36" s="163"/>
      <c r="B36" s="170" t="s">
        <v>1099</v>
      </c>
      <c r="C36" s="190">
        <f>C30</f>
        <v>2.7</v>
      </c>
      <c r="D36" s="163" t="s">
        <v>58</v>
      </c>
      <c r="E36" s="163"/>
      <c r="F36" s="163"/>
      <c r="G36" s="164"/>
      <c r="H36" s="164"/>
      <c r="I36" s="164" t="s">
        <v>1107</v>
      </c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</row>
    <row r="37" spans="1:21" ht="15" x14ac:dyDescent="0.25">
      <c r="A37" s="163"/>
      <c r="B37" s="163"/>
      <c r="C37" s="163"/>
      <c r="D37" s="163"/>
      <c r="E37" s="163"/>
      <c r="F37" s="163"/>
      <c r="G37" s="164"/>
      <c r="H37" s="164"/>
      <c r="I37" s="164" t="s">
        <v>1108</v>
      </c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</row>
    <row r="38" spans="1:21" ht="15" x14ac:dyDescent="0.25">
      <c r="A38" s="163"/>
      <c r="B38" s="191"/>
      <c r="C38" s="163"/>
      <c r="D38" s="163"/>
      <c r="E38" s="163"/>
      <c r="F38" s="163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</row>
    <row r="39" spans="1:21" ht="15" x14ac:dyDescent="0.25">
      <c r="A39" s="163"/>
      <c r="B39" s="192"/>
      <c r="C39" s="193"/>
      <c r="D39" s="193"/>
      <c r="E39" s="193"/>
      <c r="F39" s="193"/>
      <c r="G39" s="164"/>
      <c r="H39" s="164"/>
      <c r="I39" s="164" t="s">
        <v>1109</v>
      </c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</row>
    <row r="40" spans="1:21" x14ac:dyDescent="0.25"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</row>
    <row r="41" spans="1:21" x14ac:dyDescent="0.25">
      <c r="B41" s="164"/>
      <c r="C41" s="164"/>
      <c r="D41" s="164"/>
      <c r="E41" s="164"/>
      <c r="F41" s="164"/>
      <c r="G41" s="164"/>
      <c r="H41" s="164"/>
      <c r="I41" s="164" t="s">
        <v>1110</v>
      </c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</row>
    <row r="42" spans="1:21" ht="15" x14ac:dyDescent="0.25">
      <c r="B42" s="192"/>
      <c r="C42" s="245" t="s">
        <v>1111</v>
      </c>
      <c r="D42" s="245"/>
      <c r="E42" s="167"/>
      <c r="F42" s="194" t="s">
        <v>1112</v>
      </c>
      <c r="G42" s="164"/>
      <c r="H42" s="164"/>
      <c r="I42" s="164" t="s">
        <v>1113</v>
      </c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</row>
    <row r="43" spans="1:21" ht="15" x14ac:dyDescent="0.25">
      <c r="B43" s="192"/>
      <c r="C43" s="195" t="s">
        <v>1114</v>
      </c>
      <c r="D43" s="195"/>
      <c r="E43" s="196" cm="1">
        <f t="array" ref="E43">SUMPRODUCT(LARGE((C44:C63&gt;C11)*(C44:C63),COUNTIF(C44:C63,"&gt;"&amp;C11)))</f>
        <v>5</v>
      </c>
      <c r="F43" s="197">
        <f>VLOOKUP(E43,C44:D63,2,)</f>
        <v>0.91200000000000003</v>
      </c>
      <c r="G43" s="164"/>
      <c r="H43" s="164"/>
      <c r="I43" s="164" t="s">
        <v>1115</v>
      </c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</row>
    <row r="44" spans="1:21" x14ac:dyDescent="0.25">
      <c r="B44" s="164"/>
      <c r="C44" s="195">
        <v>0</v>
      </c>
      <c r="D44" s="195">
        <v>0.9</v>
      </c>
      <c r="E44" s="196">
        <f>E43-5</f>
        <v>0</v>
      </c>
      <c r="F44" s="197">
        <f>VLOOKUP(E44,C44:D63,2,)</f>
        <v>0.9</v>
      </c>
      <c r="G44" s="164"/>
      <c r="H44" s="164"/>
      <c r="I44" s="164" t="s">
        <v>1116</v>
      </c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</row>
    <row r="45" spans="1:21" x14ac:dyDescent="0.25">
      <c r="B45" s="164"/>
      <c r="C45" s="195">
        <v>5</v>
      </c>
      <c r="D45" s="195">
        <v>0.91200000000000003</v>
      </c>
      <c r="E45" s="167"/>
      <c r="F45" s="167"/>
      <c r="G45" s="164"/>
      <c r="H45" s="164"/>
      <c r="I45" s="164" t="s">
        <v>1117</v>
      </c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</row>
    <row r="46" spans="1:21" x14ac:dyDescent="0.25">
      <c r="B46" s="164"/>
      <c r="C46" s="195">
        <v>10</v>
      </c>
      <c r="D46" s="195">
        <v>0.92500000000000004</v>
      </c>
      <c r="E46" s="167"/>
      <c r="F46" s="167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</row>
    <row r="47" spans="1:21" x14ac:dyDescent="0.25">
      <c r="B47" s="164"/>
      <c r="C47" s="195">
        <v>15</v>
      </c>
      <c r="D47" s="195">
        <v>0.95</v>
      </c>
      <c r="E47" s="167"/>
      <c r="F47" s="167"/>
      <c r="G47" s="164"/>
      <c r="H47" s="164"/>
      <c r="I47" s="164" t="s">
        <v>91</v>
      </c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</row>
    <row r="48" spans="1:21" x14ac:dyDescent="0.25">
      <c r="B48" s="164"/>
      <c r="C48" s="195">
        <v>20</v>
      </c>
      <c r="D48" s="195">
        <v>0.97499999999999998</v>
      </c>
      <c r="E48" s="167"/>
      <c r="F48" s="167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</row>
    <row r="49" spans="2:21" x14ac:dyDescent="0.25">
      <c r="B49" s="164"/>
      <c r="C49" s="195">
        <v>25</v>
      </c>
      <c r="D49" s="195">
        <v>1</v>
      </c>
      <c r="E49" s="167"/>
      <c r="F49" s="167"/>
      <c r="G49" s="164"/>
      <c r="H49" s="164"/>
      <c r="I49" s="174" t="s">
        <v>613</v>
      </c>
      <c r="J49" s="175">
        <v>4</v>
      </c>
      <c r="K49" s="164" t="s">
        <v>1118</v>
      </c>
      <c r="L49" s="164"/>
      <c r="M49" s="164"/>
      <c r="N49" s="164"/>
      <c r="O49" s="164"/>
      <c r="P49" s="164"/>
      <c r="Q49" s="164"/>
      <c r="R49" s="164"/>
      <c r="S49" s="164"/>
      <c r="T49" s="164"/>
      <c r="U49" s="164"/>
    </row>
    <row r="50" spans="2:21" x14ac:dyDescent="0.25">
      <c r="B50" s="164"/>
      <c r="C50" s="195">
        <v>30</v>
      </c>
      <c r="D50" s="195">
        <v>1.02</v>
      </c>
      <c r="E50" s="167"/>
      <c r="F50" s="167"/>
      <c r="G50" s="164"/>
      <c r="H50" s="164"/>
      <c r="I50" s="174" t="s">
        <v>1119</v>
      </c>
      <c r="J50" s="175">
        <v>15</v>
      </c>
      <c r="K50" s="164" t="s">
        <v>1120</v>
      </c>
      <c r="L50" s="164"/>
      <c r="M50" s="164"/>
      <c r="N50" s="164"/>
      <c r="O50" s="164"/>
      <c r="P50" s="164"/>
      <c r="Q50" s="164"/>
      <c r="R50" s="164"/>
      <c r="S50" s="164"/>
      <c r="T50" s="164"/>
      <c r="U50" s="164"/>
    </row>
    <row r="51" spans="2:21" x14ac:dyDescent="0.25">
      <c r="B51" s="164"/>
      <c r="C51" s="195">
        <v>35</v>
      </c>
      <c r="D51" s="195">
        <v>1.06</v>
      </c>
      <c r="E51" s="167"/>
      <c r="F51" s="167"/>
      <c r="G51" s="164"/>
      <c r="H51" s="164"/>
      <c r="I51" s="174" t="s">
        <v>1121</v>
      </c>
      <c r="J51" s="181">
        <f>J29</f>
        <v>19.112157601427899</v>
      </c>
      <c r="K51" s="164" t="s">
        <v>347</v>
      </c>
      <c r="L51" s="164"/>
      <c r="M51" s="164"/>
      <c r="N51" s="164"/>
      <c r="O51" s="164"/>
      <c r="P51" s="164"/>
      <c r="Q51" s="164"/>
      <c r="R51" s="164"/>
      <c r="S51" s="164"/>
      <c r="T51" s="164"/>
      <c r="U51" s="164"/>
    </row>
    <row r="52" spans="2:21" x14ac:dyDescent="0.25">
      <c r="B52" s="164"/>
      <c r="C52" s="195">
        <v>40</v>
      </c>
      <c r="D52" s="195">
        <v>1.085</v>
      </c>
      <c r="E52" s="167"/>
      <c r="F52" s="167"/>
      <c r="G52" s="164"/>
      <c r="H52" s="164"/>
      <c r="I52" s="174" t="s">
        <v>276</v>
      </c>
      <c r="J52" s="181">
        <v>3.3</v>
      </c>
      <c r="K52" s="164" t="s">
        <v>58</v>
      </c>
      <c r="L52" s="164"/>
      <c r="M52" s="164"/>
      <c r="N52" s="164"/>
      <c r="O52" s="164"/>
      <c r="P52" s="164"/>
      <c r="Q52" s="164"/>
      <c r="R52" s="164"/>
      <c r="S52" s="164"/>
      <c r="T52" s="164"/>
      <c r="U52" s="164"/>
    </row>
    <row r="53" spans="2:21" x14ac:dyDescent="0.25">
      <c r="B53" s="164"/>
      <c r="C53" s="195">
        <v>45</v>
      </c>
      <c r="D53" s="195">
        <v>1.1200000000000001</v>
      </c>
      <c r="E53" s="167"/>
      <c r="F53" s="167"/>
      <c r="G53" s="164"/>
      <c r="H53" s="164"/>
      <c r="I53" s="174" t="s">
        <v>306</v>
      </c>
      <c r="J53" s="181">
        <v>1.3</v>
      </c>
      <c r="K53" s="164" t="s">
        <v>58</v>
      </c>
      <c r="L53" s="164"/>
      <c r="M53" s="164"/>
      <c r="N53" s="164"/>
      <c r="O53" s="164"/>
      <c r="P53" s="164"/>
      <c r="Q53" s="164"/>
      <c r="R53" s="164"/>
      <c r="S53" s="164"/>
      <c r="T53" s="164"/>
      <c r="U53" s="164"/>
    </row>
    <row r="54" spans="2:21" x14ac:dyDescent="0.25">
      <c r="B54" s="164"/>
      <c r="C54" s="195">
        <v>50</v>
      </c>
      <c r="D54" s="195">
        <v>1.1599999999999999</v>
      </c>
      <c r="E54" s="167"/>
      <c r="F54" s="167"/>
      <c r="G54" s="164"/>
      <c r="H54" s="164"/>
      <c r="I54" s="17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</row>
    <row r="55" spans="2:21" x14ac:dyDescent="0.25">
      <c r="B55" s="164"/>
      <c r="C55" s="195">
        <v>55</v>
      </c>
      <c r="D55" s="195">
        <v>1.22</v>
      </c>
      <c r="E55" s="167"/>
      <c r="F55" s="167"/>
      <c r="G55" s="164"/>
      <c r="H55" s="164"/>
      <c r="I55" s="174" t="s">
        <v>1094</v>
      </c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</row>
    <row r="56" spans="2:21" x14ac:dyDescent="0.25">
      <c r="B56" s="164"/>
      <c r="C56" s="195">
        <v>60</v>
      </c>
      <c r="D56" s="195">
        <v>1.26</v>
      </c>
      <c r="E56" s="167"/>
      <c r="F56" s="167"/>
      <c r="G56" s="164"/>
      <c r="H56" s="164"/>
      <c r="I56" s="174" t="s">
        <v>1122</v>
      </c>
      <c r="J56" s="181">
        <f>(5.13*(J50^0.5)*J52)/(J49*J53*J51)</f>
        <v>0.65972641437574175</v>
      </c>
      <c r="K56" s="164" t="s">
        <v>1123</v>
      </c>
      <c r="L56" s="164"/>
      <c r="M56" s="164"/>
      <c r="N56" s="164"/>
      <c r="O56" s="164"/>
      <c r="P56" s="164"/>
      <c r="Q56" s="164"/>
      <c r="R56" s="164"/>
      <c r="S56" s="164"/>
      <c r="T56" s="164"/>
      <c r="U56" s="164"/>
    </row>
    <row r="57" spans="2:21" x14ac:dyDescent="0.25">
      <c r="B57" s="164"/>
      <c r="C57" s="195">
        <v>65</v>
      </c>
      <c r="D57" s="195">
        <v>1.36</v>
      </c>
      <c r="E57" s="167"/>
      <c r="F57" s="167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</row>
    <row r="58" spans="2:21" x14ac:dyDescent="0.25">
      <c r="B58" s="164"/>
      <c r="C58" s="195">
        <v>70</v>
      </c>
      <c r="D58" s="195">
        <v>1.54</v>
      </c>
      <c r="E58" s="167"/>
      <c r="F58" s="167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</row>
    <row r="59" spans="2:21" x14ac:dyDescent="0.25">
      <c r="B59" s="164"/>
      <c r="C59" s="195">
        <v>75</v>
      </c>
      <c r="D59" s="195">
        <v>1.76</v>
      </c>
      <c r="E59" s="167"/>
      <c r="F59" s="167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</row>
    <row r="60" spans="2:21" x14ac:dyDescent="0.25">
      <c r="B60" s="164"/>
      <c r="C60" s="195">
        <v>80</v>
      </c>
      <c r="D60" s="195">
        <v>1.98</v>
      </c>
      <c r="E60" s="167"/>
      <c r="F60" s="167"/>
      <c r="G60" s="164"/>
      <c r="H60" s="164"/>
      <c r="I60" s="169" t="s">
        <v>1124</v>
      </c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</row>
    <row r="61" spans="2:21" x14ac:dyDescent="0.25">
      <c r="B61" s="164"/>
      <c r="C61" s="195">
        <v>85</v>
      </c>
      <c r="D61" s="195">
        <v>2.6</v>
      </c>
      <c r="E61" s="167"/>
      <c r="F61" s="167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</row>
    <row r="62" spans="2:21" x14ac:dyDescent="0.25">
      <c r="B62" s="164"/>
      <c r="C62" s="195">
        <v>90</v>
      </c>
      <c r="D62" s="195">
        <v>3.2</v>
      </c>
      <c r="E62" s="167"/>
      <c r="F62" s="167"/>
      <c r="G62" s="164"/>
      <c r="H62" s="164"/>
      <c r="I62" s="164" t="s">
        <v>1125</v>
      </c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</row>
    <row r="63" spans="2:21" x14ac:dyDescent="0.25">
      <c r="B63" s="164"/>
      <c r="C63" s="195">
        <v>95</v>
      </c>
      <c r="D63" s="195">
        <v>5</v>
      </c>
      <c r="E63" s="167"/>
      <c r="F63" s="167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</row>
    <row r="64" spans="2:21" x14ac:dyDescent="0.25">
      <c r="B64" s="164"/>
      <c r="C64" s="164"/>
      <c r="D64" s="164"/>
      <c r="E64" s="164"/>
      <c r="F64" s="164"/>
      <c r="G64" s="164"/>
      <c r="H64" s="164"/>
      <c r="I64" s="164" t="s">
        <v>1126</v>
      </c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</row>
    <row r="65" spans="2:21" x14ac:dyDescent="0.25"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</row>
    <row r="66" spans="2:21" x14ac:dyDescent="0.25">
      <c r="B66" s="164"/>
      <c r="C66" s="164"/>
      <c r="D66" s="164"/>
      <c r="E66" s="164"/>
      <c r="F66" s="164"/>
      <c r="G66" s="164"/>
      <c r="H66" s="164"/>
      <c r="I66" s="164" t="s">
        <v>1127</v>
      </c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</row>
    <row r="67" spans="2:21" x14ac:dyDescent="0.25">
      <c r="B67" s="164"/>
      <c r="C67" s="164"/>
      <c r="D67" s="164"/>
      <c r="E67" s="164"/>
      <c r="F67" s="164"/>
      <c r="G67" s="164"/>
      <c r="H67" s="164"/>
      <c r="I67" s="164"/>
      <c r="J67" s="198">
        <v>4</v>
      </c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</row>
    <row r="68" spans="2:21" x14ac:dyDescent="0.25">
      <c r="B68" s="164"/>
      <c r="C68" s="164"/>
      <c r="D68" s="164"/>
      <c r="E68" s="164"/>
      <c r="F68" s="164"/>
      <c r="G68" s="164"/>
      <c r="H68" s="164"/>
      <c r="I68" s="164"/>
      <c r="J68" s="198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</row>
    <row r="69" spans="2:21" x14ac:dyDescent="0.25">
      <c r="B69" s="164"/>
      <c r="C69" s="164"/>
      <c r="D69" s="164"/>
      <c r="E69" s="164"/>
      <c r="F69" s="164"/>
      <c r="G69" s="164"/>
      <c r="H69" s="164"/>
      <c r="I69" s="164" t="s">
        <v>1128</v>
      </c>
      <c r="J69" s="198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</row>
    <row r="70" spans="2:21" x14ac:dyDescent="0.25">
      <c r="B70" s="164"/>
      <c r="C70" s="164"/>
      <c r="D70" s="164"/>
      <c r="E70" s="164"/>
      <c r="F70" s="164"/>
      <c r="G70" s="164"/>
      <c r="H70" s="164"/>
      <c r="I70" s="174" t="s">
        <v>1129</v>
      </c>
      <c r="J70" s="181">
        <f>J8*3.1416*J9*J9/4</f>
        <v>2.5659018000000002</v>
      </c>
      <c r="K70" s="164" t="s">
        <v>1130</v>
      </c>
      <c r="L70" s="164"/>
      <c r="M70" s="164"/>
      <c r="N70" s="164"/>
      <c r="O70" s="164"/>
      <c r="P70" s="164"/>
      <c r="Q70" s="164"/>
      <c r="R70" s="164"/>
      <c r="S70" s="164"/>
      <c r="T70" s="164"/>
      <c r="U70" s="164"/>
    </row>
    <row r="71" spans="2:21" x14ac:dyDescent="0.25"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</row>
    <row r="72" spans="2:21" x14ac:dyDescent="0.25"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9" t="s">
        <v>1131</v>
      </c>
      <c r="N72" s="164"/>
      <c r="O72" s="164"/>
      <c r="P72" s="164"/>
      <c r="Q72" s="164"/>
      <c r="R72" s="164"/>
      <c r="S72" s="164"/>
      <c r="T72" s="164"/>
      <c r="U72" s="164"/>
    </row>
    <row r="73" spans="2:21" x14ac:dyDescent="0.25"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</row>
    <row r="74" spans="2:21" x14ac:dyDescent="0.25"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</row>
    <row r="75" spans="2:21" x14ac:dyDescent="0.25">
      <c r="B75" s="164"/>
      <c r="C75" s="164"/>
      <c r="D75" s="164"/>
      <c r="E75" s="164"/>
      <c r="F75" s="164"/>
      <c r="G75" s="164"/>
      <c r="H75" s="164"/>
      <c r="I75" s="164" t="s">
        <v>1132</v>
      </c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</row>
    <row r="76" spans="2:21" x14ac:dyDescent="0.25"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</row>
    <row r="77" spans="2:21" x14ac:dyDescent="0.25">
      <c r="B77" s="164"/>
      <c r="C77" s="164"/>
      <c r="D77" s="164"/>
      <c r="E77" s="164"/>
      <c r="F77" s="164"/>
      <c r="G77" s="164"/>
      <c r="H77" s="164"/>
      <c r="I77" s="199" t="s">
        <v>140</v>
      </c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</row>
    <row r="78" spans="2:21" x14ac:dyDescent="0.25"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</row>
    <row r="79" spans="2:21" x14ac:dyDescent="0.25">
      <c r="B79" s="164"/>
      <c r="C79" s="164"/>
      <c r="D79" s="164"/>
      <c r="E79" s="164"/>
      <c r="F79" s="164"/>
      <c r="G79" s="164"/>
      <c r="H79" s="164"/>
      <c r="I79" s="164" t="s">
        <v>1133</v>
      </c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</row>
    <row r="80" spans="2:21" x14ac:dyDescent="0.25">
      <c r="B80" s="164"/>
      <c r="C80" s="164"/>
      <c r="D80" s="164"/>
      <c r="E80" s="164"/>
      <c r="F80" s="164"/>
      <c r="G80" s="164"/>
      <c r="H80" s="164"/>
      <c r="I80" s="164" t="s">
        <v>1134</v>
      </c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</row>
    <row r="81" spans="2:21" x14ac:dyDescent="0.25"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</row>
    <row r="82" spans="2:21" x14ac:dyDescent="0.25">
      <c r="B82" s="164"/>
      <c r="C82" s="164"/>
      <c r="D82" s="164"/>
      <c r="E82" s="164"/>
      <c r="F82" s="164"/>
      <c r="G82" s="164"/>
      <c r="H82" s="164"/>
      <c r="I82" s="164" t="s">
        <v>1135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</row>
    <row r="83" spans="2:21" x14ac:dyDescent="0.25">
      <c r="B83" s="164"/>
      <c r="C83" s="164"/>
      <c r="D83" s="164"/>
      <c r="E83" s="164"/>
      <c r="F83" s="164"/>
      <c r="G83" s="164"/>
      <c r="H83" s="164"/>
      <c r="I83" s="164" t="s">
        <v>1136</v>
      </c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</row>
    <row r="84" spans="2:21" x14ac:dyDescent="0.25">
      <c r="B84" s="164"/>
      <c r="C84" s="164"/>
      <c r="D84" s="164"/>
      <c r="E84" s="164"/>
      <c r="F84" s="164"/>
      <c r="G84" s="164"/>
      <c r="H84" s="164"/>
      <c r="I84" s="164" t="s">
        <v>1137</v>
      </c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</row>
    <row r="85" spans="2:21" x14ac:dyDescent="0.25"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</row>
    <row r="86" spans="2:21" ht="15.6" x14ac:dyDescent="0.35">
      <c r="B86" s="164"/>
      <c r="C86" s="164"/>
      <c r="D86" s="164"/>
      <c r="E86" s="164"/>
      <c r="F86" s="164"/>
      <c r="G86" s="164"/>
      <c r="H86" s="164"/>
      <c r="I86" s="164" t="s">
        <v>1138</v>
      </c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</row>
    <row r="87" spans="2:21" x14ac:dyDescent="0.25"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</row>
    <row r="88" spans="2:21" x14ac:dyDescent="0.25">
      <c r="B88" s="164"/>
      <c r="C88" s="164"/>
      <c r="D88" s="164"/>
      <c r="E88" s="164"/>
      <c r="F88" s="164"/>
      <c r="G88" s="164"/>
      <c r="H88" s="164"/>
      <c r="I88" s="164" t="s">
        <v>1139</v>
      </c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</row>
    <row r="89" spans="2:21" x14ac:dyDescent="0.25">
      <c r="B89" s="164"/>
      <c r="C89" s="164"/>
      <c r="D89" s="164"/>
      <c r="E89" s="164"/>
      <c r="F89" s="164"/>
      <c r="G89" s="164"/>
      <c r="H89" s="164"/>
      <c r="I89" s="164" t="s">
        <v>1140</v>
      </c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</row>
    <row r="90" spans="2:21" x14ac:dyDescent="0.25"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</row>
    <row r="91" spans="2:21" x14ac:dyDescent="0.25">
      <c r="B91" s="164"/>
      <c r="C91" s="164"/>
      <c r="D91" s="164"/>
      <c r="E91" s="164"/>
      <c r="F91" s="164"/>
      <c r="G91" s="164"/>
      <c r="H91" s="164"/>
      <c r="I91" s="164" t="s">
        <v>91</v>
      </c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</row>
    <row r="92" spans="2:21" x14ac:dyDescent="0.25">
      <c r="B92" s="164"/>
      <c r="C92" s="164"/>
      <c r="D92" s="164"/>
      <c r="E92" s="164"/>
      <c r="F92" s="164"/>
      <c r="G92" s="164"/>
      <c r="H92" s="164"/>
      <c r="I92" s="174" t="s">
        <v>1141</v>
      </c>
      <c r="J92" s="175">
        <v>0.16</v>
      </c>
      <c r="K92" s="200">
        <v>0.10327</v>
      </c>
      <c r="L92" s="164" t="s">
        <v>1142</v>
      </c>
      <c r="M92" s="164"/>
      <c r="N92" s="164"/>
      <c r="O92" s="164"/>
      <c r="P92" s="164"/>
      <c r="Q92" s="164"/>
      <c r="R92" s="164"/>
      <c r="S92" s="164"/>
      <c r="T92" s="164"/>
      <c r="U92" s="164"/>
    </row>
    <row r="93" spans="2:21" x14ac:dyDescent="0.25">
      <c r="B93" s="164"/>
      <c r="C93" s="164"/>
      <c r="D93" s="164"/>
      <c r="E93" s="164"/>
      <c r="F93" s="164"/>
      <c r="G93" s="164"/>
      <c r="H93" s="164"/>
      <c r="I93" s="174" t="s">
        <v>306</v>
      </c>
      <c r="J93" s="201">
        <f>J24</f>
        <v>1.1000000000000001</v>
      </c>
      <c r="K93" s="164" t="s">
        <v>58</v>
      </c>
      <c r="L93" s="164"/>
      <c r="M93" s="164"/>
      <c r="N93" s="164"/>
      <c r="O93" s="164"/>
      <c r="P93" s="164"/>
      <c r="Q93" s="164"/>
      <c r="R93" s="164"/>
      <c r="S93" s="164"/>
      <c r="T93" s="164"/>
      <c r="U93" s="164"/>
    </row>
    <row r="94" spans="2:21" ht="15.6" x14ac:dyDescent="0.35">
      <c r="B94" s="164"/>
      <c r="C94" s="164"/>
      <c r="D94" s="164"/>
      <c r="E94" s="164"/>
      <c r="F94" s="164"/>
      <c r="G94" s="164"/>
      <c r="H94" s="164"/>
      <c r="I94" s="174" t="s">
        <v>1143</v>
      </c>
      <c r="J94" s="175">
        <v>1</v>
      </c>
      <c r="K94" s="164" t="s">
        <v>1144</v>
      </c>
      <c r="L94" s="164"/>
      <c r="M94" s="164"/>
      <c r="N94" s="164"/>
      <c r="O94" s="164"/>
      <c r="P94" s="164"/>
      <c r="Q94" s="164"/>
      <c r="R94" s="164"/>
      <c r="S94" s="164"/>
      <c r="T94" s="164"/>
      <c r="U94" s="164"/>
    </row>
    <row r="95" spans="2:21" x14ac:dyDescent="0.25">
      <c r="B95" s="164"/>
      <c r="C95" s="164"/>
      <c r="D95" s="164"/>
      <c r="E95" s="164"/>
      <c r="F95" s="164"/>
      <c r="G95" s="164"/>
      <c r="H95" s="164"/>
      <c r="I95" s="17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</row>
    <row r="96" spans="2:21" x14ac:dyDescent="0.25">
      <c r="B96" s="164"/>
      <c r="C96" s="164"/>
      <c r="D96" s="164"/>
      <c r="E96" s="164"/>
      <c r="F96" s="164"/>
      <c r="G96" s="164"/>
      <c r="H96" s="164"/>
      <c r="I96" s="164" t="s">
        <v>1128</v>
      </c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</row>
    <row r="97" spans="2:21" x14ac:dyDescent="0.25">
      <c r="B97" s="164"/>
      <c r="C97" s="164"/>
      <c r="D97" s="164"/>
      <c r="E97" s="164"/>
      <c r="F97" s="164"/>
      <c r="G97" s="164"/>
      <c r="H97" s="164"/>
      <c r="I97" s="164" t="s">
        <v>1145</v>
      </c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</row>
    <row r="98" spans="2:21" x14ac:dyDescent="0.25"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</row>
    <row r="99" spans="2:21" x14ac:dyDescent="0.25">
      <c r="B99" s="164"/>
      <c r="C99" s="164"/>
      <c r="D99" s="164"/>
      <c r="E99" s="164"/>
      <c r="F99" s="164"/>
      <c r="G99" s="164"/>
      <c r="H99" s="164"/>
      <c r="I99" s="174" t="s">
        <v>111</v>
      </c>
      <c r="J99" s="201">
        <f>J92*J93*J94</f>
        <v>0.17600000000000002</v>
      </c>
      <c r="K99" s="164" t="s">
        <v>58</v>
      </c>
      <c r="L99" s="202">
        <f>J70*1000*K92</f>
        <v>264.98067888600002</v>
      </c>
      <c r="M99" s="164" t="s">
        <v>68</v>
      </c>
      <c r="N99" s="164"/>
      <c r="O99" s="164"/>
      <c r="P99" s="164"/>
      <c r="Q99" s="164"/>
      <c r="R99" s="164"/>
      <c r="S99" s="164"/>
      <c r="T99" s="164"/>
      <c r="U99" s="164"/>
    </row>
    <row r="100" spans="2:21" x14ac:dyDescent="0.25">
      <c r="B100" s="164"/>
      <c r="C100" s="164"/>
      <c r="D100" s="164"/>
      <c r="E100" s="164"/>
      <c r="F100" s="164"/>
      <c r="G100" s="164"/>
      <c r="H100" s="164"/>
      <c r="I100" s="174"/>
      <c r="J100" s="164"/>
      <c r="K100" s="164"/>
      <c r="L100" s="202">
        <f>L99*J94</f>
        <v>264.98067888600002</v>
      </c>
      <c r="M100" s="164" t="s">
        <v>1146</v>
      </c>
      <c r="N100" s="164"/>
      <c r="O100" s="164"/>
      <c r="P100" s="164"/>
      <c r="Q100" s="164"/>
      <c r="R100" s="164"/>
      <c r="S100" s="164"/>
      <c r="T100" s="164"/>
      <c r="U100" s="164"/>
    </row>
    <row r="101" spans="2:21" x14ac:dyDescent="0.25">
      <c r="B101" s="164"/>
      <c r="C101" s="164"/>
      <c r="D101" s="164"/>
      <c r="E101" s="164"/>
      <c r="F101" s="164"/>
      <c r="G101" s="164"/>
      <c r="H101" s="164"/>
      <c r="I101" s="174"/>
      <c r="J101" s="164"/>
      <c r="K101" s="164"/>
      <c r="L101" s="202">
        <f>L100*0.5</f>
        <v>132.49033944300001</v>
      </c>
      <c r="M101" s="164"/>
      <c r="N101" s="164"/>
      <c r="O101" s="164"/>
      <c r="P101" s="164"/>
      <c r="Q101" s="164"/>
      <c r="R101" s="164"/>
      <c r="S101" s="164"/>
      <c r="T101" s="164"/>
      <c r="U101" s="164"/>
    </row>
    <row r="102" spans="2:21" x14ac:dyDescent="0.25">
      <c r="B102" s="164"/>
      <c r="C102" s="164"/>
      <c r="D102" s="164"/>
      <c r="E102" s="164"/>
      <c r="F102" s="164"/>
      <c r="G102" s="164"/>
      <c r="H102" s="169"/>
      <c r="I102" s="169" t="s">
        <v>1147</v>
      </c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</row>
    <row r="103" spans="2:21" x14ac:dyDescent="0.25">
      <c r="B103" s="164"/>
      <c r="C103" s="164"/>
      <c r="D103" s="164"/>
      <c r="E103" s="164"/>
      <c r="F103" s="164"/>
      <c r="G103" s="164"/>
      <c r="H103" s="164"/>
      <c r="I103" s="17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</row>
    <row r="104" spans="2:21" x14ac:dyDescent="0.25">
      <c r="B104" s="164"/>
      <c r="C104" s="164"/>
      <c r="D104" s="164"/>
      <c r="E104" s="164"/>
      <c r="F104" s="164"/>
      <c r="G104" s="164"/>
      <c r="H104" s="164"/>
      <c r="I104" s="164"/>
      <c r="J104" s="164" t="s">
        <v>1148</v>
      </c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</row>
    <row r="105" spans="2:21" x14ac:dyDescent="0.25"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</row>
    <row r="106" spans="2:21" x14ac:dyDescent="0.25">
      <c r="B106" s="164"/>
      <c r="C106" s="164"/>
      <c r="D106" s="164"/>
      <c r="E106" s="164"/>
      <c r="F106" s="164"/>
      <c r="G106" s="164"/>
      <c r="H106" s="164"/>
      <c r="I106" s="164" t="s">
        <v>23</v>
      </c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</row>
    <row r="107" spans="2:21" x14ac:dyDescent="0.25">
      <c r="B107" s="164"/>
      <c r="C107" s="164"/>
      <c r="D107" s="164"/>
      <c r="E107" s="164"/>
      <c r="F107" s="164"/>
      <c r="G107" s="164"/>
      <c r="H107" s="164"/>
      <c r="I107" s="164"/>
      <c r="J107" s="164" t="s">
        <v>1149</v>
      </c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</row>
    <row r="108" spans="2:21" x14ac:dyDescent="0.25">
      <c r="B108" s="164"/>
      <c r="C108" s="164"/>
      <c r="D108" s="164"/>
      <c r="E108" s="164"/>
      <c r="F108" s="164"/>
      <c r="G108" s="164"/>
      <c r="H108" s="164"/>
      <c r="I108" s="164"/>
      <c r="J108" s="164" t="s">
        <v>1150</v>
      </c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</row>
    <row r="109" spans="2:21" x14ac:dyDescent="0.25"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</row>
    <row r="110" spans="2:21" x14ac:dyDescent="0.25"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</row>
    <row r="111" spans="2:21" x14ac:dyDescent="0.25">
      <c r="B111" s="164"/>
      <c r="C111" s="164"/>
      <c r="D111" s="164"/>
      <c r="E111" s="164"/>
      <c r="F111" s="164"/>
      <c r="G111" s="164"/>
      <c r="H111" s="164"/>
      <c r="I111" s="169" t="s">
        <v>1151</v>
      </c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</row>
    <row r="112" spans="2:21" x14ac:dyDescent="0.25"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</row>
    <row r="113" spans="2:21" ht="18" x14ac:dyDescent="0.4">
      <c r="B113" s="164"/>
      <c r="C113" s="164"/>
      <c r="D113" s="164"/>
      <c r="E113" s="164"/>
      <c r="F113" s="164"/>
      <c r="G113" s="164"/>
      <c r="H113" s="164"/>
      <c r="I113" s="193" t="s">
        <v>1152</v>
      </c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</row>
    <row r="114" spans="2:21" x14ac:dyDescent="0.25"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</row>
    <row r="115" spans="2:21" x14ac:dyDescent="0.25">
      <c r="B115" s="164"/>
      <c r="C115" s="164"/>
      <c r="D115" s="164"/>
      <c r="E115" s="164"/>
      <c r="F115" s="164"/>
      <c r="G115" s="164"/>
      <c r="H115" s="164"/>
      <c r="I115" s="164" t="s">
        <v>1153</v>
      </c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</row>
    <row r="116" spans="2:21" x14ac:dyDescent="0.25">
      <c r="B116" s="164"/>
      <c r="C116" s="164"/>
      <c r="D116" s="164"/>
      <c r="E116" s="164"/>
      <c r="F116" s="164"/>
      <c r="G116" s="164"/>
      <c r="H116" s="164"/>
      <c r="I116" s="164" t="s">
        <v>1154</v>
      </c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</row>
    <row r="117" spans="2:21" x14ac:dyDescent="0.25">
      <c r="B117" s="164"/>
      <c r="C117" s="164"/>
      <c r="D117" s="164"/>
      <c r="E117" s="164"/>
      <c r="F117" s="164"/>
      <c r="G117" s="164"/>
      <c r="H117" s="164"/>
      <c r="I117" s="164" t="s">
        <v>1155</v>
      </c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  <row r="118" spans="2:21" x14ac:dyDescent="0.25">
      <c r="B118" s="164"/>
      <c r="C118" s="164"/>
      <c r="D118" s="164"/>
      <c r="E118" s="164"/>
      <c r="F118" s="164"/>
      <c r="G118" s="164"/>
      <c r="H118" s="164"/>
      <c r="I118" s="164" t="s">
        <v>1156</v>
      </c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</row>
    <row r="119" spans="2:21" x14ac:dyDescent="0.25">
      <c r="B119" s="164"/>
      <c r="C119" s="164"/>
      <c r="D119" s="164"/>
      <c r="E119" s="164"/>
      <c r="F119" s="164"/>
      <c r="G119" s="164"/>
      <c r="H119" s="164"/>
      <c r="I119" s="164" t="s">
        <v>1157</v>
      </c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</row>
    <row r="120" spans="2:21" x14ac:dyDescent="0.25">
      <c r="B120" s="164"/>
      <c r="C120" s="164"/>
      <c r="D120" s="164"/>
      <c r="E120" s="164"/>
      <c r="F120" s="164"/>
      <c r="G120" s="164"/>
      <c r="H120" s="164"/>
      <c r="I120" s="164" t="s">
        <v>1150</v>
      </c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</row>
    <row r="121" spans="2:21" x14ac:dyDescent="0.25">
      <c r="B121" s="164"/>
      <c r="C121" s="164"/>
      <c r="D121" s="164"/>
      <c r="E121" s="164"/>
      <c r="F121" s="164"/>
      <c r="G121" s="164"/>
      <c r="H121" s="164"/>
      <c r="I121" s="164" t="s">
        <v>1158</v>
      </c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</row>
    <row r="122" spans="2:21" x14ac:dyDescent="0.25">
      <c r="B122" s="164"/>
      <c r="C122" s="164"/>
      <c r="D122" s="164"/>
      <c r="E122" s="164"/>
      <c r="F122" s="164"/>
      <c r="G122" s="164"/>
      <c r="H122" s="164"/>
      <c r="I122" s="164" t="s">
        <v>1159</v>
      </c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</row>
    <row r="123" spans="2:21" x14ac:dyDescent="0.25"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</row>
    <row r="124" spans="2:21" x14ac:dyDescent="0.25">
      <c r="B124" s="164"/>
      <c r="C124" s="164"/>
      <c r="D124" s="164"/>
      <c r="E124" s="164"/>
      <c r="F124" s="164"/>
      <c r="G124" s="164"/>
      <c r="H124" s="164"/>
      <c r="I124" s="164" t="s">
        <v>91</v>
      </c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</row>
    <row r="125" spans="2:21" x14ac:dyDescent="0.25"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</row>
    <row r="126" spans="2:21" x14ac:dyDescent="0.25">
      <c r="B126" s="164"/>
      <c r="C126" s="164"/>
      <c r="D126" s="164"/>
      <c r="E126" s="164"/>
      <c r="F126" s="164"/>
      <c r="G126" s="164"/>
      <c r="H126" s="164"/>
      <c r="I126" s="174" t="s">
        <v>1097</v>
      </c>
      <c r="J126" s="181">
        <f>J29</f>
        <v>19.112157601427899</v>
      </c>
      <c r="K126" s="164" t="s">
        <v>347</v>
      </c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</row>
    <row r="127" spans="2:21" x14ac:dyDescent="0.25">
      <c r="B127" s="164"/>
      <c r="C127" s="164"/>
      <c r="D127" s="164"/>
      <c r="E127" s="164"/>
      <c r="F127" s="164"/>
      <c r="G127" s="164"/>
      <c r="H127" s="164"/>
      <c r="I127" s="174" t="s">
        <v>1160</v>
      </c>
      <c r="J127" s="181">
        <f>J93+0.4</f>
        <v>1.5</v>
      </c>
      <c r="K127" s="164" t="s">
        <v>58</v>
      </c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</row>
    <row r="128" spans="2:21" x14ac:dyDescent="0.25">
      <c r="B128" s="164"/>
      <c r="C128" s="164"/>
      <c r="D128" s="164"/>
      <c r="E128" s="164"/>
      <c r="F128" s="164"/>
      <c r="G128" s="164"/>
      <c r="H128" s="164"/>
      <c r="I128" s="174" t="s">
        <v>893</v>
      </c>
      <c r="J128" s="181">
        <f>(J127 - J99)/2</f>
        <v>0.66200000000000003</v>
      </c>
      <c r="K128" s="164" t="s">
        <v>58</v>
      </c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</row>
    <row r="129" spans="2:21" x14ac:dyDescent="0.25">
      <c r="B129" s="164"/>
      <c r="C129" s="164"/>
      <c r="D129" s="164"/>
      <c r="E129" s="164"/>
      <c r="F129" s="164"/>
      <c r="G129" s="164"/>
      <c r="H129" s="164"/>
      <c r="I129" s="174" t="s">
        <v>1119</v>
      </c>
      <c r="J129" s="203">
        <v>35</v>
      </c>
      <c r="K129" s="164" t="s">
        <v>1161</v>
      </c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</row>
    <row r="130" spans="2:21" x14ac:dyDescent="0.25">
      <c r="B130" s="164"/>
      <c r="C130" s="164"/>
      <c r="D130" s="164"/>
      <c r="E130" s="164"/>
      <c r="F130" s="164"/>
      <c r="G130" s="164"/>
      <c r="H130" s="164"/>
      <c r="I130" s="174" t="s">
        <v>1162</v>
      </c>
      <c r="J130" s="201">
        <f>SIN(RADIANS(J129))</f>
        <v>0.57357643635104605</v>
      </c>
      <c r="K130" s="164" t="s">
        <v>1163</v>
      </c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</row>
    <row r="131" spans="2:21" x14ac:dyDescent="0.25">
      <c r="B131" s="164"/>
      <c r="C131" s="164"/>
      <c r="D131" s="164"/>
      <c r="E131" s="164"/>
      <c r="F131" s="164"/>
      <c r="G131" s="164"/>
      <c r="H131" s="164"/>
      <c r="I131" s="174" t="s">
        <v>1164</v>
      </c>
      <c r="J131" s="181">
        <v>1.1000000000000001</v>
      </c>
      <c r="K131" s="164" t="s">
        <v>1165</v>
      </c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</row>
    <row r="132" spans="2:21" x14ac:dyDescent="0.25">
      <c r="B132" s="164"/>
      <c r="C132" s="164"/>
      <c r="D132" s="164"/>
      <c r="E132" s="164"/>
      <c r="F132" s="164"/>
      <c r="G132" s="164"/>
      <c r="H132" s="164"/>
      <c r="I132" s="174"/>
      <c r="J132" s="204">
        <f>K92</f>
        <v>0.10327</v>
      </c>
      <c r="K132" s="164" t="s">
        <v>1142</v>
      </c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</row>
    <row r="133" spans="2:21" x14ac:dyDescent="0.25">
      <c r="B133" s="164"/>
      <c r="C133" s="164"/>
      <c r="D133" s="164"/>
      <c r="E133" s="164"/>
      <c r="F133" s="164"/>
      <c r="G133" s="164"/>
      <c r="H133" s="164"/>
      <c r="I133" s="174" t="s">
        <v>1166</v>
      </c>
      <c r="J133" s="203">
        <f>50*3.1416*J93*J52</f>
        <v>570.20039999999995</v>
      </c>
      <c r="K133" s="164" t="s">
        <v>68</v>
      </c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</row>
    <row r="134" spans="2:21" x14ac:dyDescent="0.25">
      <c r="B134" s="164"/>
      <c r="C134" s="164"/>
      <c r="D134" s="164"/>
      <c r="E134" s="164"/>
      <c r="F134" s="164"/>
      <c r="G134" s="164"/>
      <c r="H134" s="164"/>
      <c r="I134" s="174" t="s">
        <v>1167</v>
      </c>
      <c r="J134" s="203">
        <f>J70*J132*J131*1000</f>
        <v>291.47874677460004</v>
      </c>
      <c r="K134" s="164" t="s">
        <v>68</v>
      </c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</row>
    <row r="135" spans="2:21" x14ac:dyDescent="0.25"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</row>
    <row r="136" spans="2:21" x14ac:dyDescent="0.25">
      <c r="B136" s="164"/>
      <c r="C136" s="164"/>
      <c r="D136" s="164"/>
      <c r="E136" s="164"/>
      <c r="F136" s="164"/>
      <c r="G136" s="164"/>
      <c r="H136" s="164"/>
      <c r="I136" s="174" t="s">
        <v>1168</v>
      </c>
      <c r="J136" s="203">
        <f>J134+J133</f>
        <v>861.67914677459999</v>
      </c>
      <c r="K136" s="164" t="s">
        <v>68</v>
      </c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</row>
    <row r="137" spans="2:21" x14ac:dyDescent="0.25"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</row>
    <row r="138" spans="2:21" x14ac:dyDescent="0.25"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</row>
    <row r="139" spans="2:21" ht="15" x14ac:dyDescent="0.25">
      <c r="B139" s="164"/>
      <c r="C139" s="164"/>
      <c r="D139" s="164"/>
      <c r="E139" s="164"/>
      <c r="F139" s="164"/>
      <c r="G139" s="164"/>
      <c r="H139" s="164"/>
      <c r="I139" s="205" t="s">
        <v>1169</v>
      </c>
      <c r="J139" s="206">
        <f>(J126*(136.4*J128*J130*J134+1.393*J127*J136+0.728*J136))/100000</f>
        <v>3.3492302238317211</v>
      </c>
      <c r="K139" s="205" t="s">
        <v>249</v>
      </c>
      <c r="L139" s="168" t="s">
        <v>1383</v>
      </c>
      <c r="M139" s="164"/>
      <c r="N139" s="164"/>
      <c r="O139" s="164"/>
      <c r="P139" s="164"/>
      <c r="Q139" s="164"/>
      <c r="R139" s="164"/>
      <c r="S139" s="164"/>
      <c r="T139" s="164"/>
      <c r="U139" s="164"/>
    </row>
    <row r="140" spans="2:21" ht="15.6" x14ac:dyDescent="0.3"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5" t="s">
        <v>1382</v>
      </c>
      <c r="M140" s="164"/>
      <c r="N140" s="164"/>
      <c r="O140" s="164"/>
      <c r="P140" s="164"/>
      <c r="Q140" s="164"/>
      <c r="R140" s="164"/>
      <c r="S140" s="164"/>
      <c r="T140" s="164"/>
      <c r="U140" s="164"/>
    </row>
    <row r="141" spans="2:21" x14ac:dyDescent="0.25"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</row>
    <row r="142" spans="2:21" x14ac:dyDescent="0.25">
      <c r="B142" s="164"/>
      <c r="C142" s="164"/>
      <c r="D142" s="164"/>
      <c r="E142" s="164"/>
      <c r="F142" s="164"/>
      <c r="G142" s="164"/>
      <c r="L142" s="207" t="s">
        <v>1271</v>
      </c>
    </row>
    <row r="143" spans="2:21" x14ac:dyDescent="0.25">
      <c r="B143" s="164"/>
      <c r="C143" s="164"/>
      <c r="D143" s="164"/>
      <c r="E143" s="164"/>
      <c r="F143" s="164"/>
      <c r="G143" s="164"/>
    </row>
    <row r="144" spans="2:21" x14ac:dyDescent="0.25">
      <c r="B144" s="164"/>
      <c r="C144" s="164"/>
      <c r="D144" s="164"/>
      <c r="E144" s="164"/>
      <c r="F144" s="164"/>
      <c r="G144" s="164"/>
    </row>
    <row r="145" spans="2:7" x14ac:dyDescent="0.25">
      <c r="B145" s="164"/>
      <c r="C145" s="164"/>
      <c r="D145" s="164"/>
      <c r="E145" s="164"/>
      <c r="F145" s="164"/>
      <c r="G145" s="164"/>
    </row>
    <row r="146" spans="2:7" x14ac:dyDescent="0.25">
      <c r="B146" s="164"/>
      <c r="C146" s="164"/>
      <c r="D146" s="164"/>
      <c r="E146" s="164"/>
      <c r="F146" s="164"/>
      <c r="G146" s="164"/>
    </row>
    <row r="147" spans="2:7" x14ac:dyDescent="0.25">
      <c r="B147" s="164"/>
      <c r="C147" s="164"/>
      <c r="D147" s="164"/>
      <c r="E147" s="164"/>
      <c r="F147" s="164"/>
      <c r="G147" s="164"/>
    </row>
    <row r="148" spans="2:7" x14ac:dyDescent="0.25">
      <c r="B148" s="164"/>
      <c r="C148" s="164"/>
      <c r="D148" s="164"/>
      <c r="E148" s="164"/>
      <c r="F148" s="164"/>
      <c r="G148" s="164"/>
    </row>
    <row r="149" spans="2:7" x14ac:dyDescent="0.25">
      <c r="B149" s="164"/>
      <c r="C149" s="164"/>
      <c r="D149" s="164"/>
      <c r="E149" s="164"/>
      <c r="F149" s="164"/>
      <c r="G149" s="164"/>
    </row>
    <row r="150" spans="2:7" x14ac:dyDescent="0.25">
      <c r="B150" s="164"/>
      <c r="C150" s="164"/>
      <c r="D150" s="164"/>
      <c r="E150" s="164"/>
      <c r="F150" s="164"/>
      <c r="G150" s="164"/>
    </row>
    <row r="151" spans="2:7" x14ac:dyDescent="0.25">
      <c r="B151" s="164"/>
      <c r="C151" s="164"/>
      <c r="D151" s="164"/>
      <c r="E151" s="164"/>
      <c r="F151" s="164"/>
      <c r="G151" s="164"/>
    </row>
    <row r="152" spans="2:7" x14ac:dyDescent="0.25">
      <c r="B152" s="164"/>
      <c r="C152" s="164"/>
      <c r="D152" s="164"/>
      <c r="E152" s="164"/>
      <c r="F152" s="164"/>
      <c r="G152" s="164"/>
    </row>
    <row r="153" spans="2:7" x14ac:dyDescent="0.25">
      <c r="B153" s="164"/>
      <c r="C153" s="164"/>
      <c r="D153" s="164"/>
      <c r="E153" s="164"/>
      <c r="F153" s="164"/>
      <c r="G153" s="164"/>
    </row>
    <row r="154" spans="2:7" x14ac:dyDescent="0.25">
      <c r="B154" s="164"/>
      <c r="C154" s="164"/>
      <c r="D154" s="164"/>
      <c r="E154" s="164"/>
      <c r="F154" s="164"/>
      <c r="G154" s="164"/>
    </row>
    <row r="155" spans="2:7" x14ac:dyDescent="0.25">
      <c r="B155" s="164"/>
      <c r="C155" s="164"/>
      <c r="D155" s="164"/>
      <c r="E155" s="164"/>
      <c r="F155" s="164"/>
      <c r="G155" s="164"/>
    </row>
    <row r="156" spans="2:7" x14ac:dyDescent="0.25">
      <c r="B156" s="164"/>
      <c r="C156" s="164"/>
      <c r="D156" s="164"/>
      <c r="E156" s="164"/>
      <c r="F156" s="164"/>
      <c r="G156" s="164"/>
    </row>
    <row r="157" spans="2:7" x14ac:dyDescent="0.25">
      <c r="B157" s="164"/>
      <c r="C157" s="164"/>
      <c r="D157" s="164"/>
      <c r="E157" s="164"/>
      <c r="F157" s="164"/>
      <c r="G157" s="164"/>
    </row>
    <row r="158" spans="2:7" x14ac:dyDescent="0.25">
      <c r="B158" s="164"/>
      <c r="C158" s="164"/>
      <c r="D158" s="164"/>
      <c r="E158" s="164"/>
      <c r="F158" s="164"/>
      <c r="G158" s="164"/>
    </row>
    <row r="159" spans="2:7" x14ac:dyDescent="0.25">
      <c r="B159" s="164"/>
      <c r="C159" s="164"/>
      <c r="D159" s="164"/>
      <c r="E159" s="164"/>
      <c r="F159" s="164"/>
      <c r="G159" s="164"/>
    </row>
    <row r="160" spans="2:7" x14ac:dyDescent="0.25">
      <c r="B160" s="164"/>
      <c r="C160" s="164"/>
      <c r="D160" s="164"/>
      <c r="E160" s="164"/>
      <c r="F160" s="164"/>
      <c r="G160" s="164"/>
    </row>
    <row r="161" spans="2:7" x14ac:dyDescent="0.25">
      <c r="B161" s="164"/>
      <c r="C161" s="164"/>
      <c r="D161" s="164"/>
      <c r="E161" s="164"/>
      <c r="F161" s="164"/>
      <c r="G161" s="164"/>
    </row>
    <row r="162" spans="2:7" x14ac:dyDescent="0.25">
      <c r="B162" s="164"/>
      <c r="C162" s="164"/>
      <c r="D162" s="164"/>
      <c r="E162" s="164"/>
      <c r="F162" s="164"/>
      <c r="G162" s="164"/>
    </row>
    <row r="163" spans="2:7" x14ac:dyDescent="0.25">
      <c r="B163" s="164"/>
      <c r="C163" s="164"/>
      <c r="D163" s="164"/>
      <c r="E163" s="164"/>
      <c r="F163" s="164"/>
      <c r="G163" s="164"/>
    </row>
    <row r="164" spans="2:7" x14ac:dyDescent="0.25">
      <c r="B164" s="164"/>
      <c r="C164" s="164"/>
      <c r="D164" s="164"/>
      <c r="E164" s="164"/>
      <c r="F164" s="164"/>
      <c r="G164" s="164"/>
    </row>
    <row r="165" spans="2:7" x14ac:dyDescent="0.25">
      <c r="B165" s="164"/>
      <c r="C165" s="164"/>
      <c r="D165" s="164"/>
      <c r="E165" s="164"/>
      <c r="F165" s="164"/>
      <c r="G165" s="164"/>
    </row>
    <row r="166" spans="2:7" x14ac:dyDescent="0.25">
      <c r="B166" s="164"/>
      <c r="C166" s="164"/>
      <c r="D166" s="164"/>
      <c r="E166" s="164"/>
      <c r="F166" s="164"/>
      <c r="G166" s="164"/>
    </row>
    <row r="167" spans="2:7" x14ac:dyDescent="0.25">
      <c r="B167" s="164"/>
      <c r="C167" s="164"/>
      <c r="D167" s="164"/>
      <c r="E167" s="164"/>
      <c r="F167" s="164"/>
      <c r="G167" s="164"/>
    </row>
    <row r="168" spans="2:7" x14ac:dyDescent="0.25">
      <c r="B168" s="164"/>
      <c r="C168" s="164"/>
      <c r="D168" s="164"/>
      <c r="E168" s="164"/>
      <c r="F168" s="164"/>
      <c r="G168" s="164"/>
    </row>
    <row r="169" spans="2:7" x14ac:dyDescent="0.25">
      <c r="B169" s="164"/>
      <c r="C169" s="164"/>
      <c r="D169" s="164"/>
      <c r="E169" s="164"/>
      <c r="F169" s="164"/>
      <c r="G169" s="164"/>
    </row>
    <row r="170" spans="2:7" x14ac:dyDescent="0.25">
      <c r="B170" s="164"/>
      <c r="C170" s="164"/>
      <c r="D170" s="164"/>
      <c r="E170" s="164"/>
      <c r="F170" s="164"/>
      <c r="G170" s="164"/>
    </row>
    <row r="171" spans="2:7" x14ac:dyDescent="0.25">
      <c r="B171" s="164"/>
      <c r="C171" s="164"/>
      <c r="D171" s="164"/>
      <c r="E171" s="164"/>
      <c r="F171" s="164"/>
      <c r="G171" s="164"/>
    </row>
    <row r="172" spans="2:7" x14ac:dyDescent="0.25">
      <c r="B172" s="164"/>
      <c r="C172" s="164"/>
      <c r="D172" s="164"/>
      <c r="E172" s="164"/>
      <c r="F172" s="164"/>
      <c r="G172" s="164"/>
    </row>
    <row r="173" spans="2:7" x14ac:dyDescent="0.25">
      <c r="B173" s="164"/>
      <c r="C173" s="164"/>
      <c r="D173" s="164"/>
      <c r="E173" s="164"/>
      <c r="F173" s="164"/>
      <c r="G173" s="164"/>
    </row>
    <row r="174" spans="2:7" x14ac:dyDescent="0.25">
      <c r="B174" s="164"/>
      <c r="C174" s="164"/>
      <c r="D174" s="164"/>
      <c r="E174" s="164"/>
      <c r="F174" s="164"/>
      <c r="G174" s="164"/>
    </row>
    <row r="175" spans="2:7" x14ac:dyDescent="0.25">
      <c r="B175" s="164"/>
      <c r="C175" s="164"/>
      <c r="D175" s="164"/>
      <c r="E175" s="164"/>
      <c r="F175" s="164"/>
      <c r="G175" s="164"/>
    </row>
    <row r="176" spans="2:7" x14ac:dyDescent="0.25">
      <c r="B176" s="164"/>
      <c r="C176" s="164"/>
      <c r="D176" s="164"/>
      <c r="E176" s="164"/>
      <c r="F176" s="164"/>
      <c r="G176" s="164"/>
    </row>
    <row r="177" spans="2:7" x14ac:dyDescent="0.25">
      <c r="B177" s="164"/>
      <c r="C177" s="164"/>
      <c r="D177" s="164"/>
      <c r="E177" s="164"/>
      <c r="F177" s="164"/>
      <c r="G177" s="164"/>
    </row>
    <row r="178" spans="2:7" x14ac:dyDescent="0.25">
      <c r="B178" s="164"/>
      <c r="C178" s="164"/>
      <c r="D178" s="164"/>
      <c r="E178" s="164"/>
      <c r="F178" s="164"/>
      <c r="G178" s="164"/>
    </row>
    <row r="179" spans="2:7" x14ac:dyDescent="0.25">
      <c r="B179" s="164"/>
      <c r="C179" s="164"/>
      <c r="D179" s="164"/>
      <c r="E179" s="164"/>
      <c r="F179" s="164"/>
      <c r="G179" s="164"/>
    </row>
    <row r="180" spans="2:7" x14ac:dyDescent="0.25">
      <c r="B180" s="164"/>
      <c r="C180" s="164"/>
      <c r="D180" s="164"/>
      <c r="E180" s="164"/>
      <c r="F180" s="164"/>
      <c r="G180" s="164"/>
    </row>
    <row r="181" spans="2:7" x14ac:dyDescent="0.25">
      <c r="B181" s="164"/>
      <c r="C181" s="164"/>
      <c r="D181" s="164"/>
      <c r="E181" s="164"/>
      <c r="F181" s="164"/>
      <c r="G181" s="164"/>
    </row>
    <row r="182" spans="2:7" x14ac:dyDescent="0.25">
      <c r="B182" s="164"/>
      <c r="C182" s="164"/>
      <c r="D182" s="164"/>
      <c r="E182" s="164"/>
      <c r="F182" s="164"/>
      <c r="G182" s="164"/>
    </row>
    <row r="183" spans="2:7" x14ac:dyDescent="0.25">
      <c r="B183" s="164"/>
      <c r="C183" s="164"/>
      <c r="D183" s="164"/>
      <c r="E183" s="164"/>
      <c r="F183" s="164"/>
      <c r="G183" s="164"/>
    </row>
    <row r="184" spans="2:7" x14ac:dyDescent="0.25">
      <c r="B184" s="164"/>
      <c r="C184" s="164"/>
      <c r="D184" s="164"/>
      <c r="E184" s="164"/>
      <c r="F184" s="164"/>
      <c r="G184" s="164"/>
    </row>
    <row r="185" spans="2:7" x14ac:dyDescent="0.25">
      <c r="B185" s="164"/>
      <c r="C185" s="164"/>
      <c r="D185" s="164"/>
      <c r="E185" s="164"/>
      <c r="F185" s="164"/>
      <c r="G185" s="164"/>
    </row>
    <row r="186" spans="2:7" x14ac:dyDescent="0.25">
      <c r="B186" s="164"/>
      <c r="C186" s="164"/>
      <c r="D186" s="164"/>
      <c r="E186" s="164"/>
      <c r="F186" s="164"/>
      <c r="G186" s="164"/>
    </row>
    <row r="187" spans="2:7" x14ac:dyDescent="0.25">
      <c r="B187" s="164"/>
      <c r="C187" s="164"/>
      <c r="D187" s="164"/>
      <c r="E187" s="164"/>
      <c r="F187" s="164"/>
      <c r="G187" s="164"/>
    </row>
    <row r="188" spans="2:7" x14ac:dyDescent="0.25">
      <c r="B188" s="164"/>
      <c r="C188" s="164"/>
      <c r="D188" s="164"/>
      <c r="E188" s="164"/>
      <c r="F188" s="164"/>
      <c r="G188" s="164"/>
    </row>
    <row r="189" spans="2:7" x14ac:dyDescent="0.25">
      <c r="B189" s="164"/>
      <c r="C189" s="164"/>
      <c r="D189" s="164"/>
      <c r="E189" s="164"/>
      <c r="F189" s="164"/>
      <c r="G189" s="164"/>
    </row>
    <row r="190" spans="2:7" x14ac:dyDescent="0.25">
      <c r="B190" s="164"/>
      <c r="C190" s="164"/>
      <c r="D190" s="164"/>
      <c r="E190" s="164"/>
      <c r="F190" s="164"/>
      <c r="G190" s="164"/>
    </row>
    <row r="191" spans="2:7" x14ac:dyDescent="0.25">
      <c r="B191" s="164"/>
      <c r="C191" s="164"/>
      <c r="D191" s="164"/>
      <c r="E191" s="164"/>
      <c r="F191" s="164"/>
      <c r="G191" s="164"/>
    </row>
    <row r="192" spans="2:7" x14ac:dyDescent="0.25">
      <c r="B192" s="164"/>
      <c r="C192" s="164"/>
      <c r="D192" s="164"/>
      <c r="E192" s="164"/>
      <c r="F192" s="164"/>
      <c r="G192" s="164"/>
    </row>
    <row r="193" spans="2:7" x14ac:dyDescent="0.25">
      <c r="B193" s="164"/>
      <c r="C193" s="164"/>
      <c r="D193" s="164"/>
      <c r="E193" s="164"/>
      <c r="F193" s="164"/>
      <c r="G193" s="164"/>
    </row>
    <row r="194" spans="2:7" x14ac:dyDescent="0.25">
      <c r="B194" s="164"/>
      <c r="C194" s="164"/>
      <c r="D194" s="164"/>
      <c r="E194" s="164"/>
      <c r="F194" s="164"/>
      <c r="G194" s="164"/>
    </row>
    <row r="195" spans="2:7" x14ac:dyDescent="0.25">
      <c r="B195" s="164"/>
      <c r="C195" s="164"/>
      <c r="D195" s="164"/>
      <c r="E195" s="164"/>
      <c r="F195" s="164"/>
      <c r="G195" s="164"/>
    </row>
    <row r="196" spans="2:7" x14ac:dyDescent="0.25">
      <c r="B196" s="164"/>
      <c r="C196" s="164"/>
      <c r="D196" s="164"/>
      <c r="E196" s="164"/>
      <c r="F196" s="164"/>
      <c r="G196" s="164"/>
    </row>
    <row r="197" spans="2:7" x14ac:dyDescent="0.25">
      <c r="B197" s="164"/>
      <c r="C197" s="164"/>
      <c r="D197" s="164"/>
      <c r="E197" s="164"/>
      <c r="F197" s="164"/>
      <c r="G197" s="164"/>
    </row>
    <row r="198" spans="2:7" x14ac:dyDescent="0.25">
      <c r="B198" s="164"/>
      <c r="C198" s="164"/>
      <c r="D198" s="164"/>
      <c r="E198" s="164"/>
      <c r="F198" s="164"/>
      <c r="G198" s="164"/>
    </row>
    <row r="199" spans="2:7" x14ac:dyDescent="0.25">
      <c r="B199" s="164"/>
      <c r="C199" s="164"/>
      <c r="D199" s="164"/>
      <c r="E199" s="164"/>
      <c r="F199" s="164"/>
      <c r="G199" s="164"/>
    </row>
    <row r="200" spans="2:7" x14ac:dyDescent="0.25">
      <c r="B200" s="164"/>
      <c r="C200" s="164"/>
      <c r="D200" s="164"/>
      <c r="E200" s="164"/>
      <c r="F200" s="164"/>
      <c r="G200" s="164"/>
    </row>
    <row r="201" spans="2:7" x14ac:dyDescent="0.25">
      <c r="B201" s="164"/>
      <c r="C201" s="164"/>
      <c r="D201" s="164"/>
      <c r="E201" s="164"/>
      <c r="F201" s="164"/>
      <c r="G201" s="164"/>
    </row>
    <row r="202" spans="2:7" x14ac:dyDescent="0.25">
      <c r="B202" s="164"/>
      <c r="C202" s="164"/>
      <c r="D202" s="164"/>
      <c r="E202" s="164"/>
      <c r="F202" s="164"/>
      <c r="G202" s="164"/>
    </row>
    <row r="203" spans="2:7" x14ac:dyDescent="0.25">
      <c r="B203" s="164"/>
      <c r="C203" s="164"/>
      <c r="D203" s="164"/>
      <c r="E203" s="164"/>
      <c r="F203" s="164"/>
      <c r="G203" s="164"/>
    </row>
    <row r="204" spans="2:7" x14ac:dyDescent="0.25">
      <c r="B204" s="164"/>
      <c r="C204" s="164"/>
      <c r="D204" s="164"/>
      <c r="E204" s="164"/>
      <c r="F204" s="164"/>
      <c r="G204" s="164"/>
    </row>
    <row r="205" spans="2:7" x14ac:dyDescent="0.25">
      <c r="B205" s="164"/>
      <c r="C205" s="164"/>
      <c r="D205" s="164"/>
      <c r="E205" s="164"/>
      <c r="F205" s="164"/>
      <c r="G205" s="164"/>
    </row>
    <row r="206" spans="2:7" x14ac:dyDescent="0.25">
      <c r="B206" s="164"/>
      <c r="C206" s="164"/>
      <c r="D206" s="164"/>
      <c r="E206" s="164"/>
      <c r="F206" s="164"/>
      <c r="G206" s="164"/>
    </row>
    <row r="207" spans="2:7" x14ac:dyDescent="0.25">
      <c r="B207" s="164"/>
      <c r="C207" s="164"/>
      <c r="D207" s="164"/>
      <c r="E207" s="164"/>
      <c r="F207" s="164"/>
      <c r="G207" s="164"/>
    </row>
    <row r="208" spans="2:7" x14ac:dyDescent="0.25">
      <c r="B208" s="164"/>
      <c r="C208" s="164"/>
      <c r="D208" s="164"/>
      <c r="E208" s="164"/>
      <c r="F208" s="164"/>
      <c r="G208" s="164"/>
    </row>
    <row r="209" spans="2:7" x14ac:dyDescent="0.25">
      <c r="B209" s="164"/>
      <c r="C209" s="164"/>
      <c r="D209" s="164"/>
      <c r="E209" s="164"/>
      <c r="F209" s="164"/>
      <c r="G209" s="164"/>
    </row>
    <row r="210" spans="2:7" x14ac:dyDescent="0.25">
      <c r="B210" s="164"/>
      <c r="C210" s="164"/>
      <c r="D210" s="164"/>
      <c r="E210" s="164"/>
      <c r="F210" s="164"/>
      <c r="G210" s="164"/>
    </row>
    <row r="211" spans="2:7" x14ac:dyDescent="0.25">
      <c r="B211" s="164"/>
      <c r="C211" s="164"/>
      <c r="D211" s="164"/>
      <c r="E211" s="164"/>
      <c r="F211" s="164"/>
      <c r="G211" s="164"/>
    </row>
    <row r="212" spans="2:7" x14ac:dyDescent="0.25">
      <c r="B212" s="164"/>
      <c r="C212" s="164"/>
      <c r="D212" s="164"/>
      <c r="E212" s="164"/>
      <c r="F212" s="164"/>
      <c r="G212" s="164"/>
    </row>
    <row r="213" spans="2:7" x14ac:dyDescent="0.25">
      <c r="B213" s="164"/>
      <c r="C213" s="164"/>
      <c r="D213" s="164"/>
      <c r="E213" s="164"/>
      <c r="F213" s="164"/>
      <c r="G213" s="164"/>
    </row>
    <row r="214" spans="2:7" x14ac:dyDescent="0.25">
      <c r="B214" s="164"/>
      <c r="C214" s="164"/>
      <c r="D214" s="164"/>
      <c r="E214" s="164"/>
      <c r="F214" s="164"/>
      <c r="G214" s="164"/>
    </row>
    <row r="215" spans="2:7" x14ac:dyDescent="0.25">
      <c r="B215" s="164"/>
      <c r="C215" s="164"/>
      <c r="D215" s="164"/>
      <c r="E215" s="164"/>
      <c r="F215" s="164"/>
      <c r="G215" s="164"/>
    </row>
    <row r="216" spans="2:7" x14ac:dyDescent="0.25">
      <c r="B216" s="164"/>
      <c r="C216" s="164"/>
      <c r="D216" s="164"/>
      <c r="E216" s="164"/>
      <c r="F216" s="164"/>
      <c r="G216" s="164"/>
    </row>
    <row r="217" spans="2:7" x14ac:dyDescent="0.25">
      <c r="B217" s="164"/>
      <c r="C217" s="164"/>
      <c r="D217" s="164"/>
      <c r="E217" s="164"/>
      <c r="F217" s="164"/>
      <c r="G217" s="164"/>
    </row>
    <row r="218" spans="2:7" x14ac:dyDescent="0.25">
      <c r="B218" s="164"/>
      <c r="C218" s="164"/>
      <c r="D218" s="164"/>
      <c r="E218" s="164"/>
      <c r="F218" s="164"/>
      <c r="G218" s="164"/>
    </row>
    <row r="219" spans="2:7" x14ac:dyDescent="0.25">
      <c r="B219" s="164"/>
      <c r="C219" s="164"/>
      <c r="D219" s="164"/>
      <c r="E219" s="164"/>
      <c r="F219" s="164"/>
      <c r="G219" s="164"/>
    </row>
    <row r="220" spans="2:7" x14ac:dyDescent="0.25">
      <c r="B220" s="164"/>
      <c r="C220" s="164"/>
      <c r="D220" s="164"/>
      <c r="E220" s="164"/>
      <c r="F220" s="164"/>
      <c r="G220" s="164"/>
    </row>
    <row r="221" spans="2:7" x14ac:dyDescent="0.25">
      <c r="B221" s="164"/>
      <c r="C221" s="164"/>
      <c r="D221" s="164"/>
      <c r="E221" s="164"/>
      <c r="F221" s="164"/>
      <c r="G221" s="164"/>
    </row>
    <row r="222" spans="2:7" x14ac:dyDescent="0.25">
      <c r="B222" s="164"/>
      <c r="C222" s="164"/>
      <c r="D222" s="164"/>
      <c r="E222" s="164"/>
      <c r="F222" s="164"/>
      <c r="G222" s="164"/>
    </row>
    <row r="223" spans="2:7" x14ac:dyDescent="0.25">
      <c r="B223" s="164"/>
      <c r="C223" s="164"/>
      <c r="D223" s="164"/>
      <c r="E223" s="164"/>
      <c r="F223" s="164"/>
      <c r="G223" s="164"/>
    </row>
    <row r="224" spans="2:7" x14ac:dyDescent="0.25">
      <c r="B224" s="164"/>
      <c r="C224" s="164"/>
      <c r="D224" s="164"/>
      <c r="E224" s="164"/>
      <c r="F224" s="164"/>
      <c r="G224" s="164"/>
    </row>
    <row r="225" spans="2:7" x14ac:dyDescent="0.25">
      <c r="B225" s="164"/>
      <c r="C225" s="164"/>
      <c r="D225" s="164"/>
      <c r="E225" s="164"/>
      <c r="F225" s="164"/>
      <c r="G225" s="164"/>
    </row>
    <row r="226" spans="2:7" x14ac:dyDescent="0.25">
      <c r="B226" s="164"/>
      <c r="C226" s="164"/>
      <c r="D226" s="164"/>
      <c r="E226" s="164"/>
      <c r="F226" s="164"/>
      <c r="G226" s="164"/>
    </row>
    <row r="227" spans="2:7" x14ac:dyDescent="0.25">
      <c r="B227" s="164"/>
      <c r="C227" s="164"/>
      <c r="D227" s="164"/>
      <c r="E227" s="164"/>
      <c r="F227" s="164"/>
      <c r="G227" s="164"/>
    </row>
    <row r="228" spans="2:7" x14ac:dyDescent="0.25">
      <c r="B228" s="164"/>
      <c r="C228" s="164"/>
      <c r="D228" s="164"/>
      <c r="E228" s="164"/>
      <c r="F228" s="164"/>
      <c r="G228" s="164"/>
    </row>
    <row r="229" spans="2:7" x14ac:dyDescent="0.25">
      <c r="B229" s="164"/>
      <c r="C229" s="164"/>
      <c r="D229" s="164"/>
      <c r="E229" s="164"/>
      <c r="F229" s="164"/>
      <c r="G229" s="164"/>
    </row>
    <row r="230" spans="2:7" x14ac:dyDescent="0.25">
      <c r="B230" s="164"/>
      <c r="C230" s="164"/>
      <c r="D230" s="164"/>
      <c r="E230" s="164"/>
      <c r="F230" s="164"/>
      <c r="G230" s="164"/>
    </row>
    <row r="231" spans="2:7" x14ac:dyDescent="0.25">
      <c r="B231" s="164"/>
      <c r="C231" s="164"/>
      <c r="D231" s="164"/>
      <c r="E231" s="164"/>
      <c r="F231" s="164"/>
      <c r="G231" s="164"/>
    </row>
    <row r="232" spans="2:7" x14ac:dyDescent="0.25">
      <c r="B232" s="164"/>
      <c r="C232" s="164"/>
      <c r="D232" s="164"/>
      <c r="E232" s="164"/>
      <c r="F232" s="164"/>
      <c r="G232" s="164"/>
    </row>
    <row r="233" spans="2:7" x14ac:dyDescent="0.25">
      <c r="B233" s="164"/>
      <c r="C233" s="164"/>
      <c r="D233" s="164"/>
      <c r="E233" s="164"/>
      <c r="F233" s="164"/>
      <c r="G233" s="164"/>
    </row>
    <row r="234" spans="2:7" x14ac:dyDescent="0.25">
      <c r="B234" s="164"/>
      <c r="C234" s="164"/>
      <c r="D234" s="164"/>
      <c r="E234" s="164"/>
      <c r="F234" s="164"/>
      <c r="G234" s="164"/>
    </row>
    <row r="235" spans="2:7" x14ac:dyDescent="0.25">
      <c r="B235" s="164"/>
      <c r="C235" s="164"/>
      <c r="D235" s="164"/>
      <c r="E235" s="164"/>
      <c r="F235" s="164"/>
      <c r="G235" s="164"/>
    </row>
    <row r="236" spans="2:7" x14ac:dyDescent="0.25">
      <c r="B236" s="164"/>
      <c r="C236" s="164"/>
      <c r="D236" s="164"/>
      <c r="E236" s="164"/>
      <c r="F236" s="164"/>
      <c r="G236" s="164"/>
    </row>
    <row r="237" spans="2:7" x14ac:dyDescent="0.25">
      <c r="B237" s="164"/>
      <c r="C237" s="164"/>
      <c r="D237" s="164"/>
      <c r="E237" s="164"/>
      <c r="F237" s="164"/>
      <c r="G237" s="164"/>
    </row>
    <row r="238" spans="2:7" x14ac:dyDescent="0.25">
      <c r="B238" s="164"/>
      <c r="C238" s="164"/>
      <c r="D238" s="164"/>
      <c r="E238" s="164"/>
      <c r="F238" s="164"/>
      <c r="G238" s="164"/>
    </row>
    <row r="239" spans="2:7" x14ac:dyDescent="0.25">
      <c r="B239" s="164"/>
      <c r="C239" s="164"/>
      <c r="D239" s="164"/>
      <c r="E239" s="164"/>
      <c r="F239" s="164"/>
      <c r="G239" s="164"/>
    </row>
    <row r="240" spans="2:7" x14ac:dyDescent="0.25">
      <c r="B240" s="164"/>
      <c r="C240" s="164"/>
      <c r="D240" s="164"/>
      <c r="E240" s="164"/>
      <c r="F240" s="164"/>
      <c r="G240" s="164"/>
    </row>
    <row r="241" spans="2:7" x14ac:dyDescent="0.25">
      <c r="B241" s="164"/>
      <c r="C241" s="164"/>
      <c r="D241" s="164"/>
      <c r="E241" s="164"/>
      <c r="F241" s="164"/>
      <c r="G241" s="164"/>
    </row>
    <row r="242" spans="2:7" x14ac:dyDescent="0.25">
      <c r="B242" s="164"/>
      <c r="C242" s="164"/>
      <c r="D242" s="164"/>
      <c r="E242" s="164"/>
      <c r="F242" s="164"/>
      <c r="G242" s="164"/>
    </row>
    <row r="243" spans="2:7" x14ac:dyDescent="0.25">
      <c r="B243" s="164"/>
      <c r="C243" s="164"/>
      <c r="D243" s="164"/>
      <c r="E243" s="164"/>
      <c r="F243" s="164"/>
      <c r="G243" s="164"/>
    </row>
    <row r="244" spans="2:7" x14ac:dyDescent="0.25">
      <c r="B244" s="164"/>
      <c r="C244" s="164"/>
      <c r="D244" s="164"/>
      <c r="E244" s="164"/>
      <c r="F244" s="164"/>
      <c r="G244" s="164"/>
    </row>
    <row r="245" spans="2:7" x14ac:dyDescent="0.25">
      <c r="B245" s="164"/>
      <c r="C245" s="164"/>
      <c r="D245" s="164"/>
      <c r="E245" s="164"/>
      <c r="F245" s="164"/>
      <c r="G245" s="164"/>
    </row>
    <row r="246" spans="2:7" x14ac:dyDescent="0.25">
      <c r="B246" s="164"/>
      <c r="C246" s="164"/>
      <c r="D246" s="164"/>
      <c r="E246" s="164"/>
      <c r="F246" s="164"/>
      <c r="G246" s="164"/>
    </row>
    <row r="247" spans="2:7" x14ac:dyDescent="0.25">
      <c r="B247" s="164"/>
      <c r="C247" s="164"/>
      <c r="D247" s="164"/>
      <c r="E247" s="164"/>
      <c r="F247" s="164"/>
      <c r="G247" s="164"/>
    </row>
    <row r="248" spans="2:7" x14ac:dyDescent="0.25">
      <c r="B248" s="164"/>
      <c r="C248" s="164"/>
      <c r="D248" s="164"/>
      <c r="E248" s="164"/>
      <c r="F248" s="164"/>
      <c r="G248" s="164"/>
    </row>
    <row r="249" spans="2:7" x14ac:dyDescent="0.25">
      <c r="B249" s="164"/>
      <c r="C249" s="164"/>
      <c r="D249" s="164"/>
      <c r="E249" s="164"/>
      <c r="F249" s="164"/>
      <c r="G249" s="164"/>
    </row>
    <row r="250" spans="2:7" x14ac:dyDescent="0.25">
      <c r="B250" s="164"/>
      <c r="C250" s="164"/>
      <c r="D250" s="164"/>
      <c r="E250" s="164"/>
      <c r="F250" s="164"/>
      <c r="G250" s="164"/>
    </row>
    <row r="251" spans="2:7" x14ac:dyDescent="0.25">
      <c r="B251" s="164"/>
      <c r="C251" s="164"/>
      <c r="D251" s="164"/>
      <c r="E251" s="164"/>
      <c r="F251" s="164"/>
      <c r="G251" s="164"/>
    </row>
    <row r="252" spans="2:7" x14ac:dyDescent="0.25">
      <c r="B252" s="164"/>
      <c r="C252" s="164"/>
      <c r="D252" s="164"/>
      <c r="E252" s="164"/>
      <c r="F252" s="164"/>
      <c r="G252" s="164"/>
    </row>
    <row r="253" spans="2:7" x14ac:dyDescent="0.25">
      <c r="B253" s="164"/>
      <c r="C253" s="164"/>
      <c r="D253" s="164"/>
      <c r="E253" s="164"/>
      <c r="F253" s="164"/>
      <c r="G253" s="164"/>
    </row>
    <row r="254" spans="2:7" x14ac:dyDescent="0.25">
      <c r="B254" s="164"/>
      <c r="C254" s="164"/>
      <c r="D254" s="164"/>
      <c r="E254" s="164"/>
      <c r="F254" s="164"/>
      <c r="G254" s="164"/>
    </row>
    <row r="255" spans="2:7" x14ac:dyDescent="0.25">
      <c r="B255" s="164"/>
      <c r="C255" s="164"/>
      <c r="D255" s="164"/>
      <c r="E255" s="164"/>
      <c r="F255" s="164"/>
      <c r="G255" s="164"/>
    </row>
    <row r="256" spans="2:7" x14ac:dyDescent="0.25">
      <c r="B256" s="164"/>
      <c r="C256" s="164"/>
      <c r="D256" s="164"/>
      <c r="E256" s="164"/>
      <c r="F256" s="164"/>
      <c r="G256" s="164"/>
    </row>
    <row r="257" spans="2:7" x14ac:dyDescent="0.25">
      <c r="B257" s="164"/>
      <c r="C257" s="164"/>
      <c r="D257" s="164"/>
      <c r="E257" s="164"/>
      <c r="F257" s="164"/>
      <c r="G257" s="164"/>
    </row>
    <row r="258" spans="2:7" x14ac:dyDescent="0.25">
      <c r="B258" s="164"/>
      <c r="C258" s="164"/>
      <c r="D258" s="164"/>
      <c r="E258" s="164"/>
      <c r="F258" s="164"/>
      <c r="G258" s="164"/>
    </row>
    <row r="259" spans="2:7" x14ac:dyDescent="0.25">
      <c r="B259" s="164"/>
      <c r="C259" s="164"/>
      <c r="D259" s="164"/>
      <c r="E259" s="164"/>
      <c r="F259" s="164"/>
      <c r="G259" s="164"/>
    </row>
    <row r="260" spans="2:7" x14ac:dyDescent="0.25">
      <c r="B260" s="164"/>
      <c r="C260" s="164"/>
      <c r="D260" s="164"/>
      <c r="E260" s="164"/>
      <c r="F260" s="164"/>
      <c r="G260" s="164"/>
    </row>
    <row r="261" spans="2:7" x14ac:dyDescent="0.25">
      <c r="B261" s="164"/>
      <c r="C261" s="164"/>
      <c r="D261" s="164"/>
      <c r="E261" s="164"/>
      <c r="F261" s="164"/>
      <c r="G261" s="164"/>
    </row>
    <row r="262" spans="2:7" x14ac:dyDescent="0.25">
      <c r="B262" s="164"/>
      <c r="C262" s="164"/>
      <c r="D262" s="164"/>
      <c r="E262" s="164"/>
      <c r="F262" s="164"/>
      <c r="G262" s="164"/>
    </row>
    <row r="263" spans="2:7" x14ac:dyDescent="0.25">
      <c r="B263" s="164"/>
      <c r="C263" s="164"/>
      <c r="D263" s="164"/>
      <c r="E263" s="164"/>
      <c r="F263" s="164"/>
      <c r="G263" s="164"/>
    </row>
    <row r="264" spans="2:7" x14ac:dyDescent="0.25">
      <c r="B264" s="164"/>
      <c r="C264" s="164"/>
      <c r="D264" s="164"/>
      <c r="E264" s="164"/>
      <c r="F264" s="164"/>
      <c r="G264" s="164"/>
    </row>
    <row r="265" spans="2:7" x14ac:dyDescent="0.25">
      <c r="B265" s="164"/>
      <c r="C265" s="164"/>
      <c r="D265" s="164"/>
      <c r="E265" s="164"/>
      <c r="F265" s="164"/>
      <c r="G265" s="164"/>
    </row>
    <row r="266" spans="2:7" x14ac:dyDescent="0.25">
      <c r="B266" s="164"/>
      <c r="C266" s="164"/>
      <c r="D266" s="164"/>
      <c r="E266" s="164"/>
      <c r="F266" s="164"/>
      <c r="G266" s="164"/>
    </row>
    <row r="267" spans="2:7" x14ac:dyDescent="0.25">
      <c r="B267" s="164"/>
      <c r="C267" s="164"/>
      <c r="D267" s="164"/>
      <c r="E267" s="164"/>
      <c r="F267" s="164"/>
      <c r="G267" s="164"/>
    </row>
    <row r="268" spans="2:7" x14ac:dyDescent="0.25">
      <c r="B268" s="164"/>
      <c r="C268" s="164"/>
      <c r="D268" s="164"/>
      <c r="E268" s="164"/>
      <c r="F268" s="164"/>
      <c r="G268" s="164"/>
    </row>
    <row r="269" spans="2:7" x14ac:dyDescent="0.25">
      <c r="G269" s="164"/>
    </row>
    <row r="270" spans="2:7" x14ac:dyDescent="0.25">
      <c r="G270" s="164"/>
    </row>
    <row r="271" spans="2:7" x14ac:dyDescent="0.25">
      <c r="G271" s="164"/>
    </row>
    <row r="272" spans="2:7" x14ac:dyDescent="0.25">
      <c r="G272" s="164"/>
    </row>
    <row r="273" spans="7:7" x14ac:dyDescent="0.25">
      <c r="G273" s="164"/>
    </row>
    <row r="274" spans="7:7" x14ac:dyDescent="0.25">
      <c r="G274" s="164"/>
    </row>
    <row r="275" spans="7:7" x14ac:dyDescent="0.25">
      <c r="G275" s="164"/>
    </row>
    <row r="276" spans="7:7" x14ac:dyDescent="0.25">
      <c r="G276" s="164"/>
    </row>
    <row r="277" spans="7:7" x14ac:dyDescent="0.25">
      <c r="G277" s="164"/>
    </row>
    <row r="278" spans="7:7" x14ac:dyDescent="0.25">
      <c r="G278" s="164"/>
    </row>
    <row r="279" spans="7:7" x14ac:dyDescent="0.25">
      <c r="G279" s="164"/>
    </row>
    <row r="280" spans="7:7" x14ac:dyDescent="0.25">
      <c r="G280" s="164"/>
    </row>
    <row r="281" spans="7:7" x14ac:dyDescent="0.25">
      <c r="G281" s="164"/>
    </row>
    <row r="282" spans="7:7" x14ac:dyDescent="0.25">
      <c r="G282" s="164"/>
    </row>
    <row r="283" spans="7:7" x14ac:dyDescent="0.25">
      <c r="G283" s="164"/>
    </row>
    <row r="284" spans="7:7" x14ac:dyDescent="0.25">
      <c r="G284" s="164"/>
    </row>
    <row r="285" spans="7:7" x14ac:dyDescent="0.25">
      <c r="G285" s="164"/>
    </row>
    <row r="286" spans="7:7" x14ac:dyDescent="0.25">
      <c r="G286" s="164"/>
    </row>
    <row r="287" spans="7:7" x14ac:dyDescent="0.25">
      <c r="G287" s="164"/>
    </row>
    <row r="288" spans="7:7" x14ac:dyDescent="0.25">
      <c r="G288" s="164"/>
    </row>
    <row r="289" spans="7:7" x14ac:dyDescent="0.25">
      <c r="G289" s="164"/>
    </row>
    <row r="290" spans="7:7" x14ac:dyDescent="0.25">
      <c r="G290" s="164"/>
    </row>
    <row r="291" spans="7:7" x14ac:dyDescent="0.25">
      <c r="G291" s="164"/>
    </row>
    <row r="292" spans="7:7" x14ac:dyDescent="0.25">
      <c r="G292" s="164"/>
    </row>
    <row r="293" spans="7:7" x14ac:dyDescent="0.25">
      <c r="G293" s="164"/>
    </row>
    <row r="294" spans="7:7" x14ac:dyDescent="0.25">
      <c r="G294" s="164"/>
    </row>
    <row r="295" spans="7:7" x14ac:dyDescent="0.25">
      <c r="G295" s="164"/>
    </row>
    <row r="296" spans="7:7" x14ac:dyDescent="0.25">
      <c r="G296" s="164"/>
    </row>
    <row r="297" spans="7:7" x14ac:dyDescent="0.25">
      <c r="G297" s="164"/>
    </row>
    <row r="298" spans="7:7" x14ac:dyDescent="0.25">
      <c r="G298" s="164"/>
    </row>
    <row r="299" spans="7:7" x14ac:dyDescent="0.25">
      <c r="G299" s="164"/>
    </row>
    <row r="300" spans="7:7" x14ac:dyDescent="0.25">
      <c r="G300" s="164"/>
    </row>
    <row r="301" spans="7:7" x14ac:dyDescent="0.25">
      <c r="G301" s="164"/>
    </row>
    <row r="302" spans="7:7" x14ac:dyDescent="0.25">
      <c r="G302" s="164"/>
    </row>
    <row r="303" spans="7:7" x14ac:dyDescent="0.25">
      <c r="G303" s="164"/>
    </row>
    <row r="304" spans="7:7" x14ac:dyDescent="0.25">
      <c r="G304" s="164"/>
    </row>
    <row r="305" spans="7:7" x14ac:dyDescent="0.25">
      <c r="G305" s="164"/>
    </row>
    <row r="306" spans="7:7" x14ac:dyDescent="0.25">
      <c r="G306" s="164"/>
    </row>
    <row r="307" spans="7:7" x14ac:dyDescent="0.25">
      <c r="G307" s="164"/>
    </row>
    <row r="308" spans="7:7" x14ac:dyDescent="0.25">
      <c r="G308" s="164"/>
    </row>
    <row r="309" spans="7:7" x14ac:dyDescent="0.25">
      <c r="G309" s="164"/>
    </row>
    <row r="310" spans="7:7" x14ac:dyDescent="0.25">
      <c r="G310" s="164"/>
    </row>
    <row r="311" spans="7:7" x14ac:dyDescent="0.25">
      <c r="G311" s="164"/>
    </row>
    <row r="312" spans="7:7" x14ac:dyDescent="0.25">
      <c r="G312" s="164"/>
    </row>
    <row r="313" spans="7:7" x14ac:dyDescent="0.25">
      <c r="G313" s="164"/>
    </row>
    <row r="314" spans="7:7" x14ac:dyDescent="0.25">
      <c r="G314" s="164"/>
    </row>
    <row r="315" spans="7:7" x14ac:dyDescent="0.25">
      <c r="G315" s="164"/>
    </row>
    <row r="316" spans="7:7" x14ac:dyDescent="0.25">
      <c r="G316" s="164"/>
    </row>
    <row r="317" spans="7:7" x14ac:dyDescent="0.25">
      <c r="G317" s="164"/>
    </row>
    <row r="318" spans="7:7" x14ac:dyDescent="0.25">
      <c r="G318" s="164"/>
    </row>
    <row r="319" spans="7:7" x14ac:dyDescent="0.25">
      <c r="G319" s="164"/>
    </row>
    <row r="320" spans="7:7" x14ac:dyDescent="0.25">
      <c r="G320" s="164"/>
    </row>
    <row r="321" spans="7:7" x14ac:dyDescent="0.25">
      <c r="G321" s="164"/>
    </row>
    <row r="322" spans="7:7" x14ac:dyDescent="0.25">
      <c r="G322" s="164"/>
    </row>
    <row r="323" spans="7:7" x14ac:dyDescent="0.25">
      <c r="G323" s="164"/>
    </row>
    <row r="324" spans="7:7" x14ac:dyDescent="0.25">
      <c r="G324" s="164"/>
    </row>
    <row r="325" spans="7:7" x14ac:dyDescent="0.25">
      <c r="G325" s="164"/>
    </row>
    <row r="326" spans="7:7" x14ac:dyDescent="0.25">
      <c r="G326" s="164"/>
    </row>
    <row r="327" spans="7:7" x14ac:dyDescent="0.25">
      <c r="G327" s="164"/>
    </row>
    <row r="328" spans="7:7" x14ac:dyDescent="0.25">
      <c r="G328" s="164"/>
    </row>
    <row r="329" spans="7:7" x14ac:dyDescent="0.25">
      <c r="G329" s="164"/>
    </row>
    <row r="330" spans="7:7" x14ac:dyDescent="0.25">
      <c r="G330" s="164"/>
    </row>
    <row r="331" spans="7:7" x14ac:dyDescent="0.25">
      <c r="G331" s="164"/>
    </row>
    <row r="332" spans="7:7" x14ac:dyDescent="0.25">
      <c r="G332" s="164"/>
    </row>
    <row r="333" spans="7:7" x14ac:dyDescent="0.25">
      <c r="G333" s="164"/>
    </row>
    <row r="334" spans="7:7" x14ac:dyDescent="0.25">
      <c r="G334" s="164"/>
    </row>
    <row r="335" spans="7:7" x14ac:dyDescent="0.25">
      <c r="G335" s="164"/>
    </row>
    <row r="336" spans="7:7" x14ac:dyDescent="0.25">
      <c r="G336" s="164"/>
    </row>
    <row r="337" spans="7:7" x14ac:dyDescent="0.25">
      <c r="G337" s="164"/>
    </row>
    <row r="338" spans="7:7" x14ac:dyDescent="0.25">
      <c r="G338" s="164"/>
    </row>
    <row r="339" spans="7:7" x14ac:dyDescent="0.25">
      <c r="G339" s="164"/>
    </row>
    <row r="340" spans="7:7" x14ac:dyDescent="0.25">
      <c r="G340" s="164"/>
    </row>
    <row r="341" spans="7:7" x14ac:dyDescent="0.25">
      <c r="G341" s="164"/>
    </row>
    <row r="342" spans="7:7" x14ac:dyDescent="0.25">
      <c r="G342" s="164"/>
    </row>
    <row r="343" spans="7:7" x14ac:dyDescent="0.25">
      <c r="G343" s="164"/>
    </row>
    <row r="344" spans="7:7" x14ac:dyDescent="0.25">
      <c r="G344" s="164"/>
    </row>
    <row r="345" spans="7:7" x14ac:dyDescent="0.25">
      <c r="G345" s="164"/>
    </row>
    <row r="346" spans="7:7" x14ac:dyDescent="0.25">
      <c r="G346" s="164"/>
    </row>
    <row r="347" spans="7:7" x14ac:dyDescent="0.25">
      <c r="G347" s="164"/>
    </row>
    <row r="348" spans="7:7" x14ac:dyDescent="0.25">
      <c r="G348" s="164"/>
    </row>
    <row r="349" spans="7:7" x14ac:dyDescent="0.25">
      <c r="G349" s="164"/>
    </row>
    <row r="350" spans="7:7" x14ac:dyDescent="0.25">
      <c r="G350" s="164"/>
    </row>
    <row r="351" spans="7:7" x14ac:dyDescent="0.25">
      <c r="G351" s="164"/>
    </row>
    <row r="352" spans="7:7" x14ac:dyDescent="0.25">
      <c r="G352" s="164"/>
    </row>
    <row r="353" spans="7:7" x14ac:dyDescent="0.25">
      <c r="G353" s="164"/>
    </row>
    <row r="354" spans="7:7" x14ac:dyDescent="0.25">
      <c r="G354" s="164"/>
    </row>
    <row r="355" spans="7:7" x14ac:dyDescent="0.25">
      <c r="G355" s="164"/>
    </row>
    <row r="356" spans="7:7" x14ac:dyDescent="0.25">
      <c r="G356" s="164"/>
    </row>
    <row r="357" spans="7:7" x14ac:dyDescent="0.25">
      <c r="G357" s="164"/>
    </row>
    <row r="358" spans="7:7" x14ac:dyDescent="0.25">
      <c r="G358" s="164"/>
    </row>
    <row r="359" spans="7:7" x14ac:dyDescent="0.25">
      <c r="G359" s="164"/>
    </row>
    <row r="360" spans="7:7" x14ac:dyDescent="0.25">
      <c r="G360" s="164"/>
    </row>
    <row r="361" spans="7:7" x14ac:dyDescent="0.25">
      <c r="G361" s="164"/>
    </row>
    <row r="362" spans="7:7" x14ac:dyDescent="0.25">
      <c r="G362" s="164"/>
    </row>
    <row r="363" spans="7:7" x14ac:dyDescent="0.25">
      <c r="G363" s="164"/>
    </row>
    <row r="364" spans="7:7" x14ac:dyDescent="0.25">
      <c r="G364" s="164"/>
    </row>
    <row r="365" spans="7:7" x14ac:dyDescent="0.25">
      <c r="G365" s="164"/>
    </row>
    <row r="366" spans="7:7" x14ac:dyDescent="0.25">
      <c r="G366" s="164"/>
    </row>
    <row r="367" spans="7:7" x14ac:dyDescent="0.25">
      <c r="G367" s="164"/>
    </row>
    <row r="368" spans="7:7" x14ac:dyDescent="0.25">
      <c r="G368" s="164"/>
    </row>
    <row r="369" spans="7:7" x14ac:dyDescent="0.25">
      <c r="G369" s="164"/>
    </row>
    <row r="370" spans="7:7" x14ac:dyDescent="0.25">
      <c r="G370" s="164"/>
    </row>
    <row r="371" spans="7:7" x14ac:dyDescent="0.25">
      <c r="G371" s="164"/>
    </row>
    <row r="372" spans="7:7" x14ac:dyDescent="0.25">
      <c r="G372" s="164"/>
    </row>
    <row r="373" spans="7:7" x14ac:dyDescent="0.25">
      <c r="G373" s="164"/>
    </row>
    <row r="374" spans="7:7" x14ac:dyDescent="0.25">
      <c r="G374" s="164"/>
    </row>
    <row r="375" spans="7:7" x14ac:dyDescent="0.25">
      <c r="G375" s="164"/>
    </row>
    <row r="376" spans="7:7" x14ac:dyDescent="0.25">
      <c r="G376" s="164"/>
    </row>
    <row r="377" spans="7:7" x14ac:dyDescent="0.25">
      <c r="G377" s="164"/>
    </row>
    <row r="378" spans="7:7" x14ac:dyDescent="0.25">
      <c r="G378" s="164"/>
    </row>
    <row r="379" spans="7:7" x14ac:dyDescent="0.25">
      <c r="G379" s="164"/>
    </row>
    <row r="380" spans="7:7" x14ac:dyDescent="0.25">
      <c r="G380" s="164"/>
    </row>
    <row r="381" spans="7:7" x14ac:dyDescent="0.25">
      <c r="G381" s="164"/>
    </row>
    <row r="382" spans="7:7" x14ac:dyDescent="0.25">
      <c r="G382" s="164"/>
    </row>
    <row r="383" spans="7:7" x14ac:dyDescent="0.25">
      <c r="G383" s="164"/>
    </row>
    <row r="384" spans="7:7" x14ac:dyDescent="0.25">
      <c r="G384" s="164"/>
    </row>
    <row r="385" spans="7:7" x14ac:dyDescent="0.25">
      <c r="G385" s="164"/>
    </row>
    <row r="386" spans="7:7" x14ac:dyDescent="0.25">
      <c r="G386" s="164"/>
    </row>
    <row r="387" spans="7:7" x14ac:dyDescent="0.25">
      <c r="G387" s="164"/>
    </row>
    <row r="388" spans="7:7" x14ac:dyDescent="0.25">
      <c r="G388" s="164"/>
    </row>
    <row r="389" spans="7:7" x14ac:dyDescent="0.25">
      <c r="G389" s="164"/>
    </row>
    <row r="390" spans="7:7" x14ac:dyDescent="0.25">
      <c r="G390" s="164"/>
    </row>
    <row r="391" spans="7:7" x14ac:dyDescent="0.25">
      <c r="G391" s="164"/>
    </row>
    <row r="392" spans="7:7" x14ac:dyDescent="0.25">
      <c r="G392" s="164"/>
    </row>
    <row r="393" spans="7:7" x14ac:dyDescent="0.25">
      <c r="G393" s="164"/>
    </row>
    <row r="394" spans="7:7" x14ac:dyDescent="0.25">
      <c r="G394" s="164"/>
    </row>
    <row r="395" spans="7:7" x14ac:dyDescent="0.25">
      <c r="G395" s="164"/>
    </row>
    <row r="396" spans="7:7" x14ac:dyDescent="0.25">
      <c r="G396" s="164"/>
    </row>
    <row r="397" spans="7:7" x14ac:dyDescent="0.25">
      <c r="G397" s="164"/>
    </row>
    <row r="398" spans="7:7" x14ac:dyDescent="0.25">
      <c r="G398" s="164"/>
    </row>
    <row r="399" spans="7:7" x14ac:dyDescent="0.25">
      <c r="G399" s="164"/>
    </row>
    <row r="400" spans="7:7" x14ac:dyDescent="0.25">
      <c r="G400" s="164"/>
    </row>
    <row r="401" spans="7:7" x14ac:dyDescent="0.25">
      <c r="G401" s="164"/>
    </row>
    <row r="402" spans="7:7" x14ac:dyDescent="0.25">
      <c r="G402" s="164"/>
    </row>
    <row r="403" spans="7:7" x14ac:dyDescent="0.25">
      <c r="G403" s="164"/>
    </row>
    <row r="404" spans="7:7" x14ac:dyDescent="0.25">
      <c r="G404" s="164"/>
    </row>
    <row r="405" spans="7:7" x14ac:dyDescent="0.25">
      <c r="G405" s="164"/>
    </row>
    <row r="406" spans="7:7" x14ac:dyDescent="0.25">
      <c r="G406" s="164"/>
    </row>
    <row r="407" spans="7:7" x14ac:dyDescent="0.25">
      <c r="G407" s="164"/>
    </row>
    <row r="408" spans="7:7" x14ac:dyDescent="0.25">
      <c r="G408" s="164"/>
    </row>
    <row r="409" spans="7:7" x14ac:dyDescent="0.25">
      <c r="G409" s="164"/>
    </row>
    <row r="410" spans="7:7" x14ac:dyDescent="0.25">
      <c r="G410" s="164"/>
    </row>
    <row r="411" spans="7:7" x14ac:dyDescent="0.25">
      <c r="G411" s="164"/>
    </row>
    <row r="412" spans="7:7" x14ac:dyDescent="0.25">
      <c r="G412" s="164"/>
    </row>
    <row r="413" spans="7:7" x14ac:dyDescent="0.25">
      <c r="G413" s="164"/>
    </row>
    <row r="414" spans="7:7" x14ac:dyDescent="0.25">
      <c r="G414" s="164"/>
    </row>
    <row r="415" spans="7:7" x14ac:dyDescent="0.25">
      <c r="G415" s="164"/>
    </row>
    <row r="416" spans="7:7" x14ac:dyDescent="0.25">
      <c r="G416" s="164"/>
    </row>
    <row r="417" spans="7:7" x14ac:dyDescent="0.25">
      <c r="G417" s="164"/>
    </row>
    <row r="418" spans="7:7" x14ac:dyDescent="0.25">
      <c r="G418" s="164"/>
    </row>
    <row r="419" spans="7:7" x14ac:dyDescent="0.25">
      <c r="G419" s="164"/>
    </row>
    <row r="420" spans="7:7" x14ac:dyDescent="0.25">
      <c r="G420" s="164"/>
    </row>
    <row r="421" spans="7:7" x14ac:dyDescent="0.25">
      <c r="G421" s="164"/>
    </row>
    <row r="422" spans="7:7" x14ac:dyDescent="0.25">
      <c r="G422" s="164"/>
    </row>
    <row r="423" spans="7:7" x14ac:dyDescent="0.25">
      <c r="G423" s="164"/>
    </row>
    <row r="424" spans="7:7" x14ac:dyDescent="0.25">
      <c r="G424" s="164"/>
    </row>
    <row r="425" spans="7:7" x14ac:dyDescent="0.25">
      <c r="G425" s="164"/>
    </row>
    <row r="426" spans="7:7" x14ac:dyDescent="0.25">
      <c r="G426" s="164"/>
    </row>
    <row r="427" spans="7:7" x14ac:dyDescent="0.25">
      <c r="G427" s="164"/>
    </row>
    <row r="428" spans="7:7" x14ac:dyDescent="0.25">
      <c r="G428" s="164"/>
    </row>
    <row r="429" spans="7:7" x14ac:dyDescent="0.25">
      <c r="G429" s="164"/>
    </row>
    <row r="430" spans="7:7" x14ac:dyDescent="0.25">
      <c r="G430" s="164"/>
    </row>
    <row r="431" spans="7:7" x14ac:dyDescent="0.25">
      <c r="G431" s="164"/>
    </row>
    <row r="432" spans="7:7" x14ac:dyDescent="0.25">
      <c r="G432" s="164"/>
    </row>
    <row r="433" spans="7:7" x14ac:dyDescent="0.25">
      <c r="G433" s="164"/>
    </row>
    <row r="434" spans="7:7" x14ac:dyDescent="0.25">
      <c r="G434" s="164"/>
    </row>
    <row r="435" spans="7:7" x14ac:dyDescent="0.25">
      <c r="G435" s="164"/>
    </row>
    <row r="436" spans="7:7" x14ac:dyDescent="0.25">
      <c r="G436" s="164"/>
    </row>
    <row r="437" spans="7:7" x14ac:dyDescent="0.25">
      <c r="G437" s="164"/>
    </row>
    <row r="438" spans="7:7" x14ac:dyDescent="0.25">
      <c r="G438" s="164"/>
    </row>
    <row r="439" spans="7:7" x14ac:dyDescent="0.25">
      <c r="G439" s="164"/>
    </row>
    <row r="440" spans="7:7" x14ac:dyDescent="0.25">
      <c r="G440" s="164"/>
    </row>
    <row r="441" spans="7:7" x14ac:dyDescent="0.25">
      <c r="G441" s="164"/>
    </row>
    <row r="442" spans="7:7" x14ac:dyDescent="0.25">
      <c r="G442" s="164"/>
    </row>
    <row r="443" spans="7:7" x14ac:dyDescent="0.25">
      <c r="G443" s="164"/>
    </row>
    <row r="444" spans="7:7" x14ac:dyDescent="0.25">
      <c r="G444" s="164"/>
    </row>
    <row r="445" spans="7:7" x14ac:dyDescent="0.25">
      <c r="G445" s="164"/>
    </row>
    <row r="446" spans="7:7" x14ac:dyDescent="0.25">
      <c r="G446" s="164"/>
    </row>
    <row r="447" spans="7:7" x14ac:dyDescent="0.25">
      <c r="G447" s="164"/>
    </row>
    <row r="448" spans="7:7" x14ac:dyDescent="0.25">
      <c r="G448" s="164"/>
    </row>
    <row r="449" spans="7:7" x14ac:dyDescent="0.25">
      <c r="G449" s="164"/>
    </row>
    <row r="450" spans="7:7" x14ac:dyDescent="0.25">
      <c r="G450" s="164"/>
    </row>
    <row r="451" spans="7:7" x14ac:dyDescent="0.25">
      <c r="G451" s="164"/>
    </row>
    <row r="452" spans="7:7" x14ac:dyDescent="0.25">
      <c r="G452" s="164"/>
    </row>
    <row r="453" spans="7:7" x14ac:dyDescent="0.25">
      <c r="G453" s="164"/>
    </row>
    <row r="454" spans="7:7" x14ac:dyDescent="0.25">
      <c r="G454" s="164"/>
    </row>
    <row r="455" spans="7:7" x14ac:dyDescent="0.25">
      <c r="G455" s="164"/>
    </row>
    <row r="456" spans="7:7" x14ac:dyDescent="0.25">
      <c r="G456" s="164"/>
    </row>
    <row r="457" spans="7:7" x14ac:dyDescent="0.25">
      <c r="G457" s="164"/>
    </row>
    <row r="458" spans="7:7" x14ac:dyDescent="0.25">
      <c r="G458" s="164"/>
    </row>
    <row r="459" spans="7:7" x14ac:dyDescent="0.25">
      <c r="G459" s="164"/>
    </row>
    <row r="460" spans="7:7" x14ac:dyDescent="0.25">
      <c r="G460" s="164"/>
    </row>
  </sheetData>
  <mergeCells count="1">
    <mergeCell ref="C42:D42"/>
  </mergeCells>
  <pageMargins left="0.59055118110236227" right="0.59055118110236227" top="0.98425196850393704" bottom="0.98425196850393704" header="0.51181102362204722" footer="0.51181102362204722"/>
  <pageSetup paperSize="9" scale="86" orientation="portrait" r:id="rId1"/>
  <headerFooter alignWithMargins="0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6B62-7A42-4010-B203-FFAB822FEAE7}">
  <sheetPr>
    <tabColor theme="9" tint="0.59999389629810485"/>
  </sheetPr>
  <dimension ref="A2:Z725"/>
  <sheetViews>
    <sheetView showGridLines="0" topLeftCell="A38" zoomScaleNormal="100" workbookViewId="0">
      <selection activeCell="D11" sqref="D11"/>
    </sheetView>
  </sheetViews>
  <sheetFormatPr defaultColWidth="8.77734375" defaultRowHeight="13.2" x14ac:dyDescent="0.25"/>
  <cols>
    <col min="1" max="1" width="9.77734375" style="1" customWidth="1"/>
    <col min="2" max="2" width="9.44140625" style="1" bestFit="1" customWidth="1"/>
    <col min="3" max="3" width="8.44140625" style="1" customWidth="1"/>
    <col min="4" max="4" width="7.44140625" style="1" customWidth="1"/>
    <col min="5" max="5" width="8.77734375" style="1" customWidth="1"/>
    <col min="6" max="6" width="7.21875" style="1" customWidth="1"/>
    <col min="7" max="7" width="8.21875" style="1" customWidth="1"/>
    <col min="8" max="8" width="9.44140625" style="1" customWidth="1"/>
    <col min="9" max="9" width="8.21875" style="1" customWidth="1"/>
    <col min="10" max="12" width="9.21875" style="1"/>
    <col min="13" max="13" width="15.44140625" style="1" customWidth="1"/>
    <col min="14" max="256" width="9.21875" style="1"/>
    <col min="257" max="257" width="9.77734375" style="1" customWidth="1"/>
    <col min="258" max="258" width="9.44140625" style="1" bestFit="1" customWidth="1"/>
    <col min="259" max="259" width="8.44140625" style="1" customWidth="1"/>
    <col min="260" max="260" width="7.44140625" style="1" customWidth="1"/>
    <col min="261" max="261" width="8.77734375" style="1" customWidth="1"/>
    <col min="262" max="262" width="7.21875" style="1" customWidth="1"/>
    <col min="263" max="263" width="8.21875" style="1" customWidth="1"/>
    <col min="264" max="264" width="9.44140625" style="1" customWidth="1"/>
    <col min="265" max="265" width="8.21875" style="1" customWidth="1"/>
    <col min="266" max="268" width="9.21875" style="1"/>
    <col min="269" max="269" width="15.44140625" style="1" customWidth="1"/>
    <col min="270" max="512" width="9.21875" style="1"/>
    <col min="513" max="513" width="9.77734375" style="1" customWidth="1"/>
    <col min="514" max="514" width="9.44140625" style="1" bestFit="1" customWidth="1"/>
    <col min="515" max="515" width="8.44140625" style="1" customWidth="1"/>
    <col min="516" max="516" width="7.44140625" style="1" customWidth="1"/>
    <col min="517" max="517" width="8.77734375" style="1" customWidth="1"/>
    <col min="518" max="518" width="7.21875" style="1" customWidth="1"/>
    <col min="519" max="519" width="8.21875" style="1" customWidth="1"/>
    <col min="520" max="520" width="9.44140625" style="1" customWidth="1"/>
    <col min="521" max="521" width="8.21875" style="1" customWidth="1"/>
    <col min="522" max="524" width="9.21875" style="1"/>
    <col min="525" max="525" width="15.44140625" style="1" customWidth="1"/>
    <col min="526" max="768" width="9.21875" style="1"/>
    <col min="769" max="769" width="9.77734375" style="1" customWidth="1"/>
    <col min="770" max="770" width="9.44140625" style="1" bestFit="1" customWidth="1"/>
    <col min="771" max="771" width="8.44140625" style="1" customWidth="1"/>
    <col min="772" max="772" width="7.44140625" style="1" customWidth="1"/>
    <col min="773" max="773" width="8.77734375" style="1" customWidth="1"/>
    <col min="774" max="774" width="7.21875" style="1" customWidth="1"/>
    <col min="775" max="775" width="8.21875" style="1" customWidth="1"/>
    <col min="776" max="776" width="9.44140625" style="1" customWidth="1"/>
    <col min="777" max="777" width="8.21875" style="1" customWidth="1"/>
    <col min="778" max="780" width="9.21875" style="1"/>
    <col min="781" max="781" width="15.44140625" style="1" customWidth="1"/>
    <col min="782" max="1024" width="9.21875" style="1"/>
    <col min="1025" max="1025" width="9.77734375" style="1" customWidth="1"/>
    <col min="1026" max="1026" width="9.44140625" style="1" bestFit="1" customWidth="1"/>
    <col min="1027" max="1027" width="8.44140625" style="1" customWidth="1"/>
    <col min="1028" max="1028" width="7.44140625" style="1" customWidth="1"/>
    <col min="1029" max="1029" width="8.77734375" style="1" customWidth="1"/>
    <col min="1030" max="1030" width="7.21875" style="1" customWidth="1"/>
    <col min="1031" max="1031" width="8.21875" style="1" customWidth="1"/>
    <col min="1032" max="1032" width="9.44140625" style="1" customWidth="1"/>
    <col min="1033" max="1033" width="8.21875" style="1" customWidth="1"/>
    <col min="1034" max="1036" width="9.21875" style="1"/>
    <col min="1037" max="1037" width="15.44140625" style="1" customWidth="1"/>
    <col min="1038" max="1280" width="9.21875" style="1"/>
    <col min="1281" max="1281" width="9.77734375" style="1" customWidth="1"/>
    <col min="1282" max="1282" width="9.44140625" style="1" bestFit="1" customWidth="1"/>
    <col min="1283" max="1283" width="8.44140625" style="1" customWidth="1"/>
    <col min="1284" max="1284" width="7.44140625" style="1" customWidth="1"/>
    <col min="1285" max="1285" width="8.77734375" style="1" customWidth="1"/>
    <col min="1286" max="1286" width="7.21875" style="1" customWidth="1"/>
    <col min="1287" max="1287" width="8.21875" style="1" customWidth="1"/>
    <col min="1288" max="1288" width="9.44140625" style="1" customWidth="1"/>
    <col min="1289" max="1289" width="8.21875" style="1" customWidth="1"/>
    <col min="1290" max="1292" width="9.21875" style="1"/>
    <col min="1293" max="1293" width="15.44140625" style="1" customWidth="1"/>
    <col min="1294" max="1536" width="9.21875" style="1"/>
    <col min="1537" max="1537" width="9.77734375" style="1" customWidth="1"/>
    <col min="1538" max="1538" width="9.44140625" style="1" bestFit="1" customWidth="1"/>
    <col min="1539" max="1539" width="8.44140625" style="1" customWidth="1"/>
    <col min="1540" max="1540" width="7.44140625" style="1" customWidth="1"/>
    <col min="1541" max="1541" width="8.77734375" style="1" customWidth="1"/>
    <col min="1542" max="1542" width="7.21875" style="1" customWidth="1"/>
    <col min="1543" max="1543" width="8.21875" style="1" customWidth="1"/>
    <col min="1544" max="1544" width="9.44140625" style="1" customWidth="1"/>
    <col min="1545" max="1545" width="8.21875" style="1" customWidth="1"/>
    <col min="1546" max="1548" width="9.21875" style="1"/>
    <col min="1549" max="1549" width="15.44140625" style="1" customWidth="1"/>
    <col min="1550" max="1792" width="9.21875" style="1"/>
    <col min="1793" max="1793" width="9.77734375" style="1" customWidth="1"/>
    <col min="1794" max="1794" width="9.44140625" style="1" bestFit="1" customWidth="1"/>
    <col min="1795" max="1795" width="8.44140625" style="1" customWidth="1"/>
    <col min="1796" max="1796" width="7.44140625" style="1" customWidth="1"/>
    <col min="1797" max="1797" width="8.77734375" style="1" customWidth="1"/>
    <col min="1798" max="1798" width="7.21875" style="1" customWidth="1"/>
    <col min="1799" max="1799" width="8.21875" style="1" customWidth="1"/>
    <col min="1800" max="1800" width="9.44140625" style="1" customWidth="1"/>
    <col min="1801" max="1801" width="8.21875" style="1" customWidth="1"/>
    <col min="1802" max="1804" width="9.21875" style="1"/>
    <col min="1805" max="1805" width="15.44140625" style="1" customWidth="1"/>
    <col min="1806" max="2048" width="9.21875" style="1"/>
    <col min="2049" max="2049" width="9.77734375" style="1" customWidth="1"/>
    <col min="2050" max="2050" width="9.44140625" style="1" bestFit="1" customWidth="1"/>
    <col min="2051" max="2051" width="8.44140625" style="1" customWidth="1"/>
    <col min="2052" max="2052" width="7.44140625" style="1" customWidth="1"/>
    <col min="2053" max="2053" width="8.77734375" style="1" customWidth="1"/>
    <col min="2054" max="2054" width="7.21875" style="1" customWidth="1"/>
    <col min="2055" max="2055" width="8.21875" style="1" customWidth="1"/>
    <col min="2056" max="2056" width="9.44140625" style="1" customWidth="1"/>
    <col min="2057" max="2057" width="8.21875" style="1" customWidth="1"/>
    <col min="2058" max="2060" width="9.21875" style="1"/>
    <col min="2061" max="2061" width="15.44140625" style="1" customWidth="1"/>
    <col min="2062" max="2304" width="9.21875" style="1"/>
    <col min="2305" max="2305" width="9.77734375" style="1" customWidth="1"/>
    <col min="2306" max="2306" width="9.44140625" style="1" bestFit="1" customWidth="1"/>
    <col min="2307" max="2307" width="8.44140625" style="1" customWidth="1"/>
    <col min="2308" max="2308" width="7.44140625" style="1" customWidth="1"/>
    <col min="2309" max="2309" width="8.77734375" style="1" customWidth="1"/>
    <col min="2310" max="2310" width="7.21875" style="1" customWidth="1"/>
    <col min="2311" max="2311" width="8.21875" style="1" customWidth="1"/>
    <col min="2312" max="2312" width="9.44140625" style="1" customWidth="1"/>
    <col min="2313" max="2313" width="8.21875" style="1" customWidth="1"/>
    <col min="2314" max="2316" width="9.21875" style="1"/>
    <col min="2317" max="2317" width="15.44140625" style="1" customWidth="1"/>
    <col min="2318" max="2560" width="9.21875" style="1"/>
    <col min="2561" max="2561" width="9.77734375" style="1" customWidth="1"/>
    <col min="2562" max="2562" width="9.44140625" style="1" bestFit="1" customWidth="1"/>
    <col min="2563" max="2563" width="8.44140625" style="1" customWidth="1"/>
    <col min="2564" max="2564" width="7.44140625" style="1" customWidth="1"/>
    <col min="2565" max="2565" width="8.77734375" style="1" customWidth="1"/>
    <col min="2566" max="2566" width="7.21875" style="1" customWidth="1"/>
    <col min="2567" max="2567" width="8.21875" style="1" customWidth="1"/>
    <col min="2568" max="2568" width="9.44140625" style="1" customWidth="1"/>
    <col min="2569" max="2569" width="8.21875" style="1" customWidth="1"/>
    <col min="2570" max="2572" width="9.21875" style="1"/>
    <col min="2573" max="2573" width="15.44140625" style="1" customWidth="1"/>
    <col min="2574" max="2816" width="9.21875" style="1"/>
    <col min="2817" max="2817" width="9.77734375" style="1" customWidth="1"/>
    <col min="2818" max="2818" width="9.44140625" style="1" bestFit="1" customWidth="1"/>
    <col min="2819" max="2819" width="8.44140625" style="1" customWidth="1"/>
    <col min="2820" max="2820" width="7.44140625" style="1" customWidth="1"/>
    <col min="2821" max="2821" width="8.77734375" style="1" customWidth="1"/>
    <col min="2822" max="2822" width="7.21875" style="1" customWidth="1"/>
    <col min="2823" max="2823" width="8.21875" style="1" customWidth="1"/>
    <col min="2824" max="2824" width="9.44140625" style="1" customWidth="1"/>
    <col min="2825" max="2825" width="8.21875" style="1" customWidth="1"/>
    <col min="2826" max="2828" width="9.21875" style="1"/>
    <col min="2829" max="2829" width="15.44140625" style="1" customWidth="1"/>
    <col min="2830" max="3072" width="9.21875" style="1"/>
    <col min="3073" max="3073" width="9.77734375" style="1" customWidth="1"/>
    <col min="3074" max="3074" width="9.44140625" style="1" bestFit="1" customWidth="1"/>
    <col min="3075" max="3075" width="8.44140625" style="1" customWidth="1"/>
    <col min="3076" max="3076" width="7.44140625" style="1" customWidth="1"/>
    <col min="3077" max="3077" width="8.77734375" style="1" customWidth="1"/>
    <col min="3078" max="3078" width="7.21875" style="1" customWidth="1"/>
    <col min="3079" max="3079" width="8.21875" style="1" customWidth="1"/>
    <col min="3080" max="3080" width="9.44140625" style="1" customWidth="1"/>
    <col min="3081" max="3081" width="8.21875" style="1" customWidth="1"/>
    <col min="3082" max="3084" width="9.21875" style="1"/>
    <col min="3085" max="3085" width="15.44140625" style="1" customWidth="1"/>
    <col min="3086" max="3328" width="9.21875" style="1"/>
    <col min="3329" max="3329" width="9.77734375" style="1" customWidth="1"/>
    <col min="3330" max="3330" width="9.44140625" style="1" bestFit="1" customWidth="1"/>
    <col min="3331" max="3331" width="8.44140625" style="1" customWidth="1"/>
    <col min="3332" max="3332" width="7.44140625" style="1" customWidth="1"/>
    <col min="3333" max="3333" width="8.77734375" style="1" customWidth="1"/>
    <col min="3334" max="3334" width="7.21875" style="1" customWidth="1"/>
    <col min="3335" max="3335" width="8.21875" style="1" customWidth="1"/>
    <col min="3336" max="3336" width="9.44140625" style="1" customWidth="1"/>
    <col min="3337" max="3337" width="8.21875" style="1" customWidth="1"/>
    <col min="3338" max="3340" width="9.21875" style="1"/>
    <col min="3341" max="3341" width="15.44140625" style="1" customWidth="1"/>
    <col min="3342" max="3584" width="9.21875" style="1"/>
    <col min="3585" max="3585" width="9.77734375" style="1" customWidth="1"/>
    <col min="3586" max="3586" width="9.44140625" style="1" bestFit="1" customWidth="1"/>
    <col min="3587" max="3587" width="8.44140625" style="1" customWidth="1"/>
    <col min="3588" max="3588" width="7.44140625" style="1" customWidth="1"/>
    <col min="3589" max="3589" width="8.77734375" style="1" customWidth="1"/>
    <col min="3590" max="3590" width="7.21875" style="1" customWidth="1"/>
    <col min="3591" max="3591" width="8.21875" style="1" customWidth="1"/>
    <col min="3592" max="3592" width="9.44140625" style="1" customWidth="1"/>
    <col min="3593" max="3593" width="8.21875" style="1" customWidth="1"/>
    <col min="3594" max="3596" width="9.21875" style="1"/>
    <col min="3597" max="3597" width="15.44140625" style="1" customWidth="1"/>
    <col min="3598" max="3840" width="9.21875" style="1"/>
    <col min="3841" max="3841" width="9.77734375" style="1" customWidth="1"/>
    <col min="3842" max="3842" width="9.44140625" style="1" bestFit="1" customWidth="1"/>
    <col min="3843" max="3843" width="8.44140625" style="1" customWidth="1"/>
    <col min="3844" max="3844" width="7.44140625" style="1" customWidth="1"/>
    <col min="3845" max="3845" width="8.77734375" style="1" customWidth="1"/>
    <col min="3846" max="3846" width="7.21875" style="1" customWidth="1"/>
    <col min="3847" max="3847" width="8.21875" style="1" customWidth="1"/>
    <col min="3848" max="3848" width="9.44140625" style="1" customWidth="1"/>
    <col min="3849" max="3849" width="8.21875" style="1" customWidth="1"/>
    <col min="3850" max="3852" width="9.21875" style="1"/>
    <col min="3853" max="3853" width="15.44140625" style="1" customWidth="1"/>
    <col min="3854" max="4096" width="9.21875" style="1"/>
    <col min="4097" max="4097" width="9.77734375" style="1" customWidth="1"/>
    <col min="4098" max="4098" width="9.44140625" style="1" bestFit="1" customWidth="1"/>
    <col min="4099" max="4099" width="8.44140625" style="1" customWidth="1"/>
    <col min="4100" max="4100" width="7.44140625" style="1" customWidth="1"/>
    <col min="4101" max="4101" width="8.77734375" style="1" customWidth="1"/>
    <col min="4102" max="4102" width="7.21875" style="1" customWidth="1"/>
    <col min="4103" max="4103" width="8.21875" style="1" customWidth="1"/>
    <col min="4104" max="4104" width="9.44140625" style="1" customWidth="1"/>
    <col min="4105" max="4105" width="8.21875" style="1" customWidth="1"/>
    <col min="4106" max="4108" width="9.21875" style="1"/>
    <col min="4109" max="4109" width="15.44140625" style="1" customWidth="1"/>
    <col min="4110" max="4352" width="9.21875" style="1"/>
    <col min="4353" max="4353" width="9.77734375" style="1" customWidth="1"/>
    <col min="4354" max="4354" width="9.44140625" style="1" bestFit="1" customWidth="1"/>
    <col min="4355" max="4355" width="8.44140625" style="1" customWidth="1"/>
    <col min="4356" max="4356" width="7.44140625" style="1" customWidth="1"/>
    <col min="4357" max="4357" width="8.77734375" style="1" customWidth="1"/>
    <col min="4358" max="4358" width="7.21875" style="1" customWidth="1"/>
    <col min="4359" max="4359" width="8.21875" style="1" customWidth="1"/>
    <col min="4360" max="4360" width="9.44140625" style="1" customWidth="1"/>
    <col min="4361" max="4361" width="8.21875" style="1" customWidth="1"/>
    <col min="4362" max="4364" width="9.21875" style="1"/>
    <col min="4365" max="4365" width="15.44140625" style="1" customWidth="1"/>
    <col min="4366" max="4608" width="9.21875" style="1"/>
    <col min="4609" max="4609" width="9.77734375" style="1" customWidth="1"/>
    <col min="4610" max="4610" width="9.44140625" style="1" bestFit="1" customWidth="1"/>
    <col min="4611" max="4611" width="8.44140625" style="1" customWidth="1"/>
    <col min="4612" max="4612" width="7.44140625" style="1" customWidth="1"/>
    <col min="4613" max="4613" width="8.77734375" style="1" customWidth="1"/>
    <col min="4614" max="4614" width="7.21875" style="1" customWidth="1"/>
    <col min="4615" max="4615" width="8.21875" style="1" customWidth="1"/>
    <col min="4616" max="4616" width="9.44140625" style="1" customWidth="1"/>
    <col min="4617" max="4617" width="8.21875" style="1" customWidth="1"/>
    <col min="4618" max="4620" width="9.21875" style="1"/>
    <col min="4621" max="4621" width="15.44140625" style="1" customWidth="1"/>
    <col min="4622" max="4864" width="9.21875" style="1"/>
    <col min="4865" max="4865" width="9.77734375" style="1" customWidth="1"/>
    <col min="4866" max="4866" width="9.44140625" style="1" bestFit="1" customWidth="1"/>
    <col min="4867" max="4867" width="8.44140625" style="1" customWidth="1"/>
    <col min="4868" max="4868" width="7.44140625" style="1" customWidth="1"/>
    <col min="4869" max="4869" width="8.77734375" style="1" customWidth="1"/>
    <col min="4870" max="4870" width="7.21875" style="1" customWidth="1"/>
    <col min="4871" max="4871" width="8.21875" style="1" customWidth="1"/>
    <col min="4872" max="4872" width="9.44140625" style="1" customWidth="1"/>
    <col min="4873" max="4873" width="8.21875" style="1" customWidth="1"/>
    <col min="4874" max="4876" width="9.21875" style="1"/>
    <col min="4877" max="4877" width="15.44140625" style="1" customWidth="1"/>
    <col min="4878" max="5120" width="9.21875" style="1"/>
    <col min="5121" max="5121" width="9.77734375" style="1" customWidth="1"/>
    <col min="5122" max="5122" width="9.44140625" style="1" bestFit="1" customWidth="1"/>
    <col min="5123" max="5123" width="8.44140625" style="1" customWidth="1"/>
    <col min="5124" max="5124" width="7.44140625" style="1" customWidth="1"/>
    <col min="5125" max="5125" width="8.77734375" style="1" customWidth="1"/>
    <col min="5126" max="5126" width="7.21875" style="1" customWidth="1"/>
    <col min="5127" max="5127" width="8.21875" style="1" customWidth="1"/>
    <col min="5128" max="5128" width="9.44140625" style="1" customWidth="1"/>
    <col min="5129" max="5129" width="8.21875" style="1" customWidth="1"/>
    <col min="5130" max="5132" width="9.21875" style="1"/>
    <col min="5133" max="5133" width="15.44140625" style="1" customWidth="1"/>
    <col min="5134" max="5376" width="9.21875" style="1"/>
    <col min="5377" max="5377" width="9.77734375" style="1" customWidth="1"/>
    <col min="5378" max="5378" width="9.44140625" style="1" bestFit="1" customWidth="1"/>
    <col min="5379" max="5379" width="8.44140625" style="1" customWidth="1"/>
    <col min="5380" max="5380" width="7.44140625" style="1" customWidth="1"/>
    <col min="5381" max="5381" width="8.77734375" style="1" customWidth="1"/>
    <col min="5382" max="5382" width="7.21875" style="1" customWidth="1"/>
    <col min="5383" max="5383" width="8.21875" style="1" customWidth="1"/>
    <col min="5384" max="5384" width="9.44140625" style="1" customWidth="1"/>
    <col min="5385" max="5385" width="8.21875" style="1" customWidth="1"/>
    <col min="5386" max="5388" width="9.21875" style="1"/>
    <col min="5389" max="5389" width="15.44140625" style="1" customWidth="1"/>
    <col min="5390" max="5632" width="9.21875" style="1"/>
    <col min="5633" max="5633" width="9.77734375" style="1" customWidth="1"/>
    <col min="5634" max="5634" width="9.44140625" style="1" bestFit="1" customWidth="1"/>
    <col min="5635" max="5635" width="8.44140625" style="1" customWidth="1"/>
    <col min="5636" max="5636" width="7.44140625" style="1" customWidth="1"/>
    <col min="5637" max="5637" width="8.77734375" style="1" customWidth="1"/>
    <col min="5638" max="5638" width="7.21875" style="1" customWidth="1"/>
    <col min="5639" max="5639" width="8.21875" style="1" customWidth="1"/>
    <col min="5640" max="5640" width="9.44140625" style="1" customWidth="1"/>
    <col min="5641" max="5641" width="8.21875" style="1" customWidth="1"/>
    <col min="5642" max="5644" width="9.21875" style="1"/>
    <col min="5645" max="5645" width="15.44140625" style="1" customWidth="1"/>
    <col min="5646" max="5888" width="9.21875" style="1"/>
    <col min="5889" max="5889" width="9.77734375" style="1" customWidth="1"/>
    <col min="5890" max="5890" width="9.44140625" style="1" bestFit="1" customWidth="1"/>
    <col min="5891" max="5891" width="8.44140625" style="1" customWidth="1"/>
    <col min="5892" max="5892" width="7.44140625" style="1" customWidth="1"/>
    <col min="5893" max="5893" width="8.77734375" style="1" customWidth="1"/>
    <col min="5894" max="5894" width="7.21875" style="1" customWidth="1"/>
    <col min="5895" max="5895" width="8.21875" style="1" customWidth="1"/>
    <col min="5896" max="5896" width="9.44140625" style="1" customWidth="1"/>
    <col min="5897" max="5897" width="8.21875" style="1" customWidth="1"/>
    <col min="5898" max="5900" width="9.21875" style="1"/>
    <col min="5901" max="5901" width="15.44140625" style="1" customWidth="1"/>
    <col min="5902" max="6144" width="9.21875" style="1"/>
    <col min="6145" max="6145" width="9.77734375" style="1" customWidth="1"/>
    <col min="6146" max="6146" width="9.44140625" style="1" bestFit="1" customWidth="1"/>
    <col min="6147" max="6147" width="8.44140625" style="1" customWidth="1"/>
    <col min="6148" max="6148" width="7.44140625" style="1" customWidth="1"/>
    <col min="6149" max="6149" width="8.77734375" style="1" customWidth="1"/>
    <col min="6150" max="6150" width="7.21875" style="1" customWidth="1"/>
    <col min="6151" max="6151" width="8.21875" style="1" customWidth="1"/>
    <col min="6152" max="6152" width="9.44140625" style="1" customWidth="1"/>
    <col min="6153" max="6153" width="8.21875" style="1" customWidth="1"/>
    <col min="6154" max="6156" width="9.21875" style="1"/>
    <col min="6157" max="6157" width="15.44140625" style="1" customWidth="1"/>
    <col min="6158" max="6400" width="9.21875" style="1"/>
    <col min="6401" max="6401" width="9.77734375" style="1" customWidth="1"/>
    <col min="6402" max="6402" width="9.44140625" style="1" bestFit="1" customWidth="1"/>
    <col min="6403" max="6403" width="8.44140625" style="1" customWidth="1"/>
    <col min="6404" max="6404" width="7.44140625" style="1" customWidth="1"/>
    <col min="6405" max="6405" width="8.77734375" style="1" customWidth="1"/>
    <col min="6406" max="6406" width="7.21875" style="1" customWidth="1"/>
    <col min="6407" max="6407" width="8.21875" style="1" customWidth="1"/>
    <col min="6408" max="6408" width="9.44140625" style="1" customWidth="1"/>
    <col min="6409" max="6409" width="8.21875" style="1" customWidth="1"/>
    <col min="6410" max="6412" width="9.21875" style="1"/>
    <col min="6413" max="6413" width="15.44140625" style="1" customWidth="1"/>
    <col min="6414" max="6656" width="9.21875" style="1"/>
    <col min="6657" max="6657" width="9.77734375" style="1" customWidth="1"/>
    <col min="6658" max="6658" width="9.44140625" style="1" bestFit="1" customWidth="1"/>
    <col min="6659" max="6659" width="8.44140625" style="1" customWidth="1"/>
    <col min="6660" max="6660" width="7.44140625" style="1" customWidth="1"/>
    <col min="6661" max="6661" width="8.77734375" style="1" customWidth="1"/>
    <col min="6662" max="6662" width="7.21875" style="1" customWidth="1"/>
    <col min="6663" max="6663" width="8.21875" style="1" customWidth="1"/>
    <col min="6664" max="6664" width="9.44140625" style="1" customWidth="1"/>
    <col min="6665" max="6665" width="8.21875" style="1" customWidth="1"/>
    <col min="6666" max="6668" width="9.21875" style="1"/>
    <col min="6669" max="6669" width="15.44140625" style="1" customWidth="1"/>
    <col min="6670" max="6912" width="9.21875" style="1"/>
    <col min="6913" max="6913" width="9.77734375" style="1" customWidth="1"/>
    <col min="6914" max="6914" width="9.44140625" style="1" bestFit="1" customWidth="1"/>
    <col min="6915" max="6915" width="8.44140625" style="1" customWidth="1"/>
    <col min="6916" max="6916" width="7.44140625" style="1" customWidth="1"/>
    <col min="6917" max="6917" width="8.77734375" style="1" customWidth="1"/>
    <col min="6918" max="6918" width="7.21875" style="1" customWidth="1"/>
    <col min="6919" max="6919" width="8.21875" style="1" customWidth="1"/>
    <col min="6920" max="6920" width="9.44140625" style="1" customWidth="1"/>
    <col min="6921" max="6921" width="8.21875" style="1" customWidth="1"/>
    <col min="6922" max="6924" width="9.21875" style="1"/>
    <col min="6925" max="6925" width="15.44140625" style="1" customWidth="1"/>
    <col min="6926" max="7168" width="9.21875" style="1"/>
    <col min="7169" max="7169" width="9.77734375" style="1" customWidth="1"/>
    <col min="7170" max="7170" width="9.44140625" style="1" bestFit="1" customWidth="1"/>
    <col min="7171" max="7171" width="8.44140625" style="1" customWidth="1"/>
    <col min="7172" max="7172" width="7.44140625" style="1" customWidth="1"/>
    <col min="7173" max="7173" width="8.77734375" style="1" customWidth="1"/>
    <col min="7174" max="7174" width="7.21875" style="1" customWidth="1"/>
    <col min="7175" max="7175" width="8.21875" style="1" customWidth="1"/>
    <col min="7176" max="7176" width="9.44140625" style="1" customWidth="1"/>
    <col min="7177" max="7177" width="8.21875" style="1" customWidth="1"/>
    <col min="7178" max="7180" width="9.21875" style="1"/>
    <col min="7181" max="7181" width="15.44140625" style="1" customWidth="1"/>
    <col min="7182" max="7424" width="9.21875" style="1"/>
    <col min="7425" max="7425" width="9.77734375" style="1" customWidth="1"/>
    <col min="7426" max="7426" width="9.44140625" style="1" bestFit="1" customWidth="1"/>
    <col min="7427" max="7427" width="8.44140625" style="1" customWidth="1"/>
    <col min="7428" max="7428" width="7.44140625" style="1" customWidth="1"/>
    <col min="7429" max="7429" width="8.77734375" style="1" customWidth="1"/>
    <col min="7430" max="7430" width="7.21875" style="1" customWidth="1"/>
    <col min="7431" max="7431" width="8.21875" style="1" customWidth="1"/>
    <col min="7432" max="7432" width="9.44140625" style="1" customWidth="1"/>
    <col min="7433" max="7433" width="8.21875" style="1" customWidth="1"/>
    <col min="7434" max="7436" width="9.21875" style="1"/>
    <col min="7437" max="7437" width="15.44140625" style="1" customWidth="1"/>
    <col min="7438" max="7680" width="9.21875" style="1"/>
    <col min="7681" max="7681" width="9.77734375" style="1" customWidth="1"/>
    <col min="7682" max="7682" width="9.44140625" style="1" bestFit="1" customWidth="1"/>
    <col min="7683" max="7683" width="8.44140625" style="1" customWidth="1"/>
    <col min="7684" max="7684" width="7.44140625" style="1" customWidth="1"/>
    <col min="7685" max="7685" width="8.77734375" style="1" customWidth="1"/>
    <col min="7686" max="7686" width="7.21875" style="1" customWidth="1"/>
    <col min="7687" max="7687" width="8.21875" style="1" customWidth="1"/>
    <col min="7688" max="7688" width="9.44140625" style="1" customWidth="1"/>
    <col min="7689" max="7689" width="8.21875" style="1" customWidth="1"/>
    <col min="7690" max="7692" width="9.21875" style="1"/>
    <col min="7693" max="7693" width="15.44140625" style="1" customWidth="1"/>
    <col min="7694" max="7936" width="9.21875" style="1"/>
    <col min="7937" max="7937" width="9.77734375" style="1" customWidth="1"/>
    <col min="7938" max="7938" width="9.44140625" style="1" bestFit="1" customWidth="1"/>
    <col min="7939" max="7939" width="8.44140625" style="1" customWidth="1"/>
    <col min="7940" max="7940" width="7.44140625" style="1" customWidth="1"/>
    <col min="7941" max="7941" width="8.77734375" style="1" customWidth="1"/>
    <col min="7942" max="7942" width="7.21875" style="1" customWidth="1"/>
    <col min="7943" max="7943" width="8.21875" style="1" customWidth="1"/>
    <col min="7944" max="7944" width="9.44140625" style="1" customWidth="1"/>
    <col min="7945" max="7945" width="8.21875" style="1" customWidth="1"/>
    <col min="7946" max="7948" width="9.21875" style="1"/>
    <col min="7949" max="7949" width="15.44140625" style="1" customWidth="1"/>
    <col min="7950" max="8192" width="9.21875" style="1"/>
    <col min="8193" max="8193" width="9.77734375" style="1" customWidth="1"/>
    <col min="8194" max="8194" width="9.44140625" style="1" bestFit="1" customWidth="1"/>
    <col min="8195" max="8195" width="8.44140625" style="1" customWidth="1"/>
    <col min="8196" max="8196" width="7.44140625" style="1" customWidth="1"/>
    <col min="8197" max="8197" width="8.77734375" style="1" customWidth="1"/>
    <col min="8198" max="8198" width="7.21875" style="1" customWidth="1"/>
    <col min="8199" max="8199" width="8.21875" style="1" customWidth="1"/>
    <col min="8200" max="8200" width="9.44140625" style="1" customWidth="1"/>
    <col min="8201" max="8201" width="8.21875" style="1" customWidth="1"/>
    <col min="8202" max="8204" width="9.21875" style="1"/>
    <col min="8205" max="8205" width="15.44140625" style="1" customWidth="1"/>
    <col min="8206" max="8448" width="9.21875" style="1"/>
    <col min="8449" max="8449" width="9.77734375" style="1" customWidth="1"/>
    <col min="8450" max="8450" width="9.44140625" style="1" bestFit="1" customWidth="1"/>
    <col min="8451" max="8451" width="8.44140625" style="1" customWidth="1"/>
    <col min="8452" max="8452" width="7.44140625" style="1" customWidth="1"/>
    <col min="8453" max="8453" width="8.77734375" style="1" customWidth="1"/>
    <col min="8454" max="8454" width="7.21875" style="1" customWidth="1"/>
    <col min="8455" max="8455" width="8.21875" style="1" customWidth="1"/>
    <col min="8456" max="8456" width="9.44140625" style="1" customWidth="1"/>
    <col min="8457" max="8457" width="8.21875" style="1" customWidth="1"/>
    <col min="8458" max="8460" width="9.21875" style="1"/>
    <col min="8461" max="8461" width="15.44140625" style="1" customWidth="1"/>
    <col min="8462" max="8704" width="9.21875" style="1"/>
    <col min="8705" max="8705" width="9.77734375" style="1" customWidth="1"/>
    <col min="8706" max="8706" width="9.44140625" style="1" bestFit="1" customWidth="1"/>
    <col min="8707" max="8707" width="8.44140625" style="1" customWidth="1"/>
    <col min="8708" max="8708" width="7.44140625" style="1" customWidth="1"/>
    <col min="8709" max="8709" width="8.77734375" style="1" customWidth="1"/>
    <col min="8710" max="8710" width="7.21875" style="1" customWidth="1"/>
    <col min="8711" max="8711" width="8.21875" style="1" customWidth="1"/>
    <col min="8712" max="8712" width="9.44140625" style="1" customWidth="1"/>
    <col min="8713" max="8713" width="8.21875" style="1" customWidth="1"/>
    <col min="8714" max="8716" width="9.21875" style="1"/>
    <col min="8717" max="8717" width="15.44140625" style="1" customWidth="1"/>
    <col min="8718" max="8960" width="9.21875" style="1"/>
    <col min="8961" max="8961" width="9.77734375" style="1" customWidth="1"/>
    <col min="8962" max="8962" width="9.44140625" style="1" bestFit="1" customWidth="1"/>
    <col min="8963" max="8963" width="8.44140625" style="1" customWidth="1"/>
    <col min="8964" max="8964" width="7.44140625" style="1" customWidth="1"/>
    <col min="8965" max="8965" width="8.77734375" style="1" customWidth="1"/>
    <col min="8966" max="8966" width="7.21875" style="1" customWidth="1"/>
    <col min="8967" max="8967" width="8.21875" style="1" customWidth="1"/>
    <col min="8968" max="8968" width="9.44140625" style="1" customWidth="1"/>
    <col min="8969" max="8969" width="8.21875" style="1" customWidth="1"/>
    <col min="8970" max="8972" width="9.21875" style="1"/>
    <col min="8973" max="8973" width="15.44140625" style="1" customWidth="1"/>
    <col min="8974" max="9216" width="9.21875" style="1"/>
    <col min="9217" max="9217" width="9.77734375" style="1" customWidth="1"/>
    <col min="9218" max="9218" width="9.44140625" style="1" bestFit="1" customWidth="1"/>
    <col min="9219" max="9219" width="8.44140625" style="1" customWidth="1"/>
    <col min="9220" max="9220" width="7.44140625" style="1" customWidth="1"/>
    <col min="9221" max="9221" width="8.77734375" style="1" customWidth="1"/>
    <col min="9222" max="9222" width="7.21875" style="1" customWidth="1"/>
    <col min="9223" max="9223" width="8.21875" style="1" customWidth="1"/>
    <col min="9224" max="9224" width="9.44140625" style="1" customWidth="1"/>
    <col min="9225" max="9225" width="8.21875" style="1" customWidth="1"/>
    <col min="9226" max="9228" width="9.21875" style="1"/>
    <col min="9229" max="9229" width="15.44140625" style="1" customWidth="1"/>
    <col min="9230" max="9472" width="9.21875" style="1"/>
    <col min="9473" max="9473" width="9.77734375" style="1" customWidth="1"/>
    <col min="9474" max="9474" width="9.44140625" style="1" bestFit="1" customWidth="1"/>
    <col min="9475" max="9475" width="8.44140625" style="1" customWidth="1"/>
    <col min="9476" max="9476" width="7.44140625" style="1" customWidth="1"/>
    <col min="9477" max="9477" width="8.77734375" style="1" customWidth="1"/>
    <col min="9478" max="9478" width="7.21875" style="1" customWidth="1"/>
    <col min="9479" max="9479" width="8.21875" style="1" customWidth="1"/>
    <col min="9480" max="9480" width="9.44140625" style="1" customWidth="1"/>
    <col min="9481" max="9481" width="8.21875" style="1" customWidth="1"/>
    <col min="9482" max="9484" width="9.21875" style="1"/>
    <col min="9485" max="9485" width="15.44140625" style="1" customWidth="1"/>
    <col min="9486" max="9728" width="9.21875" style="1"/>
    <col min="9729" max="9729" width="9.77734375" style="1" customWidth="1"/>
    <col min="9730" max="9730" width="9.44140625" style="1" bestFit="1" customWidth="1"/>
    <col min="9731" max="9731" width="8.44140625" style="1" customWidth="1"/>
    <col min="9732" max="9732" width="7.44140625" style="1" customWidth="1"/>
    <col min="9733" max="9733" width="8.77734375" style="1" customWidth="1"/>
    <col min="9734" max="9734" width="7.21875" style="1" customWidth="1"/>
    <col min="9735" max="9735" width="8.21875" style="1" customWidth="1"/>
    <col min="9736" max="9736" width="9.44140625" style="1" customWidth="1"/>
    <col min="9737" max="9737" width="8.21875" style="1" customWidth="1"/>
    <col min="9738" max="9740" width="9.21875" style="1"/>
    <col min="9741" max="9741" width="15.44140625" style="1" customWidth="1"/>
    <col min="9742" max="9984" width="9.21875" style="1"/>
    <col min="9985" max="9985" width="9.77734375" style="1" customWidth="1"/>
    <col min="9986" max="9986" width="9.44140625" style="1" bestFit="1" customWidth="1"/>
    <col min="9987" max="9987" width="8.44140625" style="1" customWidth="1"/>
    <col min="9988" max="9988" width="7.44140625" style="1" customWidth="1"/>
    <col min="9989" max="9989" width="8.77734375" style="1" customWidth="1"/>
    <col min="9990" max="9990" width="7.21875" style="1" customWidth="1"/>
    <col min="9991" max="9991" width="8.21875" style="1" customWidth="1"/>
    <col min="9992" max="9992" width="9.44140625" style="1" customWidth="1"/>
    <col min="9993" max="9993" width="8.21875" style="1" customWidth="1"/>
    <col min="9994" max="9996" width="9.21875" style="1"/>
    <col min="9997" max="9997" width="15.44140625" style="1" customWidth="1"/>
    <col min="9998" max="10240" width="9.21875" style="1"/>
    <col min="10241" max="10241" width="9.77734375" style="1" customWidth="1"/>
    <col min="10242" max="10242" width="9.44140625" style="1" bestFit="1" customWidth="1"/>
    <col min="10243" max="10243" width="8.44140625" style="1" customWidth="1"/>
    <col min="10244" max="10244" width="7.44140625" style="1" customWidth="1"/>
    <col min="10245" max="10245" width="8.77734375" style="1" customWidth="1"/>
    <col min="10246" max="10246" width="7.21875" style="1" customWidth="1"/>
    <col min="10247" max="10247" width="8.21875" style="1" customWidth="1"/>
    <col min="10248" max="10248" width="9.44140625" style="1" customWidth="1"/>
    <col min="10249" max="10249" width="8.21875" style="1" customWidth="1"/>
    <col min="10250" max="10252" width="9.21875" style="1"/>
    <col min="10253" max="10253" width="15.44140625" style="1" customWidth="1"/>
    <col min="10254" max="10496" width="9.21875" style="1"/>
    <col min="10497" max="10497" width="9.77734375" style="1" customWidth="1"/>
    <col min="10498" max="10498" width="9.44140625" style="1" bestFit="1" customWidth="1"/>
    <col min="10499" max="10499" width="8.44140625" style="1" customWidth="1"/>
    <col min="10500" max="10500" width="7.44140625" style="1" customWidth="1"/>
    <col min="10501" max="10501" width="8.77734375" style="1" customWidth="1"/>
    <col min="10502" max="10502" width="7.21875" style="1" customWidth="1"/>
    <col min="10503" max="10503" width="8.21875" style="1" customWidth="1"/>
    <col min="10504" max="10504" width="9.44140625" style="1" customWidth="1"/>
    <col min="10505" max="10505" width="8.21875" style="1" customWidth="1"/>
    <col min="10506" max="10508" width="9.21875" style="1"/>
    <col min="10509" max="10509" width="15.44140625" style="1" customWidth="1"/>
    <col min="10510" max="10752" width="9.21875" style="1"/>
    <col min="10753" max="10753" width="9.77734375" style="1" customWidth="1"/>
    <col min="10754" max="10754" width="9.44140625" style="1" bestFit="1" customWidth="1"/>
    <col min="10755" max="10755" width="8.44140625" style="1" customWidth="1"/>
    <col min="10756" max="10756" width="7.44140625" style="1" customWidth="1"/>
    <col min="10757" max="10757" width="8.77734375" style="1" customWidth="1"/>
    <col min="10758" max="10758" width="7.21875" style="1" customWidth="1"/>
    <col min="10759" max="10759" width="8.21875" style="1" customWidth="1"/>
    <col min="10760" max="10760" width="9.44140625" style="1" customWidth="1"/>
    <col min="10761" max="10761" width="8.21875" style="1" customWidth="1"/>
    <col min="10762" max="10764" width="9.21875" style="1"/>
    <col min="10765" max="10765" width="15.44140625" style="1" customWidth="1"/>
    <col min="10766" max="11008" width="9.21875" style="1"/>
    <col min="11009" max="11009" width="9.77734375" style="1" customWidth="1"/>
    <col min="11010" max="11010" width="9.44140625" style="1" bestFit="1" customWidth="1"/>
    <col min="11011" max="11011" width="8.44140625" style="1" customWidth="1"/>
    <col min="11012" max="11012" width="7.44140625" style="1" customWidth="1"/>
    <col min="11013" max="11013" width="8.77734375" style="1" customWidth="1"/>
    <col min="11014" max="11014" width="7.21875" style="1" customWidth="1"/>
    <col min="11015" max="11015" width="8.21875" style="1" customWidth="1"/>
    <col min="11016" max="11016" width="9.44140625" style="1" customWidth="1"/>
    <col min="11017" max="11017" width="8.21875" style="1" customWidth="1"/>
    <col min="11018" max="11020" width="9.21875" style="1"/>
    <col min="11021" max="11021" width="15.44140625" style="1" customWidth="1"/>
    <col min="11022" max="11264" width="9.21875" style="1"/>
    <col min="11265" max="11265" width="9.77734375" style="1" customWidth="1"/>
    <col min="11266" max="11266" width="9.44140625" style="1" bestFit="1" customWidth="1"/>
    <col min="11267" max="11267" width="8.44140625" style="1" customWidth="1"/>
    <col min="11268" max="11268" width="7.44140625" style="1" customWidth="1"/>
    <col min="11269" max="11269" width="8.77734375" style="1" customWidth="1"/>
    <col min="11270" max="11270" width="7.21875" style="1" customWidth="1"/>
    <col min="11271" max="11271" width="8.21875" style="1" customWidth="1"/>
    <col min="11272" max="11272" width="9.44140625" style="1" customWidth="1"/>
    <col min="11273" max="11273" width="8.21875" style="1" customWidth="1"/>
    <col min="11274" max="11276" width="9.21875" style="1"/>
    <col min="11277" max="11277" width="15.44140625" style="1" customWidth="1"/>
    <col min="11278" max="11520" width="9.21875" style="1"/>
    <col min="11521" max="11521" width="9.77734375" style="1" customWidth="1"/>
    <col min="11522" max="11522" width="9.44140625" style="1" bestFit="1" customWidth="1"/>
    <col min="11523" max="11523" width="8.44140625" style="1" customWidth="1"/>
    <col min="11524" max="11524" width="7.44140625" style="1" customWidth="1"/>
    <col min="11525" max="11525" width="8.77734375" style="1" customWidth="1"/>
    <col min="11526" max="11526" width="7.21875" style="1" customWidth="1"/>
    <col min="11527" max="11527" width="8.21875" style="1" customWidth="1"/>
    <col min="11528" max="11528" width="9.44140625" style="1" customWidth="1"/>
    <col min="11529" max="11529" width="8.21875" style="1" customWidth="1"/>
    <col min="11530" max="11532" width="9.21875" style="1"/>
    <col min="11533" max="11533" width="15.44140625" style="1" customWidth="1"/>
    <col min="11534" max="11776" width="9.21875" style="1"/>
    <col min="11777" max="11777" width="9.77734375" style="1" customWidth="1"/>
    <col min="11778" max="11778" width="9.44140625" style="1" bestFit="1" customWidth="1"/>
    <col min="11779" max="11779" width="8.44140625" style="1" customWidth="1"/>
    <col min="11780" max="11780" width="7.44140625" style="1" customWidth="1"/>
    <col min="11781" max="11781" width="8.77734375" style="1" customWidth="1"/>
    <col min="11782" max="11782" width="7.21875" style="1" customWidth="1"/>
    <col min="11783" max="11783" width="8.21875" style="1" customWidth="1"/>
    <col min="11784" max="11784" width="9.44140625" style="1" customWidth="1"/>
    <col min="11785" max="11785" width="8.21875" style="1" customWidth="1"/>
    <col min="11786" max="11788" width="9.21875" style="1"/>
    <col min="11789" max="11789" width="15.44140625" style="1" customWidth="1"/>
    <col min="11790" max="12032" width="9.21875" style="1"/>
    <col min="12033" max="12033" width="9.77734375" style="1" customWidth="1"/>
    <col min="12034" max="12034" width="9.44140625" style="1" bestFit="1" customWidth="1"/>
    <col min="12035" max="12035" width="8.44140625" style="1" customWidth="1"/>
    <col min="12036" max="12036" width="7.44140625" style="1" customWidth="1"/>
    <col min="12037" max="12037" width="8.77734375" style="1" customWidth="1"/>
    <col min="12038" max="12038" width="7.21875" style="1" customWidth="1"/>
    <col min="12039" max="12039" width="8.21875" style="1" customWidth="1"/>
    <col min="12040" max="12040" width="9.44140625" style="1" customWidth="1"/>
    <col min="12041" max="12041" width="8.21875" style="1" customWidth="1"/>
    <col min="12042" max="12044" width="9.21875" style="1"/>
    <col min="12045" max="12045" width="15.44140625" style="1" customWidth="1"/>
    <col min="12046" max="12288" width="9.21875" style="1"/>
    <col min="12289" max="12289" width="9.77734375" style="1" customWidth="1"/>
    <col min="12290" max="12290" width="9.44140625" style="1" bestFit="1" customWidth="1"/>
    <col min="12291" max="12291" width="8.44140625" style="1" customWidth="1"/>
    <col min="12292" max="12292" width="7.44140625" style="1" customWidth="1"/>
    <col min="12293" max="12293" width="8.77734375" style="1" customWidth="1"/>
    <col min="12294" max="12294" width="7.21875" style="1" customWidth="1"/>
    <col min="12295" max="12295" width="8.21875" style="1" customWidth="1"/>
    <col min="12296" max="12296" width="9.44140625" style="1" customWidth="1"/>
    <col min="12297" max="12297" width="8.21875" style="1" customWidth="1"/>
    <col min="12298" max="12300" width="9.21875" style="1"/>
    <col min="12301" max="12301" width="15.44140625" style="1" customWidth="1"/>
    <col min="12302" max="12544" width="9.21875" style="1"/>
    <col min="12545" max="12545" width="9.77734375" style="1" customWidth="1"/>
    <col min="12546" max="12546" width="9.44140625" style="1" bestFit="1" customWidth="1"/>
    <col min="12547" max="12547" width="8.44140625" style="1" customWidth="1"/>
    <col min="12548" max="12548" width="7.44140625" style="1" customWidth="1"/>
    <col min="12549" max="12549" width="8.77734375" style="1" customWidth="1"/>
    <col min="12550" max="12550" width="7.21875" style="1" customWidth="1"/>
    <col min="12551" max="12551" width="8.21875" style="1" customWidth="1"/>
    <col min="12552" max="12552" width="9.44140625" style="1" customWidth="1"/>
    <col min="12553" max="12553" width="8.21875" style="1" customWidth="1"/>
    <col min="12554" max="12556" width="9.21875" style="1"/>
    <col min="12557" max="12557" width="15.44140625" style="1" customWidth="1"/>
    <col min="12558" max="12800" width="9.21875" style="1"/>
    <col min="12801" max="12801" width="9.77734375" style="1" customWidth="1"/>
    <col min="12802" max="12802" width="9.44140625" style="1" bestFit="1" customWidth="1"/>
    <col min="12803" max="12803" width="8.44140625" style="1" customWidth="1"/>
    <col min="12804" max="12804" width="7.44140625" style="1" customWidth="1"/>
    <col min="12805" max="12805" width="8.77734375" style="1" customWidth="1"/>
    <col min="12806" max="12806" width="7.21875" style="1" customWidth="1"/>
    <col min="12807" max="12807" width="8.21875" style="1" customWidth="1"/>
    <col min="12808" max="12808" width="9.44140625" style="1" customWidth="1"/>
    <col min="12809" max="12809" width="8.21875" style="1" customWidth="1"/>
    <col min="12810" max="12812" width="9.21875" style="1"/>
    <col min="12813" max="12813" width="15.44140625" style="1" customWidth="1"/>
    <col min="12814" max="13056" width="9.21875" style="1"/>
    <col min="13057" max="13057" width="9.77734375" style="1" customWidth="1"/>
    <col min="13058" max="13058" width="9.44140625" style="1" bestFit="1" customWidth="1"/>
    <col min="13059" max="13059" width="8.44140625" style="1" customWidth="1"/>
    <col min="13060" max="13060" width="7.44140625" style="1" customWidth="1"/>
    <col min="13061" max="13061" width="8.77734375" style="1" customWidth="1"/>
    <col min="13062" max="13062" width="7.21875" style="1" customWidth="1"/>
    <col min="13063" max="13063" width="8.21875" style="1" customWidth="1"/>
    <col min="13064" max="13064" width="9.44140625" style="1" customWidth="1"/>
    <col min="13065" max="13065" width="8.21875" style="1" customWidth="1"/>
    <col min="13066" max="13068" width="9.21875" style="1"/>
    <col min="13069" max="13069" width="15.44140625" style="1" customWidth="1"/>
    <col min="13070" max="13312" width="9.21875" style="1"/>
    <col min="13313" max="13313" width="9.77734375" style="1" customWidth="1"/>
    <col min="13314" max="13314" width="9.44140625" style="1" bestFit="1" customWidth="1"/>
    <col min="13315" max="13315" width="8.44140625" style="1" customWidth="1"/>
    <col min="13316" max="13316" width="7.44140625" style="1" customWidth="1"/>
    <col min="13317" max="13317" width="8.77734375" style="1" customWidth="1"/>
    <col min="13318" max="13318" width="7.21875" style="1" customWidth="1"/>
    <col min="13319" max="13319" width="8.21875" style="1" customWidth="1"/>
    <col min="13320" max="13320" width="9.44140625" style="1" customWidth="1"/>
    <col min="13321" max="13321" width="8.21875" style="1" customWidth="1"/>
    <col min="13322" max="13324" width="9.21875" style="1"/>
    <col min="13325" max="13325" width="15.44140625" style="1" customWidth="1"/>
    <col min="13326" max="13568" width="9.21875" style="1"/>
    <col min="13569" max="13569" width="9.77734375" style="1" customWidth="1"/>
    <col min="13570" max="13570" width="9.44140625" style="1" bestFit="1" customWidth="1"/>
    <col min="13571" max="13571" width="8.44140625" style="1" customWidth="1"/>
    <col min="13572" max="13572" width="7.44140625" style="1" customWidth="1"/>
    <col min="13573" max="13573" width="8.77734375" style="1" customWidth="1"/>
    <col min="13574" max="13574" width="7.21875" style="1" customWidth="1"/>
    <col min="13575" max="13575" width="8.21875" style="1" customWidth="1"/>
    <col min="13576" max="13576" width="9.44140625" style="1" customWidth="1"/>
    <col min="13577" max="13577" width="8.21875" style="1" customWidth="1"/>
    <col min="13578" max="13580" width="9.21875" style="1"/>
    <col min="13581" max="13581" width="15.44140625" style="1" customWidth="1"/>
    <col min="13582" max="13824" width="9.21875" style="1"/>
    <col min="13825" max="13825" width="9.77734375" style="1" customWidth="1"/>
    <col min="13826" max="13826" width="9.44140625" style="1" bestFit="1" customWidth="1"/>
    <col min="13827" max="13827" width="8.44140625" style="1" customWidth="1"/>
    <col min="13828" max="13828" width="7.44140625" style="1" customWidth="1"/>
    <col min="13829" max="13829" width="8.77734375" style="1" customWidth="1"/>
    <col min="13830" max="13830" width="7.21875" style="1" customWidth="1"/>
    <col min="13831" max="13831" width="8.21875" style="1" customWidth="1"/>
    <col min="13832" max="13832" width="9.44140625" style="1" customWidth="1"/>
    <col min="13833" max="13833" width="8.21875" style="1" customWidth="1"/>
    <col min="13834" max="13836" width="9.21875" style="1"/>
    <col min="13837" max="13837" width="15.44140625" style="1" customWidth="1"/>
    <col min="13838" max="14080" width="9.21875" style="1"/>
    <col min="14081" max="14081" width="9.77734375" style="1" customWidth="1"/>
    <col min="14082" max="14082" width="9.44140625" style="1" bestFit="1" customWidth="1"/>
    <col min="14083" max="14083" width="8.44140625" style="1" customWidth="1"/>
    <col min="14084" max="14084" width="7.44140625" style="1" customWidth="1"/>
    <col min="14085" max="14085" width="8.77734375" style="1" customWidth="1"/>
    <col min="14086" max="14086" width="7.21875" style="1" customWidth="1"/>
    <col min="14087" max="14087" width="8.21875" style="1" customWidth="1"/>
    <col min="14088" max="14088" width="9.44140625" style="1" customWidth="1"/>
    <col min="14089" max="14089" width="8.21875" style="1" customWidth="1"/>
    <col min="14090" max="14092" width="9.21875" style="1"/>
    <col min="14093" max="14093" width="15.44140625" style="1" customWidth="1"/>
    <col min="14094" max="14336" width="9.21875" style="1"/>
    <col min="14337" max="14337" width="9.77734375" style="1" customWidth="1"/>
    <col min="14338" max="14338" width="9.44140625" style="1" bestFit="1" customWidth="1"/>
    <col min="14339" max="14339" width="8.44140625" style="1" customWidth="1"/>
    <col min="14340" max="14340" width="7.44140625" style="1" customWidth="1"/>
    <col min="14341" max="14341" width="8.77734375" style="1" customWidth="1"/>
    <col min="14342" max="14342" width="7.21875" style="1" customWidth="1"/>
    <col min="14343" max="14343" width="8.21875" style="1" customWidth="1"/>
    <col min="14344" max="14344" width="9.44140625" style="1" customWidth="1"/>
    <col min="14345" max="14345" width="8.21875" style="1" customWidth="1"/>
    <col min="14346" max="14348" width="9.21875" style="1"/>
    <col min="14349" max="14349" width="15.44140625" style="1" customWidth="1"/>
    <col min="14350" max="14592" width="9.21875" style="1"/>
    <col min="14593" max="14593" width="9.77734375" style="1" customWidth="1"/>
    <col min="14594" max="14594" width="9.44140625" style="1" bestFit="1" customWidth="1"/>
    <col min="14595" max="14595" width="8.44140625" style="1" customWidth="1"/>
    <col min="14596" max="14596" width="7.44140625" style="1" customWidth="1"/>
    <col min="14597" max="14597" width="8.77734375" style="1" customWidth="1"/>
    <col min="14598" max="14598" width="7.21875" style="1" customWidth="1"/>
    <col min="14599" max="14599" width="8.21875" style="1" customWidth="1"/>
    <col min="14600" max="14600" width="9.44140625" style="1" customWidth="1"/>
    <col min="14601" max="14601" width="8.21875" style="1" customWidth="1"/>
    <col min="14602" max="14604" width="9.21875" style="1"/>
    <col min="14605" max="14605" width="15.44140625" style="1" customWidth="1"/>
    <col min="14606" max="14848" width="9.21875" style="1"/>
    <col min="14849" max="14849" width="9.77734375" style="1" customWidth="1"/>
    <col min="14850" max="14850" width="9.44140625" style="1" bestFit="1" customWidth="1"/>
    <col min="14851" max="14851" width="8.44140625" style="1" customWidth="1"/>
    <col min="14852" max="14852" width="7.44140625" style="1" customWidth="1"/>
    <col min="14853" max="14853" width="8.77734375" style="1" customWidth="1"/>
    <col min="14854" max="14854" width="7.21875" style="1" customWidth="1"/>
    <col min="14855" max="14855" width="8.21875" style="1" customWidth="1"/>
    <col min="14856" max="14856" width="9.44140625" style="1" customWidth="1"/>
    <col min="14857" max="14857" width="8.21875" style="1" customWidth="1"/>
    <col min="14858" max="14860" width="9.21875" style="1"/>
    <col min="14861" max="14861" width="15.44140625" style="1" customWidth="1"/>
    <col min="14862" max="15104" width="9.21875" style="1"/>
    <col min="15105" max="15105" width="9.77734375" style="1" customWidth="1"/>
    <col min="15106" max="15106" width="9.44140625" style="1" bestFit="1" customWidth="1"/>
    <col min="15107" max="15107" width="8.44140625" style="1" customWidth="1"/>
    <col min="15108" max="15108" width="7.44140625" style="1" customWidth="1"/>
    <col min="15109" max="15109" width="8.77734375" style="1" customWidth="1"/>
    <col min="15110" max="15110" width="7.21875" style="1" customWidth="1"/>
    <col min="15111" max="15111" width="8.21875" style="1" customWidth="1"/>
    <col min="15112" max="15112" width="9.44140625" style="1" customWidth="1"/>
    <col min="15113" max="15113" width="8.21875" style="1" customWidth="1"/>
    <col min="15114" max="15116" width="9.21875" style="1"/>
    <col min="15117" max="15117" width="15.44140625" style="1" customWidth="1"/>
    <col min="15118" max="15360" width="9.21875" style="1"/>
    <col min="15361" max="15361" width="9.77734375" style="1" customWidth="1"/>
    <col min="15362" max="15362" width="9.44140625" style="1" bestFit="1" customWidth="1"/>
    <col min="15363" max="15363" width="8.44140625" style="1" customWidth="1"/>
    <col min="15364" max="15364" width="7.44140625" style="1" customWidth="1"/>
    <col min="15365" max="15365" width="8.77734375" style="1" customWidth="1"/>
    <col min="15366" max="15366" width="7.21875" style="1" customWidth="1"/>
    <col min="15367" max="15367" width="8.21875" style="1" customWidth="1"/>
    <col min="15368" max="15368" width="9.44140625" style="1" customWidth="1"/>
    <col min="15369" max="15369" width="8.21875" style="1" customWidth="1"/>
    <col min="15370" max="15372" width="9.21875" style="1"/>
    <col min="15373" max="15373" width="15.44140625" style="1" customWidth="1"/>
    <col min="15374" max="15616" width="9.21875" style="1"/>
    <col min="15617" max="15617" width="9.77734375" style="1" customWidth="1"/>
    <col min="15618" max="15618" width="9.44140625" style="1" bestFit="1" customWidth="1"/>
    <col min="15619" max="15619" width="8.44140625" style="1" customWidth="1"/>
    <col min="15620" max="15620" width="7.44140625" style="1" customWidth="1"/>
    <col min="15621" max="15621" width="8.77734375" style="1" customWidth="1"/>
    <col min="15622" max="15622" width="7.21875" style="1" customWidth="1"/>
    <col min="15623" max="15623" width="8.21875" style="1" customWidth="1"/>
    <col min="15624" max="15624" width="9.44140625" style="1" customWidth="1"/>
    <col min="15625" max="15625" width="8.21875" style="1" customWidth="1"/>
    <col min="15626" max="15628" width="9.21875" style="1"/>
    <col min="15629" max="15629" width="15.44140625" style="1" customWidth="1"/>
    <col min="15630" max="15872" width="9.21875" style="1"/>
    <col min="15873" max="15873" width="9.77734375" style="1" customWidth="1"/>
    <col min="15874" max="15874" width="9.44140625" style="1" bestFit="1" customWidth="1"/>
    <col min="15875" max="15875" width="8.44140625" style="1" customWidth="1"/>
    <col min="15876" max="15876" width="7.44140625" style="1" customWidth="1"/>
    <col min="15877" max="15877" width="8.77734375" style="1" customWidth="1"/>
    <col min="15878" max="15878" width="7.21875" style="1" customWidth="1"/>
    <col min="15879" max="15879" width="8.21875" style="1" customWidth="1"/>
    <col min="15880" max="15880" width="9.44140625" style="1" customWidth="1"/>
    <col min="15881" max="15881" width="8.21875" style="1" customWidth="1"/>
    <col min="15882" max="15884" width="9.21875" style="1"/>
    <col min="15885" max="15885" width="15.44140625" style="1" customWidth="1"/>
    <col min="15886" max="16128" width="9.21875" style="1"/>
    <col min="16129" max="16129" width="9.77734375" style="1" customWidth="1"/>
    <col min="16130" max="16130" width="9.44140625" style="1" bestFit="1" customWidth="1"/>
    <col min="16131" max="16131" width="8.44140625" style="1" customWidth="1"/>
    <col min="16132" max="16132" width="7.44140625" style="1" customWidth="1"/>
    <col min="16133" max="16133" width="8.77734375" style="1" customWidth="1"/>
    <col min="16134" max="16134" width="7.21875" style="1" customWidth="1"/>
    <col min="16135" max="16135" width="8.21875" style="1" customWidth="1"/>
    <col min="16136" max="16136" width="9.44140625" style="1" customWidth="1"/>
    <col min="16137" max="16137" width="8.21875" style="1" customWidth="1"/>
    <col min="16138" max="16140" width="9.21875" style="1"/>
    <col min="16141" max="16141" width="15.44140625" style="1" customWidth="1"/>
    <col min="16142" max="16384" width="9.21875" style="1"/>
  </cols>
  <sheetData>
    <row r="2" spans="1:10" ht="15.6" x14ac:dyDescent="0.3">
      <c r="A2" s="2" t="s">
        <v>513</v>
      </c>
    </row>
    <row r="3" spans="1:10" ht="15.6" x14ac:dyDescent="0.3">
      <c r="A3" s="2"/>
    </row>
    <row r="4" spans="1:10" x14ac:dyDescent="0.25">
      <c r="A4" s="3" t="s">
        <v>1172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1173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 t="s">
        <v>1174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1175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 t="s">
        <v>1176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 t="s">
        <v>1177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1178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 t="s">
        <v>1179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 t="s">
        <v>1180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 t="s">
        <v>1181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 t="s">
        <v>1182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 t="s">
        <v>1183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 t="s">
        <v>1184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 t="s">
        <v>1185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 t="s">
        <v>533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 t="s">
        <v>534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 t="s">
        <v>535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 t="s">
        <v>536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 t="s">
        <v>537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 t="s">
        <v>538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 t="s">
        <v>1186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 t="s">
        <v>1187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 t="s">
        <v>1188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 t="s">
        <v>351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 t="s">
        <v>1189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1190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1191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 t="s">
        <v>1192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 t="s">
        <v>1193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 t="s">
        <v>1194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 t="s">
        <v>1195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 t="s">
        <v>1196</v>
      </c>
      <c r="C42" s="3" t="s">
        <v>1197</v>
      </c>
    </row>
    <row r="43" spans="1:10" x14ac:dyDescent="0.25">
      <c r="A43" s="3"/>
    </row>
    <row r="44" spans="1:10" x14ac:dyDescent="0.25">
      <c r="A44" s="3" t="s">
        <v>1198</v>
      </c>
    </row>
    <row r="45" spans="1:10" x14ac:dyDescent="0.25">
      <c r="A45" s="3"/>
    </row>
    <row r="46" spans="1:10" x14ac:dyDescent="0.25">
      <c r="A46" s="3" t="s">
        <v>1199</v>
      </c>
    </row>
    <row r="48" spans="1:10" x14ac:dyDescent="0.25">
      <c r="A48" s="3" t="s">
        <v>564</v>
      </c>
    </row>
    <row r="50" spans="1:4" x14ac:dyDescent="0.25">
      <c r="A50" s="3" t="s">
        <v>1200</v>
      </c>
    </row>
    <row r="52" spans="1:4" x14ac:dyDescent="0.25">
      <c r="B52" s="1" t="s">
        <v>566</v>
      </c>
    </row>
    <row r="53" spans="1:4" x14ac:dyDescent="0.25">
      <c r="B53" s="46" t="s">
        <v>567</v>
      </c>
    </row>
    <row r="55" spans="1:4" x14ac:dyDescent="0.25">
      <c r="B55" s="1" t="s">
        <v>568</v>
      </c>
    </row>
    <row r="56" spans="1:4" x14ac:dyDescent="0.25">
      <c r="B56" s="1" t="s">
        <v>569</v>
      </c>
    </row>
    <row r="57" spans="1:4" x14ac:dyDescent="0.25">
      <c r="B57" s="1" t="s">
        <v>570</v>
      </c>
    </row>
    <row r="58" spans="1:4" x14ac:dyDescent="0.25">
      <c r="B58" s="1" t="s">
        <v>571</v>
      </c>
    </row>
    <row r="60" spans="1:4" x14ac:dyDescent="0.25">
      <c r="B60" s="1" t="s">
        <v>572</v>
      </c>
    </row>
    <row r="61" spans="1:4" x14ac:dyDescent="0.25">
      <c r="B61" s="1" t="s">
        <v>573</v>
      </c>
    </row>
    <row r="62" spans="1:4" x14ac:dyDescent="0.25">
      <c r="B62" s="1" t="s">
        <v>574</v>
      </c>
    </row>
    <row r="63" spans="1:4" x14ac:dyDescent="0.25">
      <c r="A63" s="1" t="s">
        <v>43</v>
      </c>
    </row>
    <row r="64" spans="1:4" x14ac:dyDescent="0.25">
      <c r="A64" s="4" t="s">
        <v>271</v>
      </c>
      <c r="B64" s="18">
        <v>1</v>
      </c>
      <c r="C64" s="1" t="s">
        <v>46</v>
      </c>
      <c r="D64" s="1" t="s">
        <v>575</v>
      </c>
    </row>
    <row r="65" spans="1:8" x14ac:dyDescent="0.25">
      <c r="A65" s="4" t="s">
        <v>248</v>
      </c>
      <c r="B65" s="18">
        <v>0.05</v>
      </c>
      <c r="C65" s="1" t="s">
        <v>212</v>
      </c>
    </row>
    <row r="66" spans="1:8" x14ac:dyDescent="0.25">
      <c r="A66" s="4" t="s">
        <v>576</v>
      </c>
      <c r="B66" s="18">
        <v>6.5</v>
      </c>
      <c r="C66" s="1" t="s">
        <v>52</v>
      </c>
    </row>
    <row r="68" spans="1:8" x14ac:dyDescent="0.25">
      <c r="A68" s="4" t="s">
        <v>55</v>
      </c>
    </row>
    <row r="69" spans="1:8" x14ac:dyDescent="0.25">
      <c r="A69" s="4" t="s">
        <v>577</v>
      </c>
      <c r="B69" s="19">
        <f>(125+B65)*B66*B64/45</f>
        <v>18.062777777777775</v>
      </c>
      <c r="C69" s="1" t="s">
        <v>52</v>
      </c>
    </row>
    <row r="70" spans="1:8" x14ac:dyDescent="0.25">
      <c r="A70" s="4"/>
    </row>
    <row r="71" spans="1:8" x14ac:dyDescent="0.25">
      <c r="A71" s="3" t="s">
        <v>1201</v>
      </c>
    </row>
    <row r="73" spans="1:8" x14ac:dyDescent="0.25">
      <c r="B73" s="1" t="s">
        <v>579</v>
      </c>
      <c r="F73" s="16" t="s">
        <v>580</v>
      </c>
      <c r="G73" s="1" t="s">
        <v>581</v>
      </c>
      <c r="H73" s="18">
        <v>0.92</v>
      </c>
    </row>
    <row r="74" spans="1:8" x14ac:dyDescent="0.25">
      <c r="B74" s="1" t="s">
        <v>585</v>
      </c>
    </row>
    <row r="76" spans="1:8" x14ac:dyDescent="0.25">
      <c r="B76" s="1" t="s">
        <v>586</v>
      </c>
    </row>
    <row r="77" spans="1:8" x14ac:dyDescent="0.25">
      <c r="B77" s="1" t="s">
        <v>587</v>
      </c>
    </row>
    <row r="79" spans="1:8" x14ac:dyDescent="0.25">
      <c r="B79" s="1" t="s">
        <v>588</v>
      </c>
    </row>
    <row r="81" spans="1:9" x14ac:dyDescent="0.25">
      <c r="B81" s="1" t="s">
        <v>589</v>
      </c>
    </row>
    <row r="83" spans="1:9" x14ac:dyDescent="0.25">
      <c r="B83" s="1" t="s">
        <v>590</v>
      </c>
      <c r="I83" s="1" t="s">
        <v>591</v>
      </c>
    </row>
    <row r="84" spans="1:9" x14ac:dyDescent="0.25">
      <c r="B84" s="1" t="s">
        <v>592</v>
      </c>
    </row>
    <row r="85" spans="1:9" x14ac:dyDescent="0.25">
      <c r="A85" s="1" t="s">
        <v>23</v>
      </c>
    </row>
    <row r="86" spans="1:9" x14ac:dyDescent="0.25">
      <c r="B86" s="1" t="s">
        <v>593</v>
      </c>
    </row>
    <row r="87" spans="1:9" x14ac:dyDescent="0.25">
      <c r="B87" s="1" t="s">
        <v>594</v>
      </c>
    </row>
    <row r="88" spans="1:9" x14ac:dyDescent="0.25">
      <c r="B88" s="1" t="s">
        <v>595</v>
      </c>
    </row>
    <row r="89" spans="1:9" x14ac:dyDescent="0.25">
      <c r="B89" s="1" t="s">
        <v>596</v>
      </c>
    </row>
    <row r="90" spans="1:9" x14ac:dyDescent="0.25">
      <c r="B90" s="1" t="s">
        <v>597</v>
      </c>
    </row>
    <row r="91" spans="1:9" x14ac:dyDescent="0.25">
      <c r="B91" s="1" t="s">
        <v>598</v>
      </c>
    </row>
    <row r="92" spans="1:9" x14ac:dyDescent="0.25">
      <c r="B92" s="1" t="s">
        <v>599</v>
      </c>
    </row>
    <row r="93" spans="1:9" x14ac:dyDescent="0.25">
      <c r="B93" s="1" t="s">
        <v>600</v>
      </c>
    </row>
    <row r="94" spans="1:9" x14ac:dyDescent="0.25">
      <c r="B94" s="1" t="s">
        <v>601</v>
      </c>
    </row>
    <row r="95" spans="1:9" x14ac:dyDescent="0.25">
      <c r="B95" s="1" t="s">
        <v>602</v>
      </c>
    </row>
    <row r="97" spans="1:3" x14ac:dyDescent="0.25">
      <c r="A97" s="1" t="s">
        <v>207</v>
      </c>
    </row>
    <row r="98" spans="1:3" x14ac:dyDescent="0.25">
      <c r="A98" s="4" t="s">
        <v>190</v>
      </c>
      <c r="B98" s="18">
        <v>30</v>
      </c>
      <c r="C98" s="1" t="s">
        <v>603</v>
      </c>
    </row>
    <row r="99" spans="1:3" x14ac:dyDescent="0.25">
      <c r="A99" s="4" t="s">
        <v>313</v>
      </c>
      <c r="B99" s="19">
        <f>B98*25.4</f>
        <v>762</v>
      </c>
      <c r="C99" s="1" t="s">
        <v>52</v>
      </c>
    </row>
    <row r="100" spans="1:3" x14ac:dyDescent="0.25">
      <c r="A100" s="4" t="s">
        <v>604</v>
      </c>
      <c r="B100" s="19">
        <f>B99/1000-2*B106/1000</f>
        <v>0.64440560000000002</v>
      </c>
      <c r="C100" s="1" t="s">
        <v>58</v>
      </c>
    </row>
    <row r="101" spans="1:3" x14ac:dyDescent="0.25">
      <c r="A101" s="4" t="s">
        <v>605</v>
      </c>
      <c r="B101" s="19">
        <f>IF(B98=24,228,IF(B98=30,280,IF(B98=36,332,IF(B98=42,385,IF(B98=48,438,IF(B98=54,491,IF(B98=60,544,IF(B98=72,652,0))))))))</f>
        <v>280</v>
      </c>
      <c r="C101" s="1" t="s">
        <v>52</v>
      </c>
    </row>
    <row r="102" spans="1:3" x14ac:dyDescent="0.25">
      <c r="A102" s="4" t="s">
        <v>606</v>
      </c>
      <c r="B102" s="18">
        <v>0</v>
      </c>
      <c r="C102" s="1" t="s">
        <v>172</v>
      </c>
    </row>
    <row r="103" spans="1:3" x14ac:dyDescent="0.25">
      <c r="A103" s="4" t="s">
        <v>607</v>
      </c>
      <c r="B103" s="19">
        <v>45</v>
      </c>
      <c r="C103" s="1" t="s">
        <v>172</v>
      </c>
    </row>
    <row r="104" spans="1:3" x14ac:dyDescent="0.25">
      <c r="A104" s="4" t="s">
        <v>608</v>
      </c>
      <c r="B104" s="18">
        <v>30</v>
      </c>
      <c r="C104" s="1" t="s">
        <v>172</v>
      </c>
    </row>
    <row r="105" spans="1:3" x14ac:dyDescent="0.25">
      <c r="A105" s="4" t="s">
        <v>609</v>
      </c>
      <c r="B105" s="18">
        <v>15</v>
      </c>
      <c r="C105" s="1" t="s">
        <v>172</v>
      </c>
    </row>
    <row r="106" spans="1:3" x14ac:dyDescent="0.25">
      <c r="A106" s="4" t="s">
        <v>610</v>
      </c>
      <c r="B106" s="19">
        <f>(0.055*B99+22)*H73</f>
        <v>58.797200000000004</v>
      </c>
      <c r="C106" s="1" t="s">
        <v>52</v>
      </c>
    </row>
    <row r="107" spans="1:3" x14ac:dyDescent="0.25">
      <c r="A107" s="4" t="s">
        <v>611</v>
      </c>
      <c r="B107" s="19">
        <f>B101*0.001+0.01</f>
        <v>0.29000000000000004</v>
      </c>
      <c r="C107" s="1" t="s">
        <v>52</v>
      </c>
    </row>
    <row r="108" spans="1:3" x14ac:dyDescent="0.25">
      <c r="A108" s="4" t="s">
        <v>612</v>
      </c>
      <c r="B108" s="19">
        <f>(B100-B107)*COS(B103*PI()/180)+B107</f>
        <v>0.54060260305048713</v>
      </c>
      <c r="C108" s="1" t="s">
        <v>58</v>
      </c>
    </row>
    <row r="110" spans="1:3" x14ac:dyDescent="0.25">
      <c r="A110" s="4" t="s">
        <v>55</v>
      </c>
    </row>
    <row r="111" spans="1:3" x14ac:dyDescent="0.25">
      <c r="A111" s="4" t="s">
        <v>613</v>
      </c>
      <c r="B111" s="19">
        <f>(B107+B108)*(B100-B107)*(SIN(B103*PI()/180))/4+((3.1415*B105)/720-(SIN(2*B105*PI()/180))/8)*POWER(B108/SIN(B105*PI()/180),2)</f>
        <v>6.4898920002980462E-2</v>
      </c>
      <c r="C111" s="1" t="s">
        <v>67</v>
      </c>
    </row>
    <row r="113" spans="1:15" x14ac:dyDescent="0.25">
      <c r="A113" s="3" t="s">
        <v>1202</v>
      </c>
      <c r="G113" s="3" t="s">
        <v>1203</v>
      </c>
      <c r="M113" s="3" t="s">
        <v>1204</v>
      </c>
    </row>
    <row r="115" spans="1:15" x14ac:dyDescent="0.25">
      <c r="B115" s="1" t="s">
        <v>616</v>
      </c>
      <c r="H115" s="1" t="s">
        <v>616</v>
      </c>
      <c r="N115" s="1" t="s">
        <v>616</v>
      </c>
    </row>
    <row r="117" spans="1:15" x14ac:dyDescent="0.25">
      <c r="B117" s="1" t="s">
        <v>617</v>
      </c>
      <c r="H117" s="1" t="s">
        <v>617</v>
      </c>
      <c r="N117" s="1" t="s">
        <v>617</v>
      </c>
    </row>
    <row r="118" spans="1:15" x14ac:dyDescent="0.25">
      <c r="B118" s="1" t="s">
        <v>618</v>
      </c>
      <c r="H118" s="1" t="s">
        <v>618</v>
      </c>
      <c r="N118" s="1" t="s">
        <v>618</v>
      </c>
    </row>
    <row r="119" spans="1:15" x14ac:dyDescent="0.25">
      <c r="B119" s="1" t="s">
        <v>619</v>
      </c>
      <c r="H119" s="1" t="s">
        <v>619</v>
      </c>
      <c r="N119" s="1" t="s">
        <v>619</v>
      </c>
    </row>
    <row r="120" spans="1:15" x14ac:dyDescent="0.25">
      <c r="A120" s="1" t="s">
        <v>91</v>
      </c>
      <c r="G120" s="1" t="s">
        <v>91</v>
      </c>
      <c r="M120" s="1" t="s">
        <v>91</v>
      </c>
    </row>
    <row r="121" spans="1:15" x14ac:dyDescent="0.25">
      <c r="A121" s="4" t="s">
        <v>26</v>
      </c>
      <c r="B121" s="18">
        <v>0.54200000000000004</v>
      </c>
      <c r="C121" s="1" t="s">
        <v>48</v>
      </c>
      <c r="G121" s="4" t="s">
        <v>26</v>
      </c>
      <c r="H121" s="19">
        <f>B121</f>
        <v>0.54200000000000004</v>
      </c>
      <c r="I121" s="1" t="s">
        <v>48</v>
      </c>
      <c r="M121" s="4" t="s">
        <v>26</v>
      </c>
      <c r="N121" s="19">
        <f>H121</f>
        <v>0.54200000000000004</v>
      </c>
      <c r="O121" s="1" t="s">
        <v>48</v>
      </c>
    </row>
    <row r="122" spans="1:15" x14ac:dyDescent="0.25">
      <c r="A122" s="4" t="s">
        <v>620</v>
      </c>
      <c r="B122" s="18">
        <v>90</v>
      </c>
      <c r="C122" s="1" t="s">
        <v>212</v>
      </c>
      <c r="G122" s="4" t="s">
        <v>620</v>
      </c>
      <c r="H122" s="19">
        <v>100</v>
      </c>
      <c r="I122" s="1" t="s">
        <v>212</v>
      </c>
      <c r="M122" s="4" t="s">
        <v>620</v>
      </c>
      <c r="N122" s="19">
        <v>65</v>
      </c>
      <c r="O122" s="1" t="s">
        <v>212</v>
      </c>
    </row>
    <row r="123" spans="1:15" x14ac:dyDescent="0.25">
      <c r="A123" s="4" t="s">
        <v>621</v>
      </c>
      <c r="B123" s="18">
        <v>1</v>
      </c>
      <c r="C123" s="1" t="s">
        <v>51</v>
      </c>
      <c r="G123" s="4" t="s">
        <v>621</v>
      </c>
      <c r="H123" s="18">
        <v>1.2</v>
      </c>
      <c r="I123" s="1" t="s">
        <v>51</v>
      </c>
      <c r="M123" s="4" t="s">
        <v>621</v>
      </c>
      <c r="N123" s="18">
        <v>1</v>
      </c>
      <c r="O123" s="1" t="s">
        <v>51</v>
      </c>
    </row>
    <row r="124" spans="1:15" x14ac:dyDescent="0.25">
      <c r="A124" s="4" t="s">
        <v>622</v>
      </c>
      <c r="B124" s="19">
        <f>B111</f>
        <v>6.4898920002980462E-2</v>
      </c>
      <c r="C124" s="1" t="s">
        <v>67</v>
      </c>
      <c r="G124" s="4" t="s">
        <v>622</v>
      </c>
      <c r="H124" s="19">
        <f>B124</f>
        <v>6.4898920002980462E-2</v>
      </c>
      <c r="I124" s="1" t="s">
        <v>67</v>
      </c>
      <c r="M124" s="4" t="s">
        <v>622</v>
      </c>
      <c r="N124" s="19">
        <f>H124</f>
        <v>6.4898920002980462E-2</v>
      </c>
      <c r="O124" s="1" t="s">
        <v>67</v>
      </c>
    </row>
    <row r="125" spans="1:15" x14ac:dyDescent="0.25">
      <c r="A125" s="1" t="s">
        <v>623</v>
      </c>
      <c r="G125" s="1" t="s">
        <v>623</v>
      </c>
      <c r="M125" s="1" t="s">
        <v>623</v>
      </c>
    </row>
    <row r="126" spans="1:15" x14ac:dyDescent="0.25">
      <c r="A126" s="4" t="s">
        <v>624</v>
      </c>
      <c r="B126" s="17">
        <f>3600*B124*B122%*B123*B121</f>
        <v>113.96769543883396</v>
      </c>
      <c r="C126" s="1" t="s">
        <v>56</v>
      </c>
      <c r="G126" s="4" t="s">
        <v>624</v>
      </c>
      <c r="H126" s="43">
        <f>3600*H124*H122%*H123*H121</f>
        <v>151.95692725177858</v>
      </c>
      <c r="I126" s="1" t="s">
        <v>57</v>
      </c>
      <c r="K126" s="33">
        <f>H126/N126</f>
        <v>1.8461538461538458</v>
      </c>
      <c r="M126" s="4" t="s">
        <v>624</v>
      </c>
      <c r="N126" s="43">
        <f>3600*N124*N122%*N123*N121</f>
        <v>82.310002261380077</v>
      </c>
      <c r="O126" s="1" t="s">
        <v>57</v>
      </c>
    </row>
    <row r="127" spans="1:15" x14ac:dyDescent="0.25">
      <c r="A127" s="3"/>
    </row>
    <row r="128" spans="1:15" x14ac:dyDescent="0.25">
      <c r="A128" s="3"/>
    </row>
    <row r="129" spans="1:3" x14ac:dyDescent="0.25">
      <c r="A129" s="3"/>
    </row>
    <row r="130" spans="1:3" ht="13.8" x14ac:dyDescent="0.25">
      <c r="A130" s="58" t="s">
        <v>1205</v>
      </c>
    </row>
    <row r="132" spans="1:3" x14ac:dyDescent="0.25">
      <c r="B132" s="1" t="s">
        <v>627</v>
      </c>
    </row>
    <row r="133" spans="1:3" x14ac:dyDescent="0.25">
      <c r="B133" s="1" t="s">
        <v>628</v>
      </c>
    </row>
    <row r="135" spans="1:3" x14ac:dyDescent="0.25">
      <c r="B135" s="1" t="s">
        <v>629</v>
      </c>
    </row>
    <row r="136" spans="1:3" x14ac:dyDescent="0.25">
      <c r="B136" s="1" t="s">
        <v>630</v>
      </c>
    </row>
    <row r="137" spans="1:3" x14ac:dyDescent="0.25">
      <c r="B137" s="1" t="s">
        <v>631</v>
      </c>
    </row>
    <row r="138" spans="1:3" x14ac:dyDescent="0.25">
      <c r="B138" s="1" t="s">
        <v>632</v>
      </c>
    </row>
    <row r="139" spans="1:3" x14ac:dyDescent="0.25">
      <c r="A139" s="1" t="s">
        <v>207</v>
      </c>
    </row>
    <row r="140" spans="1:3" x14ac:dyDescent="0.25">
      <c r="A140" s="4" t="s">
        <v>633</v>
      </c>
      <c r="B140" s="19">
        <f>B121</f>
        <v>0.54200000000000004</v>
      </c>
      <c r="C140" s="1" t="s">
        <v>48</v>
      </c>
    </row>
    <row r="141" spans="1:3" x14ac:dyDescent="0.25">
      <c r="A141" s="4" t="s">
        <v>624</v>
      </c>
      <c r="B141" s="43">
        <f>H126</f>
        <v>151.95692725177858</v>
      </c>
      <c r="C141" s="1" t="s">
        <v>57</v>
      </c>
    </row>
    <row r="142" spans="1:3" x14ac:dyDescent="0.25">
      <c r="A142" s="4" t="s">
        <v>634</v>
      </c>
      <c r="B142" s="18">
        <v>0</v>
      </c>
      <c r="C142" s="1" t="s">
        <v>48</v>
      </c>
    </row>
    <row r="144" spans="1:3" x14ac:dyDescent="0.25">
      <c r="A144" s="1" t="s">
        <v>394</v>
      </c>
    </row>
    <row r="145" spans="1:3" x14ac:dyDescent="0.25">
      <c r="A145" s="4" t="s">
        <v>635</v>
      </c>
      <c r="B145" s="19">
        <f>B141*((B140*B140)-(B142*B142))/(3.6*B140)</f>
        <v>22.877959602906664</v>
      </c>
      <c r="C145" s="1" t="s">
        <v>133</v>
      </c>
    </row>
    <row r="146" spans="1:3" x14ac:dyDescent="0.25">
      <c r="A146" s="3"/>
    </row>
    <row r="147" spans="1:3" x14ac:dyDescent="0.25">
      <c r="A147" s="3"/>
    </row>
    <row r="148" spans="1:3" ht="13.8" x14ac:dyDescent="0.25">
      <c r="A148" s="58" t="s">
        <v>1206</v>
      </c>
    </row>
    <row r="150" spans="1:3" x14ac:dyDescent="0.25">
      <c r="B150" s="1" t="s">
        <v>637</v>
      </c>
    </row>
    <row r="151" spans="1:3" x14ac:dyDescent="0.25">
      <c r="B151" s="1" t="s">
        <v>638</v>
      </c>
    </row>
    <row r="153" spans="1:3" x14ac:dyDescent="0.25">
      <c r="B153" s="1" t="s">
        <v>639</v>
      </c>
    </row>
    <row r="154" spans="1:3" x14ac:dyDescent="0.25">
      <c r="A154" s="4" t="s">
        <v>23</v>
      </c>
    </row>
    <row r="155" spans="1:3" x14ac:dyDescent="0.25">
      <c r="B155" s="1" t="s">
        <v>640</v>
      </c>
    </row>
    <row r="156" spans="1:3" x14ac:dyDescent="0.25">
      <c r="B156" s="1" t="s">
        <v>641</v>
      </c>
    </row>
    <row r="157" spans="1:3" x14ac:dyDescent="0.25">
      <c r="B157" s="1" t="s">
        <v>642</v>
      </c>
    </row>
    <row r="158" spans="1:3" x14ac:dyDescent="0.25">
      <c r="B158" s="1" t="s">
        <v>643</v>
      </c>
    </row>
    <row r="159" spans="1:3" x14ac:dyDescent="0.25">
      <c r="B159" s="52" t="s">
        <v>644</v>
      </c>
    </row>
    <row r="160" spans="1:3" x14ac:dyDescent="0.25">
      <c r="B160" s="1" t="s">
        <v>645</v>
      </c>
    </row>
    <row r="161" spans="1:10" x14ac:dyDescent="0.25">
      <c r="A161" s="1" t="s">
        <v>91</v>
      </c>
    </row>
    <row r="162" spans="1:10" x14ac:dyDescent="0.25">
      <c r="A162" s="4" t="s">
        <v>646</v>
      </c>
      <c r="B162" s="19">
        <f>B165*(1-SIN(B166*PI()/180))/(2.3*(1+SIN(B166*PI()/180)))</f>
        <v>0.17391304347826086</v>
      </c>
      <c r="C162" s="1" t="s">
        <v>46</v>
      </c>
      <c r="D162" s="1" t="s">
        <v>647</v>
      </c>
      <c r="E162" s="9" t="s">
        <v>648</v>
      </c>
      <c r="F162" s="9" t="s">
        <v>649</v>
      </c>
      <c r="G162" s="1" t="s">
        <v>650</v>
      </c>
    </row>
    <row r="163" spans="1:10" x14ac:dyDescent="0.25">
      <c r="A163" s="4" t="s">
        <v>651</v>
      </c>
      <c r="B163" s="18">
        <v>0</v>
      </c>
      <c r="C163" s="1" t="s">
        <v>58</v>
      </c>
      <c r="E163" s="9">
        <v>0</v>
      </c>
      <c r="F163" s="9">
        <v>25</v>
      </c>
    </row>
    <row r="164" spans="1:10" x14ac:dyDescent="0.25">
      <c r="A164" s="4" t="s">
        <v>190</v>
      </c>
      <c r="B164" s="19">
        <f>B98</f>
        <v>30</v>
      </c>
      <c r="C164" s="1" t="s">
        <v>603</v>
      </c>
    </row>
    <row r="165" spans="1:10" x14ac:dyDescent="0.25">
      <c r="A165" s="53" t="s">
        <v>652</v>
      </c>
      <c r="B165" s="19">
        <f>H123</f>
        <v>1.2</v>
      </c>
      <c r="C165" s="1" t="s">
        <v>51</v>
      </c>
    </row>
    <row r="166" spans="1:10" x14ac:dyDescent="0.25">
      <c r="A166" s="4" t="s">
        <v>653</v>
      </c>
      <c r="B166" s="18">
        <v>30</v>
      </c>
      <c r="C166" s="1" t="s">
        <v>172</v>
      </c>
    </row>
    <row r="167" spans="1:10" x14ac:dyDescent="0.25">
      <c r="A167" s="4"/>
    </row>
    <row r="168" spans="1:10" x14ac:dyDescent="0.25">
      <c r="A168" s="38" t="s">
        <v>116</v>
      </c>
    </row>
    <row r="169" spans="1:10" x14ac:dyDescent="0.25">
      <c r="A169" s="4" t="s">
        <v>654</v>
      </c>
      <c r="B169" s="19">
        <f>(0.01488*B162*B163*B164*B164+8.92*B163)+(IF(E163=1,F163,0))*(0.01488*B162*B163*B164+8.92*B163)</f>
        <v>0</v>
      </c>
      <c r="C169" s="1" t="s">
        <v>133</v>
      </c>
      <c r="D169" s="117"/>
    </row>
    <row r="172" spans="1:10" x14ac:dyDescent="0.25">
      <c r="A172" s="4"/>
    </row>
    <row r="173" spans="1:10" ht="13.8" x14ac:dyDescent="0.25">
      <c r="A173" s="58" t="s">
        <v>1207</v>
      </c>
      <c r="B173"/>
      <c r="C173" s="118"/>
      <c r="D173" s="118"/>
      <c r="E173" s="118"/>
      <c r="F173" s="118"/>
      <c r="G173" s="118"/>
      <c r="H173" s="118"/>
      <c r="I173" s="118"/>
      <c r="J173" s="118"/>
    </row>
    <row r="174" spans="1:10" x14ac:dyDescent="0.25">
      <c r="A174" s="122"/>
      <c r="B174"/>
      <c r="C174" s="118"/>
      <c r="D174" s="118"/>
      <c r="E174" s="118"/>
      <c r="F174" s="118"/>
      <c r="G174" s="118"/>
      <c r="H174" s="118"/>
      <c r="I174" s="118"/>
      <c r="J174" s="118"/>
    </row>
    <row r="175" spans="1:10" x14ac:dyDescent="0.25">
      <c r="A175" s="122"/>
      <c r="B175"/>
      <c r="C175" s="1" t="s">
        <v>656</v>
      </c>
      <c r="E175" s="118"/>
      <c r="F175" s="118"/>
      <c r="G175" s="118"/>
      <c r="H175" s="118"/>
      <c r="I175" s="118"/>
      <c r="J175" s="118"/>
    </row>
    <row r="176" spans="1:10" x14ac:dyDescent="0.25">
      <c r="A176" s="122"/>
      <c r="B176"/>
      <c r="C176" s="1" t="s">
        <v>657</v>
      </c>
      <c r="E176" s="118"/>
      <c r="F176" s="118"/>
      <c r="G176" s="118"/>
      <c r="H176" s="118"/>
      <c r="I176" s="118"/>
      <c r="J176" s="118"/>
    </row>
    <row r="177" spans="1:13" x14ac:dyDescent="0.25">
      <c r="A177" s="122"/>
      <c r="B177"/>
      <c r="I177" s="118"/>
      <c r="J177" s="118"/>
    </row>
    <row r="178" spans="1:13" x14ac:dyDescent="0.25">
      <c r="A178" s="122"/>
      <c r="B178"/>
      <c r="C178" s="52" t="s">
        <v>658</v>
      </c>
      <c r="D178" s="118"/>
      <c r="I178" s="118"/>
      <c r="J178" s="118"/>
    </row>
    <row r="179" spans="1:13" x14ac:dyDescent="0.25">
      <c r="A179" s="122"/>
      <c r="B179"/>
      <c r="C179" s="52" t="s">
        <v>659</v>
      </c>
      <c r="D179" s="118"/>
      <c r="E179" s="118"/>
      <c r="F179" s="118"/>
      <c r="G179" s="118"/>
      <c r="H179" s="118"/>
      <c r="I179" s="118"/>
      <c r="J179" s="118"/>
    </row>
    <row r="180" spans="1:13" x14ac:dyDescent="0.25">
      <c r="A180" s="122"/>
      <c r="B180"/>
      <c r="E180" s="118"/>
      <c r="F180" s="118"/>
      <c r="G180" s="118"/>
      <c r="H180" s="118"/>
      <c r="I180" s="118"/>
      <c r="J180" s="118"/>
    </row>
    <row r="181" spans="1:13" ht="15.6" x14ac:dyDescent="0.25">
      <c r="A181" s="122"/>
      <c r="B181"/>
      <c r="C181" s="120" t="s">
        <v>660</v>
      </c>
      <c r="D181" s="118"/>
      <c r="E181" s="118"/>
      <c r="F181" s="118"/>
      <c r="G181" s="118"/>
      <c r="H181" s="118"/>
    </row>
    <row r="182" spans="1:13" x14ac:dyDescent="0.25">
      <c r="A182" s="122"/>
      <c r="B182"/>
      <c r="C182" s="118" t="s">
        <v>661</v>
      </c>
      <c r="D182" s="118"/>
      <c r="E182" s="118"/>
      <c r="F182" s="118"/>
      <c r="G182" s="118"/>
      <c r="H182" s="118"/>
    </row>
    <row r="183" spans="1:13" x14ac:dyDescent="0.25">
      <c r="A183" s="122"/>
      <c r="B183"/>
      <c r="D183" s="118"/>
      <c r="E183" s="118"/>
      <c r="H183" s="118"/>
      <c r="I183" s="118"/>
      <c r="J183" s="118"/>
      <c r="K183" s="118"/>
      <c r="L183" s="118"/>
      <c r="M183" s="118"/>
    </row>
    <row r="184" spans="1:13" x14ac:dyDescent="0.25">
      <c r="A184" s="122"/>
      <c r="B184"/>
      <c r="C184" s="118" t="s">
        <v>662</v>
      </c>
      <c r="H184" s="118"/>
      <c r="I184" s="118"/>
      <c r="J184" s="118"/>
    </row>
    <row r="185" spans="1:13" x14ac:dyDescent="0.25">
      <c r="A185" s="122"/>
      <c r="B185"/>
      <c r="C185" s="118"/>
      <c r="D185" s="118"/>
      <c r="E185" s="118"/>
      <c r="H185" s="118"/>
      <c r="I185" s="118"/>
      <c r="J185" s="118"/>
    </row>
    <row r="186" spans="1:13" x14ac:dyDescent="0.25">
      <c r="F186" s="118"/>
      <c r="G186" s="118"/>
      <c r="H186" s="118"/>
      <c r="I186" s="118"/>
      <c r="J186" s="118"/>
    </row>
    <row r="187" spans="1:13" x14ac:dyDescent="0.25">
      <c r="A187" s="1" t="s">
        <v>663</v>
      </c>
      <c r="B187"/>
      <c r="C187" s="118"/>
      <c r="D187" s="118"/>
      <c r="E187" s="118"/>
      <c r="F187" s="118"/>
      <c r="G187" s="118"/>
      <c r="H187" s="118"/>
      <c r="I187" s="118"/>
      <c r="J187" s="118"/>
    </row>
    <row r="188" spans="1:13" x14ac:dyDescent="0.25">
      <c r="A188" s="1" t="s">
        <v>664</v>
      </c>
      <c r="B188" s="118"/>
      <c r="C188" s="118"/>
      <c r="D188" s="118"/>
      <c r="E188" s="118"/>
      <c r="F188" s="118"/>
      <c r="G188" s="118"/>
      <c r="H188" s="118"/>
      <c r="I188" s="118"/>
      <c r="J188" s="118"/>
    </row>
    <row r="189" spans="1:13" x14ac:dyDescent="0.25">
      <c r="A189" s="1" t="s">
        <v>665</v>
      </c>
    </row>
    <row r="190" spans="1:13" x14ac:dyDescent="0.25">
      <c r="A190" s="251" t="s">
        <v>666</v>
      </c>
      <c r="B190" s="251"/>
      <c r="C190" s="121" t="s">
        <v>667</v>
      </c>
      <c r="D190" s="121" t="s">
        <v>668</v>
      </c>
      <c r="E190" s="121" t="s">
        <v>670</v>
      </c>
      <c r="F190" s="121" t="s">
        <v>671</v>
      </c>
      <c r="G190" s="121" t="s">
        <v>672</v>
      </c>
      <c r="H190" s="121" t="s">
        <v>673</v>
      </c>
      <c r="I190" s="121" t="s">
        <v>674</v>
      </c>
      <c r="J190" s="121" t="s">
        <v>675</v>
      </c>
      <c r="K190" s="121" t="s">
        <v>676</v>
      </c>
      <c r="L190" s="121" t="s">
        <v>677</v>
      </c>
    </row>
    <row r="191" spans="1:13" x14ac:dyDescent="0.25">
      <c r="A191" s="251" t="s">
        <v>678</v>
      </c>
      <c r="B191" s="251"/>
      <c r="C191" s="121">
        <v>5.2</v>
      </c>
      <c r="D191" s="121">
        <v>6.5</v>
      </c>
      <c r="E191" s="121">
        <v>7.7</v>
      </c>
      <c r="F191" s="121">
        <v>11.9</v>
      </c>
      <c r="G191" s="121">
        <v>14.3</v>
      </c>
      <c r="H191" s="121">
        <v>17.7</v>
      </c>
      <c r="I191" s="121">
        <v>26.8</v>
      </c>
      <c r="J191" s="121">
        <v>29.8</v>
      </c>
      <c r="K191" s="121">
        <v>35.700000000000003</v>
      </c>
      <c r="L191" s="121">
        <v>41.6</v>
      </c>
    </row>
    <row r="192" spans="1:13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</row>
    <row r="193" spans="1:12" x14ac:dyDescent="0.25">
      <c r="A193" s="1" t="s">
        <v>631</v>
      </c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</row>
    <row r="194" spans="1:12" x14ac:dyDescent="0.25">
      <c r="A194" s="1" t="s">
        <v>679</v>
      </c>
      <c r="B194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</row>
    <row r="195" spans="1:12" x14ac:dyDescent="0.25">
      <c r="A195" s="1" t="s">
        <v>1208</v>
      </c>
      <c r="B195" s="118"/>
      <c r="C195" s="118"/>
      <c r="D195" s="118"/>
      <c r="E195" s="118"/>
      <c r="F195" s="118"/>
      <c r="G195" s="118"/>
      <c r="H195" s="118"/>
      <c r="I195" s="118"/>
      <c r="J195" s="118"/>
    </row>
    <row r="196" spans="1:12" x14ac:dyDescent="0.25">
      <c r="A196" s="1" t="s">
        <v>681</v>
      </c>
      <c r="B196" s="118"/>
      <c r="C196" s="118"/>
      <c r="D196" s="118"/>
      <c r="E196" s="118"/>
      <c r="F196" s="118"/>
      <c r="G196" s="118"/>
      <c r="H196" s="118"/>
      <c r="I196" s="118"/>
      <c r="J196" s="118"/>
    </row>
    <row r="197" spans="1:12" x14ac:dyDescent="0.25">
      <c r="A197" s="1" t="s">
        <v>599</v>
      </c>
      <c r="B197" s="118"/>
      <c r="C197" s="118"/>
      <c r="D197" s="118"/>
      <c r="E197" s="118"/>
      <c r="F197" s="118"/>
      <c r="G197" s="118"/>
      <c r="H197" s="118"/>
      <c r="I197" s="118"/>
      <c r="J197" s="118"/>
    </row>
    <row r="198" spans="1:12" x14ac:dyDescent="0.25">
      <c r="A198" s="1" t="s">
        <v>682</v>
      </c>
      <c r="B198" s="118"/>
      <c r="C198" s="118"/>
      <c r="D198" s="118"/>
      <c r="E198" s="118"/>
      <c r="F198" s="118"/>
      <c r="G198" s="118"/>
      <c r="H198" s="118"/>
      <c r="I198" s="118"/>
      <c r="J198" s="118"/>
    </row>
    <row r="199" spans="1:12" x14ac:dyDescent="0.25">
      <c r="A199" s="1" t="s">
        <v>683</v>
      </c>
      <c r="B199" s="118"/>
      <c r="C199" s="118"/>
      <c r="D199" s="118"/>
      <c r="E199" s="118"/>
      <c r="F199" s="118"/>
      <c r="G199" s="118"/>
      <c r="H199" s="118"/>
      <c r="I199" s="118"/>
      <c r="J199" s="118"/>
    </row>
    <row r="200" spans="1:12" x14ac:dyDescent="0.25">
      <c r="A200" s="1" t="s">
        <v>340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2" x14ac:dyDescent="0.25">
      <c r="A201" s="1" t="s">
        <v>684</v>
      </c>
      <c r="B201" s="118"/>
      <c r="C201" s="118"/>
      <c r="D201" s="118"/>
      <c r="E201" s="118"/>
      <c r="F201" s="118"/>
      <c r="G201" s="118"/>
      <c r="H201" s="118"/>
      <c r="I201" s="118"/>
      <c r="J201" s="118"/>
    </row>
    <row r="202" spans="1:12" x14ac:dyDescent="0.25">
      <c r="A202" s="1" t="s">
        <v>685</v>
      </c>
      <c r="B202" s="118"/>
      <c r="C202" s="118"/>
      <c r="D202" s="118"/>
      <c r="E202" s="118"/>
      <c r="F202" s="118"/>
      <c r="G202" s="118"/>
      <c r="H202" s="118"/>
      <c r="I202" s="118"/>
      <c r="J202" s="118"/>
    </row>
    <row r="203" spans="1:12" x14ac:dyDescent="0.25">
      <c r="A203" s="1" t="s">
        <v>686</v>
      </c>
      <c r="B203" s="118"/>
      <c r="C203" s="118"/>
      <c r="D203" s="118"/>
      <c r="E203" s="118"/>
      <c r="F203" s="118"/>
      <c r="G203" s="118"/>
      <c r="H203" s="118"/>
      <c r="I203" s="118"/>
      <c r="J203" s="118"/>
    </row>
    <row r="204" spans="1:12" x14ac:dyDescent="0.25">
      <c r="B204" s="118"/>
      <c r="C204" s="118"/>
      <c r="D204" s="118"/>
      <c r="E204" s="118"/>
      <c r="F204" s="118"/>
      <c r="G204" s="118"/>
      <c r="H204" s="118"/>
      <c r="I204" s="118"/>
      <c r="J204" s="118"/>
    </row>
    <row r="205" spans="1:12" x14ac:dyDescent="0.25">
      <c r="B205" s="118"/>
      <c r="C205" s="118"/>
      <c r="D205" s="118"/>
      <c r="E205" s="118"/>
      <c r="F205" s="118"/>
      <c r="G205" s="118"/>
      <c r="H205" s="118"/>
      <c r="I205" s="118"/>
      <c r="J205" s="118"/>
    </row>
    <row r="206" spans="1:12" x14ac:dyDescent="0.25">
      <c r="A206" s="1" t="s">
        <v>687</v>
      </c>
      <c r="B206" s="118"/>
      <c r="C206" s="118"/>
      <c r="D206" s="118"/>
      <c r="E206" s="118"/>
      <c r="F206" s="118"/>
      <c r="G206" s="118"/>
      <c r="H206" s="118"/>
      <c r="I206" s="118"/>
      <c r="J206" s="118"/>
    </row>
    <row r="207" spans="1:12" x14ac:dyDescent="0.25">
      <c r="B207" s="118"/>
      <c r="C207" s="118"/>
      <c r="D207" s="118"/>
      <c r="E207" s="118"/>
      <c r="F207" s="118"/>
      <c r="G207" s="118"/>
      <c r="H207" s="118"/>
      <c r="I207" s="118"/>
      <c r="J207" s="118"/>
    </row>
    <row r="208" spans="1:12" x14ac:dyDescent="0.25">
      <c r="A208" s="122" t="s">
        <v>24</v>
      </c>
      <c r="B208" s="19">
        <f>B141</f>
        <v>151.95692725177858</v>
      </c>
      <c r="C208" s="118" t="s">
        <v>57</v>
      </c>
      <c r="D208" s="118"/>
      <c r="E208" s="118"/>
      <c r="F208" s="118"/>
      <c r="G208" s="118"/>
      <c r="H208" s="118"/>
      <c r="I208" s="118"/>
      <c r="J208" s="118"/>
    </row>
    <row r="209" spans="1:10" x14ac:dyDescent="0.25">
      <c r="A209" s="122" t="s">
        <v>26</v>
      </c>
      <c r="B209" s="19">
        <f>B140</f>
        <v>0.54200000000000004</v>
      </c>
      <c r="C209" s="118" t="s">
        <v>48</v>
      </c>
      <c r="D209" s="118"/>
      <c r="E209" s="118"/>
      <c r="F209" s="118"/>
      <c r="G209" s="118"/>
      <c r="H209" s="118"/>
      <c r="I209" s="118"/>
      <c r="J209" s="118"/>
    </row>
    <row r="210" spans="1:10" x14ac:dyDescent="0.25">
      <c r="A210" s="122" t="s">
        <v>688</v>
      </c>
      <c r="B210" s="19">
        <f>0.277*B208/B209</f>
        <v>77.660643632366543</v>
      </c>
      <c r="C210" s="118" t="s">
        <v>203</v>
      </c>
      <c r="D210" s="118"/>
      <c r="E210" s="118"/>
      <c r="F210" s="118"/>
      <c r="G210" s="118"/>
      <c r="H210" s="118"/>
      <c r="I210" s="118"/>
      <c r="J210" s="118"/>
    </row>
    <row r="211" spans="1:10" x14ac:dyDescent="0.25">
      <c r="B211" s="118"/>
      <c r="C211" s="118"/>
      <c r="D211" s="118"/>
      <c r="E211" s="118"/>
      <c r="F211" s="118"/>
      <c r="G211" s="118"/>
      <c r="H211" s="118"/>
      <c r="I211" s="118"/>
      <c r="J211" s="118"/>
    </row>
    <row r="212" spans="1:10" x14ac:dyDescent="0.25">
      <c r="B212" s="118"/>
      <c r="C212" s="118"/>
      <c r="D212" s="118"/>
      <c r="E212" s="118"/>
      <c r="F212" s="118"/>
      <c r="G212" s="118"/>
      <c r="H212" s="118"/>
      <c r="I212" s="118"/>
      <c r="J212" s="118"/>
    </row>
    <row r="213" spans="1:10" x14ac:dyDescent="0.25">
      <c r="A213" s="122" t="s">
        <v>689</v>
      </c>
      <c r="B213" s="18">
        <v>102</v>
      </c>
      <c r="C213" s="118" t="s">
        <v>52</v>
      </c>
      <c r="D213" s="118"/>
      <c r="E213" s="118"/>
      <c r="F213" s="118"/>
      <c r="G213" s="118"/>
      <c r="H213" s="118"/>
      <c r="I213" s="118"/>
      <c r="J213" s="118"/>
    </row>
    <row r="214" spans="1:10" x14ac:dyDescent="0.25">
      <c r="A214" s="122" t="s">
        <v>26</v>
      </c>
      <c r="B214" s="19">
        <f>B209</f>
        <v>0.54200000000000004</v>
      </c>
      <c r="C214" s="118" t="s">
        <v>48</v>
      </c>
      <c r="D214" s="118"/>
      <c r="E214" s="118"/>
      <c r="F214" s="118"/>
      <c r="G214" s="118"/>
      <c r="H214" s="118"/>
    </row>
    <row r="215" spans="1:10" x14ac:dyDescent="0.25">
      <c r="A215" s="122" t="s">
        <v>690</v>
      </c>
      <c r="B215" s="34">
        <f>(B214*60)/(B213*3.1415/1000)</f>
        <v>101.48767449045512</v>
      </c>
      <c r="C215" s="118" t="s">
        <v>347</v>
      </c>
      <c r="D215" s="118"/>
      <c r="F215" s="118"/>
      <c r="G215" s="122" t="s">
        <v>691</v>
      </c>
      <c r="H215" s="123">
        <f>B210+B218</f>
        <v>85.360643632366546</v>
      </c>
    </row>
    <row r="216" spans="1:10" x14ac:dyDescent="0.25">
      <c r="D216" s="118"/>
      <c r="F216" s="118"/>
      <c r="G216" s="118"/>
    </row>
    <row r="217" spans="1:10" x14ac:dyDescent="0.25">
      <c r="A217" s="4" t="s">
        <v>692</v>
      </c>
      <c r="B217" s="18">
        <v>9.11</v>
      </c>
      <c r="C217" s="118" t="s">
        <v>46</v>
      </c>
      <c r="D217" s="118"/>
      <c r="F217" s="118"/>
      <c r="G217" s="118"/>
    </row>
    <row r="218" spans="1:10" x14ac:dyDescent="0.25">
      <c r="A218" s="4" t="s">
        <v>693</v>
      </c>
      <c r="B218" s="18">
        <v>7.7</v>
      </c>
      <c r="C218" s="118" t="s">
        <v>203</v>
      </c>
      <c r="D218" s="118"/>
      <c r="F218" s="118" t="s">
        <v>694</v>
      </c>
    </row>
    <row r="219" spans="1:10" x14ac:dyDescent="0.25">
      <c r="A219" s="4" t="s">
        <v>695</v>
      </c>
      <c r="B219" s="18">
        <v>3.5</v>
      </c>
      <c r="C219" s="118" t="s">
        <v>133</v>
      </c>
      <c r="D219" s="118"/>
    </row>
    <row r="220" spans="1:10" x14ac:dyDescent="0.25">
      <c r="A220" s="4" t="s">
        <v>696</v>
      </c>
      <c r="B220" s="18">
        <v>0.35</v>
      </c>
      <c r="C220" s="118" t="s">
        <v>58</v>
      </c>
      <c r="D220" s="118"/>
      <c r="F220" s="4" t="s">
        <v>697</v>
      </c>
      <c r="G220" s="18">
        <v>15</v>
      </c>
      <c r="H220" s="1" t="s">
        <v>698</v>
      </c>
    </row>
    <row r="221" spans="1:10" x14ac:dyDescent="0.25">
      <c r="A221" s="4" t="s">
        <v>699</v>
      </c>
      <c r="B221" s="18">
        <v>35</v>
      </c>
      <c r="C221" s="118" t="s">
        <v>172</v>
      </c>
      <c r="D221" s="118"/>
      <c r="F221" s="4" t="s">
        <v>313</v>
      </c>
      <c r="G221" s="18">
        <v>48</v>
      </c>
      <c r="H221" s="1" t="s">
        <v>700</v>
      </c>
    </row>
    <row r="222" spans="1:10" x14ac:dyDescent="0.25">
      <c r="A222" s="4" t="s">
        <v>701</v>
      </c>
      <c r="B222" s="18">
        <v>0.6</v>
      </c>
      <c r="C222" s="118" t="s">
        <v>46</v>
      </c>
      <c r="D222" s="118"/>
      <c r="F222" s="4" t="s">
        <v>702</v>
      </c>
      <c r="G222" s="19">
        <f>G220*G221</f>
        <v>720</v>
      </c>
      <c r="H222" s="1" t="s">
        <v>703</v>
      </c>
    </row>
    <row r="223" spans="1:10" x14ac:dyDescent="0.25">
      <c r="A223" s="4" t="s">
        <v>704</v>
      </c>
      <c r="B223" s="19">
        <f>(B222/2+(1-B222)/2*POWER(SIN(B221),2))*B210*B220+B218*B220/6+B219/2</f>
        <v>11.3502175824233</v>
      </c>
      <c r="C223" s="118" t="s">
        <v>133</v>
      </c>
      <c r="D223" s="118"/>
      <c r="I223" s="118"/>
      <c r="J223" s="118"/>
    </row>
    <row r="224" spans="1:10" x14ac:dyDescent="0.25">
      <c r="D224" s="118"/>
      <c r="I224" s="118"/>
      <c r="J224" s="118"/>
    </row>
    <row r="225" spans="1:10" x14ac:dyDescent="0.25">
      <c r="A225" s="118" t="s">
        <v>116</v>
      </c>
      <c r="B225" s="118"/>
      <c r="C225" s="118"/>
      <c r="D225" s="118"/>
      <c r="E225" s="118"/>
      <c r="F225" s="118"/>
      <c r="G225" s="118"/>
      <c r="H225" s="118"/>
      <c r="I225" s="118"/>
      <c r="J225" s="118"/>
    </row>
    <row r="226" spans="1:10" x14ac:dyDescent="0.25">
      <c r="A226" s="1" t="s">
        <v>705</v>
      </c>
      <c r="B226" s="19">
        <f>B223*B217</f>
        <v>103.40048217587625</v>
      </c>
      <c r="C226" s="118" t="s">
        <v>133</v>
      </c>
      <c r="D226" s="118" t="s">
        <v>1209</v>
      </c>
      <c r="E226" s="118"/>
      <c r="F226" s="118"/>
      <c r="G226" s="118" t="s">
        <v>707</v>
      </c>
      <c r="H226" s="118"/>
      <c r="I226" s="118"/>
      <c r="J226" s="118"/>
    </row>
    <row r="227" spans="1:10" x14ac:dyDescent="0.25">
      <c r="B227"/>
      <c r="C227" s="118"/>
      <c r="D227" s="118"/>
      <c r="E227" s="118"/>
      <c r="F227" s="118"/>
      <c r="G227" s="118"/>
      <c r="H227" s="118"/>
      <c r="I227" s="118"/>
      <c r="J227" s="118"/>
    </row>
    <row r="228" spans="1:10" x14ac:dyDescent="0.25">
      <c r="A228" s="4"/>
    </row>
    <row r="229" spans="1:10" x14ac:dyDescent="0.25">
      <c r="A229" s="4"/>
    </row>
    <row r="230" spans="1:10" ht="13.8" x14ac:dyDescent="0.25">
      <c r="A230" s="58" t="s">
        <v>1210</v>
      </c>
    </row>
    <row r="231" spans="1:10" ht="13.8" x14ac:dyDescent="0.25">
      <c r="A231" s="58"/>
    </row>
    <row r="233" spans="1:10" x14ac:dyDescent="0.25">
      <c r="B233" s="1" t="s">
        <v>709</v>
      </c>
    </row>
    <row r="234" spans="1:10" x14ac:dyDescent="0.25">
      <c r="B234" s="1" t="s">
        <v>710</v>
      </c>
    </row>
    <row r="236" spans="1:10" x14ac:dyDescent="0.25">
      <c r="A236" s="1" t="s">
        <v>711</v>
      </c>
    </row>
    <row r="237" spans="1:10" x14ac:dyDescent="0.25">
      <c r="A237" s="1" t="s">
        <v>712</v>
      </c>
    </row>
    <row r="238" spans="1:10" x14ac:dyDescent="0.25">
      <c r="A238" s="1" t="s">
        <v>681</v>
      </c>
    </row>
    <row r="239" spans="1:10" x14ac:dyDescent="0.25">
      <c r="A239" s="1" t="s">
        <v>663</v>
      </c>
    </row>
    <row r="240" spans="1:10" x14ac:dyDescent="0.25">
      <c r="A240" s="1" t="s">
        <v>664</v>
      </c>
    </row>
    <row r="244" spans="1:10" x14ac:dyDescent="0.25">
      <c r="A244" s="122" t="s">
        <v>713</v>
      </c>
      <c r="B244" s="18">
        <v>1.05</v>
      </c>
      <c r="C244" s="118" t="s">
        <v>46</v>
      </c>
    </row>
    <row r="245" spans="1:10" x14ac:dyDescent="0.25">
      <c r="A245" s="122" t="s">
        <v>714</v>
      </c>
      <c r="B245" s="19">
        <f>B220</f>
        <v>0.35</v>
      </c>
      <c r="C245" s="118" t="s">
        <v>58</v>
      </c>
    </row>
    <row r="246" spans="1:10" x14ac:dyDescent="0.25">
      <c r="A246" s="122" t="s">
        <v>715</v>
      </c>
      <c r="B246" s="19">
        <f>B218</f>
        <v>7.7</v>
      </c>
      <c r="C246" s="118" t="s">
        <v>203</v>
      </c>
      <c r="D246" s="118"/>
      <c r="E246" s="118"/>
      <c r="F246" s="118"/>
      <c r="G246" s="118"/>
      <c r="H246" s="118"/>
      <c r="I246" s="118"/>
      <c r="J246" s="118"/>
    </row>
    <row r="247" spans="1:10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</row>
    <row r="248" spans="1:10" x14ac:dyDescent="0.25">
      <c r="A248" s="118" t="s">
        <v>116</v>
      </c>
      <c r="B248" s="118"/>
      <c r="C248" s="118"/>
      <c r="D248" s="118"/>
      <c r="E248" s="118"/>
      <c r="F248" s="118"/>
      <c r="G248" s="118"/>
      <c r="H248" s="118"/>
      <c r="I248" s="118"/>
      <c r="J248" s="118"/>
    </row>
    <row r="249" spans="1:10" x14ac:dyDescent="0.25">
      <c r="A249" s="122" t="s">
        <v>716</v>
      </c>
      <c r="B249" s="19">
        <f>0.00068*(B210+B246)+(B244/B245)</f>
        <v>3.0580452376700098</v>
      </c>
      <c r="C249" s="118" t="s">
        <v>133</v>
      </c>
      <c r="D249" s="118"/>
      <c r="E249" s="118"/>
      <c r="F249" s="118"/>
      <c r="G249" s="118"/>
      <c r="H249" s="118"/>
      <c r="I249" s="118"/>
      <c r="J249" s="118"/>
    </row>
    <row r="250" spans="1:10" x14ac:dyDescent="0.25">
      <c r="A250" s="122"/>
      <c r="B250"/>
      <c r="C250" s="118"/>
      <c r="D250" s="118"/>
      <c r="E250" s="118"/>
      <c r="F250" s="118"/>
      <c r="G250" s="118"/>
      <c r="H250" s="118"/>
      <c r="I250" s="118"/>
      <c r="J250" s="118"/>
    </row>
    <row r="252" spans="1:10" x14ac:dyDescent="0.25">
      <c r="B252" s="118"/>
      <c r="C252" s="118"/>
      <c r="D252" s="118"/>
      <c r="E252" s="118"/>
      <c r="F252" s="118"/>
      <c r="G252" s="118"/>
      <c r="H252" s="118"/>
      <c r="I252" s="118"/>
      <c r="J252" s="118"/>
    </row>
    <row r="253" spans="1:10" ht="13.8" x14ac:dyDescent="0.25">
      <c r="A253" s="58" t="s">
        <v>1211</v>
      </c>
      <c r="B253" s="118"/>
      <c r="C253" s="118"/>
      <c r="D253" s="118"/>
      <c r="E253" s="118"/>
      <c r="F253" s="118"/>
      <c r="G253" s="118"/>
      <c r="H253" s="118"/>
      <c r="I253" s="118"/>
      <c r="J253" s="118"/>
    </row>
    <row r="255" spans="1:10" x14ac:dyDescent="0.25">
      <c r="B255" s="1" t="s">
        <v>718</v>
      </c>
    </row>
    <row r="257" spans="1:3" x14ac:dyDescent="0.25">
      <c r="A257" s="1" t="s">
        <v>719</v>
      </c>
    </row>
    <row r="258" spans="1:3" x14ac:dyDescent="0.25">
      <c r="A258" s="1" t="s">
        <v>720</v>
      </c>
    </row>
    <row r="259" spans="1:3" x14ac:dyDescent="0.25">
      <c r="A259" s="1" t="s">
        <v>1212</v>
      </c>
    </row>
    <row r="260" spans="1:3" x14ac:dyDescent="0.25">
      <c r="A260" s="1" t="s">
        <v>722</v>
      </c>
    </row>
    <row r="261" spans="1:3" x14ac:dyDescent="0.25">
      <c r="A261" s="1" t="s">
        <v>723</v>
      </c>
    </row>
    <row r="262" spans="1:3" x14ac:dyDescent="0.25">
      <c r="A262" s="1" t="s">
        <v>724</v>
      </c>
    </row>
    <row r="264" spans="1:3" x14ac:dyDescent="0.25">
      <c r="A264" s="1" t="s">
        <v>344</v>
      </c>
    </row>
    <row r="265" spans="1:3" x14ac:dyDescent="0.25">
      <c r="A265" s="4" t="s">
        <v>725</v>
      </c>
      <c r="B265" s="18">
        <f>22.7*2</f>
        <v>45.4</v>
      </c>
      <c r="C265" s="1" t="s">
        <v>46</v>
      </c>
    </row>
    <row r="266" spans="1:3" x14ac:dyDescent="0.25">
      <c r="A266" s="4" t="s">
        <v>726</v>
      </c>
      <c r="B266" s="18">
        <v>0</v>
      </c>
      <c r="C266" s="1" t="s">
        <v>46</v>
      </c>
    </row>
    <row r="267" spans="1:3" x14ac:dyDescent="0.25">
      <c r="A267" s="4" t="s">
        <v>727</v>
      </c>
      <c r="B267" s="18">
        <v>0</v>
      </c>
      <c r="C267" s="1" t="s">
        <v>728</v>
      </c>
    </row>
    <row r="268" spans="1:3" x14ac:dyDescent="0.25">
      <c r="A268" s="4" t="s">
        <v>729</v>
      </c>
      <c r="B268" s="18">
        <v>0</v>
      </c>
      <c r="C268" s="1" t="s">
        <v>46</v>
      </c>
    </row>
    <row r="269" spans="1:3" x14ac:dyDescent="0.25">
      <c r="A269" s="4" t="s">
        <v>730</v>
      </c>
      <c r="B269" s="19">
        <f>B164</f>
        <v>30</v>
      </c>
      <c r="C269" s="1" t="s">
        <v>731</v>
      </c>
    </row>
    <row r="270" spans="1:3" x14ac:dyDescent="0.25">
      <c r="A270" s="4" t="s">
        <v>635</v>
      </c>
      <c r="B270" s="19">
        <f>B145</f>
        <v>22.877959602906664</v>
      </c>
      <c r="C270" s="1" t="s">
        <v>133</v>
      </c>
    </row>
    <row r="271" spans="1:3" x14ac:dyDescent="0.25">
      <c r="A271" s="4" t="s">
        <v>654</v>
      </c>
      <c r="B271" s="19">
        <f>B169</f>
        <v>0</v>
      </c>
      <c r="C271" s="1" t="s">
        <v>133</v>
      </c>
    </row>
    <row r="273" spans="1:3" x14ac:dyDescent="0.25">
      <c r="A273" s="4" t="s">
        <v>55</v>
      </c>
    </row>
    <row r="274" spans="1:3" x14ac:dyDescent="0.25">
      <c r="A274" s="4" t="s">
        <v>732</v>
      </c>
      <c r="B274" s="19">
        <f>B265+B266+B267+B268+B269+B270+B271</f>
        <v>98.277959602906662</v>
      </c>
      <c r="C274" s="1" t="s">
        <v>133</v>
      </c>
    </row>
    <row r="276" spans="1:3" x14ac:dyDescent="0.25">
      <c r="A276" s="3" t="s">
        <v>1213</v>
      </c>
    </row>
    <row r="277" spans="1:3" x14ac:dyDescent="0.25">
      <c r="A277" s="3"/>
    </row>
    <row r="278" spans="1:3" x14ac:dyDescent="0.25">
      <c r="B278" s="1" t="s">
        <v>1214</v>
      </c>
    </row>
    <row r="280" spans="1:3" x14ac:dyDescent="0.25">
      <c r="A280" s="1" t="s">
        <v>23</v>
      </c>
    </row>
    <row r="281" spans="1:3" x14ac:dyDescent="0.25">
      <c r="B281" s="1" t="s">
        <v>735</v>
      </c>
    </row>
    <row r="282" spans="1:3" x14ac:dyDescent="0.25">
      <c r="B282" s="1" t="s">
        <v>736</v>
      </c>
    </row>
    <row r="283" spans="1:3" x14ac:dyDescent="0.25">
      <c r="B283" s="1" t="s">
        <v>737</v>
      </c>
    </row>
    <row r="284" spans="1:3" x14ac:dyDescent="0.25">
      <c r="B284" s="1" t="s">
        <v>738</v>
      </c>
    </row>
    <row r="285" spans="1:3" x14ac:dyDescent="0.25">
      <c r="B285" s="1" t="s">
        <v>739</v>
      </c>
    </row>
    <row r="286" spans="1:3" x14ac:dyDescent="0.25">
      <c r="B286" s="1" t="s">
        <v>740</v>
      </c>
    </row>
    <row r="287" spans="1:3" x14ac:dyDescent="0.25">
      <c r="B287" s="1" t="s">
        <v>1215</v>
      </c>
    </row>
    <row r="288" spans="1:3" x14ac:dyDescent="0.25">
      <c r="A288" s="1" t="s">
        <v>91</v>
      </c>
    </row>
    <row r="289" spans="1:7" x14ac:dyDescent="0.25">
      <c r="A289" s="4" t="s">
        <v>742</v>
      </c>
      <c r="B289" s="18">
        <v>4.0999999999999996</v>
      </c>
      <c r="C289" s="1" t="s">
        <v>58</v>
      </c>
      <c r="D289" s="43">
        <f>DEGREES(ASIN(B290/B289))</f>
        <v>0</v>
      </c>
      <c r="E289" s="38" t="s">
        <v>172</v>
      </c>
    </row>
    <row r="290" spans="1:7" x14ac:dyDescent="0.25">
      <c r="A290" s="4" t="s">
        <v>743</v>
      </c>
      <c r="B290" s="18">
        <v>0</v>
      </c>
      <c r="C290" s="1" t="s">
        <v>58</v>
      </c>
    </row>
    <row r="291" spans="1:7" x14ac:dyDescent="0.25">
      <c r="A291" s="4" t="s">
        <v>744</v>
      </c>
      <c r="B291" s="19">
        <f>B210</f>
        <v>77.660643632366543</v>
      </c>
      <c r="C291" s="1" t="s">
        <v>203</v>
      </c>
      <c r="D291" s="241" t="s">
        <v>691</v>
      </c>
      <c r="E291" s="241"/>
      <c r="F291" s="19">
        <f>B291+B292</f>
        <v>85.360643632366546</v>
      </c>
      <c r="G291" s="1" t="s">
        <v>203</v>
      </c>
    </row>
    <row r="292" spans="1:7" x14ac:dyDescent="0.25">
      <c r="A292" s="4" t="s">
        <v>715</v>
      </c>
      <c r="B292" s="19">
        <f>B246</f>
        <v>7.7</v>
      </c>
      <c r="C292" s="1" t="s">
        <v>203</v>
      </c>
    </row>
    <row r="293" spans="1:7" x14ac:dyDescent="0.25">
      <c r="A293" s="4" t="s">
        <v>745</v>
      </c>
      <c r="B293" s="19">
        <f>B249</f>
        <v>3.0580452376700098</v>
      </c>
      <c r="C293" s="1" t="s">
        <v>203</v>
      </c>
    </row>
    <row r="294" spans="1:7" x14ac:dyDescent="0.25">
      <c r="A294" s="4" t="s">
        <v>746</v>
      </c>
      <c r="B294" s="18">
        <v>0.02</v>
      </c>
      <c r="C294" s="1" t="s">
        <v>133</v>
      </c>
    </row>
    <row r="295" spans="1:7" x14ac:dyDescent="0.25">
      <c r="A295" s="4" t="s">
        <v>732</v>
      </c>
      <c r="B295" s="19">
        <f>B274</f>
        <v>98.277959602906662</v>
      </c>
      <c r="C295" s="1" t="s">
        <v>133</v>
      </c>
    </row>
    <row r="297" spans="1:7" x14ac:dyDescent="0.25">
      <c r="A297" s="4" t="s">
        <v>55</v>
      </c>
    </row>
    <row r="298" spans="1:7" x14ac:dyDescent="0.25">
      <c r="A298" s="4" t="s">
        <v>747</v>
      </c>
      <c r="B298" s="19">
        <f>B289*(B293+B294*(B291+B292)+0.015*B292)+B290*B291+B295</f>
        <v>118.28906785520775</v>
      </c>
      <c r="C298" s="1" t="s">
        <v>748</v>
      </c>
    </row>
    <row r="300" spans="1:7" x14ac:dyDescent="0.25">
      <c r="A300" s="3" t="s">
        <v>1216</v>
      </c>
    </row>
    <row r="302" spans="1:7" x14ac:dyDescent="0.25">
      <c r="B302" s="1" t="s">
        <v>750</v>
      </c>
    </row>
    <row r="303" spans="1:7" x14ac:dyDescent="0.25">
      <c r="B303" s="42" t="s">
        <v>751</v>
      </c>
    </row>
    <row r="304" spans="1:7" x14ac:dyDescent="0.25">
      <c r="A304" s="42" t="s">
        <v>91</v>
      </c>
    </row>
    <row r="305" spans="1:9" x14ac:dyDescent="0.25">
      <c r="A305" s="4" t="s">
        <v>326</v>
      </c>
      <c r="B305" s="18">
        <v>0.95</v>
      </c>
      <c r="C305" s="1" t="s">
        <v>212</v>
      </c>
    </row>
    <row r="306" spans="1:9" x14ac:dyDescent="0.25">
      <c r="A306" s="4" t="s">
        <v>141</v>
      </c>
      <c r="B306" s="19">
        <f>B298</f>
        <v>118.28906785520775</v>
      </c>
      <c r="C306" s="1" t="s">
        <v>133</v>
      </c>
    </row>
    <row r="307" spans="1:9" x14ac:dyDescent="0.25">
      <c r="A307" s="4" t="s">
        <v>26</v>
      </c>
      <c r="B307" s="19">
        <f>B140</f>
        <v>0.54200000000000004</v>
      </c>
      <c r="C307" s="1" t="s">
        <v>48</v>
      </c>
    </row>
    <row r="308" spans="1:9" x14ac:dyDescent="0.25">
      <c r="A308" s="42"/>
    </row>
    <row r="309" spans="1:9" x14ac:dyDescent="0.25">
      <c r="A309" s="4" t="s">
        <v>116</v>
      </c>
    </row>
    <row r="310" spans="1:9" x14ac:dyDescent="0.25">
      <c r="A310" s="4" t="s">
        <v>752</v>
      </c>
      <c r="B310" s="19">
        <f>B306*B307/(75*B305)</f>
        <v>0.89982701442136981</v>
      </c>
      <c r="C310" s="1" t="s">
        <v>249</v>
      </c>
      <c r="E310" s="1" t="s">
        <v>753</v>
      </c>
      <c r="G310" s="4" t="s">
        <v>754</v>
      </c>
      <c r="H310" s="19">
        <f>(9.8*B298*B472)/C478</f>
        <v>6.8571888350302714</v>
      </c>
      <c r="I310" s="1" t="s">
        <v>755</v>
      </c>
    </row>
    <row r="311" spans="1:9" x14ac:dyDescent="0.25">
      <c r="A311" s="4" t="s">
        <v>756</v>
      </c>
      <c r="B311" s="18">
        <v>2</v>
      </c>
      <c r="C311" s="1" t="s">
        <v>330</v>
      </c>
    </row>
    <row r="312" spans="1:9" x14ac:dyDescent="0.25">
      <c r="A312" s="4" t="s">
        <v>331</v>
      </c>
      <c r="B312" s="19">
        <f>B311/B310</f>
        <v>2.2226494292195618</v>
      </c>
      <c r="C312" s="1" t="s">
        <v>332</v>
      </c>
    </row>
    <row r="313" spans="1:9" x14ac:dyDescent="0.25">
      <c r="A313" s="4" t="s">
        <v>757</v>
      </c>
      <c r="B313" s="17">
        <f>B311*0.75</f>
        <v>1.5</v>
      </c>
      <c r="C313" s="1" t="s">
        <v>333</v>
      </c>
    </row>
    <row r="314" spans="1:9" x14ac:dyDescent="0.25">
      <c r="A314" s="42"/>
    </row>
    <row r="315" spans="1:9" x14ac:dyDescent="0.25">
      <c r="A315" s="3" t="s">
        <v>1217</v>
      </c>
    </row>
    <row r="316" spans="1:9" x14ac:dyDescent="0.25">
      <c r="A316" s="3"/>
    </row>
    <row r="317" spans="1:9" x14ac:dyDescent="0.25">
      <c r="A317" s="3" t="s">
        <v>1218</v>
      </c>
    </row>
    <row r="319" spans="1:9" x14ac:dyDescent="0.25">
      <c r="B319" s="1" t="s">
        <v>760</v>
      </c>
    </row>
    <row r="320" spans="1:9" x14ac:dyDescent="0.25">
      <c r="B320" s="1" t="s">
        <v>761</v>
      </c>
    </row>
    <row r="321" spans="1:3" x14ac:dyDescent="0.25">
      <c r="B321" s="1" t="s">
        <v>762</v>
      </c>
    </row>
    <row r="323" spans="1:3" x14ac:dyDescent="0.25">
      <c r="A323" s="1" t="s">
        <v>763</v>
      </c>
    </row>
    <row r="325" spans="1:3" x14ac:dyDescent="0.25">
      <c r="A325" s="1" t="s">
        <v>764</v>
      </c>
    </row>
    <row r="326" spans="1:3" x14ac:dyDescent="0.25">
      <c r="A326" s="4" t="s">
        <v>744</v>
      </c>
      <c r="B326" s="19">
        <f>B210</f>
        <v>77.660643632366543</v>
      </c>
      <c r="C326" s="1" t="s">
        <v>203</v>
      </c>
    </row>
    <row r="327" spans="1:3" x14ac:dyDescent="0.25">
      <c r="A327" s="4" t="s">
        <v>715</v>
      </c>
      <c r="B327" s="19">
        <f>B246</f>
        <v>7.7</v>
      </c>
      <c r="C327" s="1" t="s">
        <v>203</v>
      </c>
    </row>
    <row r="328" spans="1:3" x14ac:dyDescent="0.25">
      <c r="A328" s="4" t="s">
        <v>714</v>
      </c>
      <c r="B328" s="19">
        <f>B245</f>
        <v>0.35</v>
      </c>
      <c r="C328" s="1" t="s">
        <v>58</v>
      </c>
    </row>
    <row r="330" spans="1:3" x14ac:dyDescent="0.25">
      <c r="A330" s="4" t="s">
        <v>116</v>
      </c>
    </row>
    <row r="331" spans="1:3" x14ac:dyDescent="0.25">
      <c r="A331" s="4" t="s">
        <v>765</v>
      </c>
      <c r="B331" s="19">
        <f>6.25*(B326+B327)*B328</f>
        <v>186.72640794580184</v>
      </c>
      <c r="C331" s="1" t="s">
        <v>133</v>
      </c>
    </row>
    <row r="333" spans="1:3" x14ac:dyDescent="0.25">
      <c r="A333" s="3" t="s">
        <v>1219</v>
      </c>
    </row>
    <row r="335" spans="1:3" x14ac:dyDescent="0.25">
      <c r="B335" s="1" t="s">
        <v>767</v>
      </c>
    </row>
    <row r="337" spans="1:3" x14ac:dyDescent="0.25">
      <c r="B337" s="1" t="s">
        <v>768</v>
      </c>
    </row>
    <row r="339" spans="1:3" x14ac:dyDescent="0.25">
      <c r="A339" s="4" t="s">
        <v>207</v>
      </c>
    </row>
    <row r="340" spans="1:3" x14ac:dyDescent="0.25">
      <c r="A340" s="4" t="s">
        <v>276</v>
      </c>
      <c r="B340" s="19">
        <f>B289</f>
        <v>4.0999999999999996</v>
      </c>
      <c r="C340" s="1" t="s">
        <v>58</v>
      </c>
    </row>
    <row r="341" spans="1:3" x14ac:dyDescent="0.25">
      <c r="A341" s="4" t="s">
        <v>715</v>
      </c>
      <c r="B341" s="19">
        <f>B246</f>
        <v>7.7</v>
      </c>
      <c r="C341" s="1" t="s">
        <v>203</v>
      </c>
    </row>
    <row r="343" spans="1:3" x14ac:dyDescent="0.25">
      <c r="A343" s="4" t="s">
        <v>55</v>
      </c>
    </row>
    <row r="344" spans="1:3" x14ac:dyDescent="0.25">
      <c r="A344" s="4" t="s">
        <v>769</v>
      </c>
      <c r="B344" s="19">
        <f>0.015*B340*B341</f>
        <v>0.47354999999999997</v>
      </c>
      <c r="C344" s="1" t="s">
        <v>133</v>
      </c>
    </row>
    <row r="346" spans="1:3" x14ac:dyDescent="0.25">
      <c r="A346" s="3" t="s">
        <v>1220</v>
      </c>
    </row>
    <row r="348" spans="1:3" x14ac:dyDescent="0.25">
      <c r="B348" s="1" t="s">
        <v>162</v>
      </c>
    </row>
    <row r="349" spans="1:3" x14ac:dyDescent="0.25">
      <c r="B349" s="51" t="s">
        <v>163</v>
      </c>
    </row>
    <row r="350" spans="1:3" x14ac:dyDescent="0.25">
      <c r="B350" s="1" t="s">
        <v>164</v>
      </c>
    </row>
    <row r="352" spans="1:3" x14ac:dyDescent="0.25">
      <c r="B352" s="1" t="s">
        <v>165</v>
      </c>
    </row>
    <row r="353" spans="1:3" x14ac:dyDescent="0.25">
      <c r="B353" s="1" t="s">
        <v>166</v>
      </c>
    </row>
    <row r="354" spans="1:3" x14ac:dyDescent="0.25">
      <c r="B354" s="1" t="s">
        <v>167</v>
      </c>
    </row>
    <row r="356" spans="1:3" x14ac:dyDescent="0.25">
      <c r="B356" s="1" t="s">
        <v>168</v>
      </c>
    </row>
    <row r="357" spans="1:3" x14ac:dyDescent="0.25">
      <c r="B357" s="1" t="s">
        <v>169</v>
      </c>
    </row>
    <row r="358" spans="1:3" x14ac:dyDescent="0.25">
      <c r="A358" s="1" t="s">
        <v>43</v>
      </c>
    </row>
    <row r="359" spans="1:3" x14ac:dyDescent="0.25">
      <c r="A359" s="4" t="s">
        <v>170</v>
      </c>
      <c r="B359" s="18">
        <v>0.35</v>
      </c>
      <c r="C359" s="1" t="s">
        <v>46</v>
      </c>
    </row>
    <row r="360" spans="1:3" x14ac:dyDescent="0.25">
      <c r="A360" s="4" t="s">
        <v>171</v>
      </c>
      <c r="B360" s="18">
        <v>180</v>
      </c>
      <c r="C360" s="1" t="s">
        <v>172</v>
      </c>
    </row>
    <row r="362" spans="1:3" x14ac:dyDescent="0.25">
      <c r="A362" s="4" t="s">
        <v>116</v>
      </c>
    </row>
    <row r="363" spans="1:3" x14ac:dyDescent="0.25">
      <c r="A363" s="4" t="s">
        <v>173</v>
      </c>
      <c r="B363" s="19">
        <f>1/(POWER(2.71828,(0.0174*B359*B360)))</f>
        <v>0.33413864657348746</v>
      </c>
    </row>
    <row r="365" spans="1:3" x14ac:dyDescent="0.25">
      <c r="A365" s="3" t="s">
        <v>1221</v>
      </c>
    </row>
    <row r="367" spans="1:3" x14ac:dyDescent="0.25">
      <c r="A367" s="1" t="s">
        <v>772</v>
      </c>
    </row>
    <row r="369" spans="2:2" x14ac:dyDescent="0.25">
      <c r="B369" s="1" t="s">
        <v>773</v>
      </c>
    </row>
    <row r="370" spans="2:2" x14ac:dyDescent="0.25">
      <c r="B370" s="1" t="s">
        <v>774</v>
      </c>
    </row>
    <row r="372" spans="2:2" x14ac:dyDescent="0.25">
      <c r="B372" s="1" t="s">
        <v>775</v>
      </c>
    </row>
    <row r="373" spans="2:2" x14ac:dyDescent="0.25">
      <c r="B373" s="1" t="s">
        <v>776</v>
      </c>
    </row>
    <row r="375" spans="2:2" x14ac:dyDescent="0.25">
      <c r="B375" s="1" t="s">
        <v>777</v>
      </c>
    </row>
    <row r="376" spans="2:2" x14ac:dyDescent="0.25">
      <c r="B376" s="1" t="s">
        <v>778</v>
      </c>
    </row>
    <row r="378" spans="2:2" x14ac:dyDescent="0.25">
      <c r="B378" s="1" t="s">
        <v>779</v>
      </c>
    </row>
    <row r="380" spans="2:2" x14ac:dyDescent="0.25">
      <c r="B380" s="1" t="s">
        <v>780</v>
      </c>
    </row>
    <row r="381" spans="2:2" x14ac:dyDescent="0.25">
      <c r="B381" s="1" t="s">
        <v>781</v>
      </c>
    </row>
    <row r="382" spans="2:2" x14ac:dyDescent="0.25">
      <c r="B382" s="1" t="s">
        <v>782</v>
      </c>
    </row>
    <row r="383" spans="2:2" x14ac:dyDescent="0.25">
      <c r="B383" s="1" t="s">
        <v>783</v>
      </c>
    </row>
    <row r="384" spans="2:2" x14ac:dyDescent="0.25">
      <c r="B384" s="1" t="s">
        <v>784</v>
      </c>
    </row>
    <row r="386" spans="1:5" x14ac:dyDescent="0.25">
      <c r="A386" s="1" t="s">
        <v>91</v>
      </c>
    </row>
    <row r="387" spans="1:5" x14ac:dyDescent="0.25">
      <c r="A387" s="4" t="s">
        <v>173</v>
      </c>
      <c r="B387" s="19">
        <f>B363</f>
        <v>0.33413864657348746</v>
      </c>
      <c r="C387" s="1" t="s">
        <v>46</v>
      </c>
    </row>
    <row r="388" spans="1:5" x14ac:dyDescent="0.25">
      <c r="A388" s="4" t="s">
        <v>141</v>
      </c>
      <c r="B388" s="19">
        <f>B298</f>
        <v>118.28906785520775</v>
      </c>
      <c r="C388" s="1" t="s">
        <v>133</v>
      </c>
    </row>
    <row r="389" spans="1:5" x14ac:dyDescent="0.25">
      <c r="A389" s="4" t="s">
        <v>785</v>
      </c>
      <c r="B389" s="19">
        <f>B331</f>
        <v>186.72640794580184</v>
      </c>
      <c r="C389" s="1" t="s">
        <v>133</v>
      </c>
    </row>
    <row r="390" spans="1:5" x14ac:dyDescent="0.25">
      <c r="A390" s="4" t="s">
        <v>111</v>
      </c>
      <c r="B390" s="19">
        <f>B290</f>
        <v>0</v>
      </c>
      <c r="C390" s="1" t="s">
        <v>58</v>
      </c>
    </row>
    <row r="391" spans="1:5" x14ac:dyDescent="0.25">
      <c r="A391" s="4" t="s">
        <v>715</v>
      </c>
      <c r="B391" s="19">
        <f>B246</f>
        <v>7.7</v>
      </c>
      <c r="C391" s="1" t="s">
        <v>203</v>
      </c>
    </row>
    <row r="392" spans="1:5" x14ac:dyDescent="0.25">
      <c r="A392" s="4" t="s">
        <v>769</v>
      </c>
      <c r="B392" s="19">
        <f>B344</f>
        <v>0.47354999999999997</v>
      </c>
      <c r="C392" s="1" t="s">
        <v>133</v>
      </c>
    </row>
    <row r="394" spans="1:5" x14ac:dyDescent="0.25">
      <c r="A394" s="4" t="s">
        <v>176</v>
      </c>
    </row>
    <row r="395" spans="1:5" x14ac:dyDescent="0.25">
      <c r="A395" s="4" t="s">
        <v>197</v>
      </c>
      <c r="B395" s="19">
        <f>(1+B387)*B388</f>
        <v>157.8140168927863</v>
      </c>
      <c r="C395" s="1" t="s">
        <v>133</v>
      </c>
    </row>
    <row r="396" spans="1:5" x14ac:dyDescent="0.25">
      <c r="A396" s="4" t="s">
        <v>197</v>
      </c>
      <c r="B396" s="126">
        <f>B388+B389+B390*B391-B392</f>
        <v>304.5419258010096</v>
      </c>
      <c r="C396" s="1" t="s">
        <v>791</v>
      </c>
      <c r="E396" s="1" t="s">
        <v>133</v>
      </c>
    </row>
    <row r="397" spans="1:5" x14ac:dyDescent="0.25">
      <c r="A397" s="4"/>
    </row>
    <row r="398" spans="1:5" x14ac:dyDescent="0.25">
      <c r="A398" s="4" t="s">
        <v>176</v>
      </c>
    </row>
    <row r="399" spans="1:5" x14ac:dyDescent="0.25">
      <c r="A399" s="4" t="s">
        <v>792</v>
      </c>
      <c r="B399" s="19">
        <f>B387*B388</f>
        <v>39.524949037578537</v>
      </c>
      <c r="C399" s="1" t="s">
        <v>133</v>
      </c>
    </row>
    <row r="400" spans="1:5" x14ac:dyDescent="0.25">
      <c r="A400" s="4" t="s">
        <v>792</v>
      </c>
      <c r="B400" s="19">
        <f>B389+B392-B390*B391</f>
        <v>187.19995794580183</v>
      </c>
      <c r="C400" s="1" t="s">
        <v>133</v>
      </c>
    </row>
    <row r="402" spans="1:4" x14ac:dyDescent="0.25">
      <c r="A402" s="4" t="s">
        <v>176</v>
      </c>
    </row>
    <row r="403" spans="1:4" x14ac:dyDescent="0.25">
      <c r="A403" s="4" t="s">
        <v>793</v>
      </c>
      <c r="B403" s="19">
        <f>B387*B388+B392-B390*B391</f>
        <v>39.99849903757854</v>
      </c>
      <c r="C403" s="1" t="s">
        <v>133</v>
      </c>
    </row>
    <row r="404" spans="1:4" x14ac:dyDescent="0.25">
      <c r="A404" s="4" t="s">
        <v>793</v>
      </c>
      <c r="B404" s="19">
        <f>B387*B388+B392-B390*B391</f>
        <v>39.99849903757854</v>
      </c>
      <c r="C404" s="1" t="s">
        <v>133</v>
      </c>
    </row>
    <row r="405" spans="1:4" x14ac:dyDescent="0.25">
      <c r="A405" s="4"/>
      <c r="B405"/>
    </row>
    <row r="406" spans="1:4" x14ac:dyDescent="0.25">
      <c r="A406" s="4" t="s">
        <v>176</v>
      </c>
      <c r="B406"/>
    </row>
    <row r="407" spans="1:4" x14ac:dyDescent="0.25">
      <c r="A407" s="4" t="s">
        <v>177</v>
      </c>
      <c r="B407" s="19">
        <f>2*B387*B388</f>
        <v>79.049898075157074</v>
      </c>
      <c r="C407" s="1" t="s">
        <v>133</v>
      </c>
      <c r="D407" s="1" t="s">
        <v>804</v>
      </c>
    </row>
    <row r="408" spans="1:4" x14ac:dyDescent="0.25">
      <c r="A408" s="4"/>
      <c r="B408"/>
    </row>
    <row r="409" spans="1:4" x14ac:dyDescent="0.25">
      <c r="A409" s="4" t="s">
        <v>178</v>
      </c>
      <c r="B409" s="44">
        <f>B289*1.5%</f>
        <v>6.1499999999999992E-2</v>
      </c>
      <c r="C409" s="1" t="s">
        <v>58</v>
      </c>
    </row>
    <row r="410" spans="1:4" x14ac:dyDescent="0.25">
      <c r="A410" s="4"/>
      <c r="B410"/>
    </row>
    <row r="412" spans="1:4" x14ac:dyDescent="0.25">
      <c r="A412" s="3" t="s">
        <v>806</v>
      </c>
    </row>
    <row r="413" spans="1:4" x14ac:dyDescent="0.25">
      <c r="A413" s="3"/>
    </row>
    <row r="414" spans="1:4" x14ac:dyDescent="0.25">
      <c r="A414" s="3" t="s">
        <v>807</v>
      </c>
    </row>
    <row r="415" spans="1:4" x14ac:dyDescent="0.25">
      <c r="A415" s="3"/>
    </row>
    <row r="416" spans="1:4" x14ac:dyDescent="0.25">
      <c r="A416" s="3"/>
      <c r="B416" s="1" t="s">
        <v>808</v>
      </c>
    </row>
    <row r="417" spans="1:3" x14ac:dyDescent="0.25">
      <c r="A417" s="3"/>
      <c r="B417" s="42" t="s">
        <v>183</v>
      </c>
    </row>
    <row r="418" spans="1:3" x14ac:dyDescent="0.25">
      <c r="A418" s="3"/>
      <c r="B418" s="42"/>
    </row>
    <row r="419" spans="1:3" x14ac:dyDescent="0.25">
      <c r="A419" s="3"/>
      <c r="B419" s="1" t="s">
        <v>809</v>
      </c>
    </row>
    <row r="420" spans="1:3" x14ac:dyDescent="0.25">
      <c r="A420" s="3"/>
      <c r="B420" s="1" t="s">
        <v>184</v>
      </c>
    </row>
    <row r="421" spans="1:3" x14ac:dyDescent="0.25">
      <c r="A421" s="52" t="s">
        <v>185</v>
      </c>
    </row>
    <row r="422" spans="1:3" x14ac:dyDescent="0.25">
      <c r="A422" s="53" t="s">
        <v>186</v>
      </c>
      <c r="B422" s="1" t="s">
        <v>187</v>
      </c>
    </row>
    <row r="423" spans="1:3" x14ac:dyDescent="0.25">
      <c r="A423" s="4" t="s">
        <v>188</v>
      </c>
      <c r="B423" s="1" t="s">
        <v>189</v>
      </c>
    </row>
    <row r="424" spans="1:3" x14ac:dyDescent="0.25">
      <c r="A424" s="4" t="s">
        <v>190</v>
      </c>
      <c r="B424" s="1" t="s">
        <v>191</v>
      </c>
    </row>
    <row r="425" spans="1:3" x14ac:dyDescent="0.25">
      <c r="A425" s="4" t="s">
        <v>197</v>
      </c>
      <c r="B425" s="1" t="s">
        <v>192</v>
      </c>
    </row>
    <row r="426" spans="1:3" x14ac:dyDescent="0.25">
      <c r="A426" s="4" t="s">
        <v>70</v>
      </c>
      <c r="B426" s="1" t="s">
        <v>193</v>
      </c>
    </row>
    <row r="427" spans="1:3" x14ac:dyDescent="0.25">
      <c r="A427" s="4" t="s">
        <v>194</v>
      </c>
      <c r="B427" s="1" t="s">
        <v>195</v>
      </c>
    </row>
    <row r="428" spans="1:3" x14ac:dyDescent="0.25">
      <c r="A428" s="4" t="s">
        <v>810</v>
      </c>
      <c r="B428" s="1" t="s">
        <v>811</v>
      </c>
    </row>
    <row r="429" spans="1:3" x14ac:dyDescent="0.25">
      <c r="A429" s="52" t="s">
        <v>43</v>
      </c>
    </row>
    <row r="430" spans="1:3" x14ac:dyDescent="0.25">
      <c r="A430" s="4" t="s">
        <v>190</v>
      </c>
      <c r="B430" s="19">
        <f>B99/10</f>
        <v>76.2</v>
      </c>
      <c r="C430" s="1" t="s">
        <v>196</v>
      </c>
    </row>
    <row r="431" spans="1:3" x14ac:dyDescent="0.25">
      <c r="A431" s="4" t="s">
        <v>197</v>
      </c>
      <c r="B431" s="19">
        <f>B396</f>
        <v>304.5419258010096</v>
      </c>
      <c r="C431" s="1" t="s">
        <v>133</v>
      </c>
    </row>
    <row r="432" spans="1:3" x14ac:dyDescent="0.25">
      <c r="A432" s="4" t="s">
        <v>188</v>
      </c>
      <c r="B432" s="19">
        <f>B431/B430</f>
        <v>3.9966131994883147</v>
      </c>
      <c r="C432" s="1" t="s">
        <v>198</v>
      </c>
    </row>
    <row r="433" spans="1:9" x14ac:dyDescent="0.25">
      <c r="A433" s="4" t="s">
        <v>70</v>
      </c>
      <c r="B433" s="18">
        <v>12</v>
      </c>
      <c r="C433" s="1" t="s">
        <v>71</v>
      </c>
      <c r="E433" s="241" t="s">
        <v>1222</v>
      </c>
      <c r="F433" s="241"/>
      <c r="G433" s="241"/>
    </row>
    <row r="434" spans="1:9" x14ac:dyDescent="0.25">
      <c r="A434" s="4"/>
    </row>
    <row r="435" spans="1:9" x14ac:dyDescent="0.25">
      <c r="A435" s="52" t="s">
        <v>55</v>
      </c>
    </row>
    <row r="436" spans="1:9" x14ac:dyDescent="0.25">
      <c r="A436" s="4" t="s">
        <v>186</v>
      </c>
      <c r="B436" s="19">
        <f>B432/B433</f>
        <v>0.33305109995735954</v>
      </c>
      <c r="C436" s="1" t="s">
        <v>81</v>
      </c>
      <c r="E436" s="1" t="s">
        <v>813</v>
      </c>
      <c r="H436" s="19">
        <f>B289/B121/60</f>
        <v>0.12607626076260761</v>
      </c>
    </row>
    <row r="437" spans="1:9" x14ac:dyDescent="0.25">
      <c r="A437" s="38" t="s">
        <v>199</v>
      </c>
      <c r="E437" s="1" t="s">
        <v>814</v>
      </c>
      <c r="H437" s="18">
        <v>5</v>
      </c>
      <c r="I437" s="1" t="s">
        <v>52</v>
      </c>
    </row>
    <row r="438" spans="1:9" x14ac:dyDescent="0.25">
      <c r="A438" s="4" t="s">
        <v>200</v>
      </c>
      <c r="B438" s="18">
        <v>2</v>
      </c>
      <c r="C438" s="1" t="s">
        <v>81</v>
      </c>
    </row>
    <row r="439" spans="1:9" x14ac:dyDescent="0.25">
      <c r="A439" s="4"/>
    </row>
    <row r="440" spans="1:9" x14ac:dyDescent="0.25">
      <c r="A440" s="4" t="s">
        <v>107</v>
      </c>
      <c r="B440" s="19">
        <f>B289*2+B472*3.1415+1.5</f>
        <v>10.796383499999999</v>
      </c>
      <c r="C440" s="1" t="s">
        <v>58</v>
      </c>
    </row>
    <row r="441" spans="1:9" x14ac:dyDescent="0.25">
      <c r="A441" s="4"/>
    </row>
    <row r="442" spans="1:9" x14ac:dyDescent="0.25">
      <c r="A442" s="3" t="s">
        <v>815</v>
      </c>
    </row>
    <row r="443" spans="1:9" x14ac:dyDescent="0.25">
      <c r="A443" s="4"/>
    </row>
    <row r="444" spans="1:9" x14ac:dyDescent="0.25">
      <c r="B444" s="1" t="s">
        <v>205</v>
      </c>
    </row>
    <row r="445" spans="1:9" x14ac:dyDescent="0.25">
      <c r="B445" s="1" t="s">
        <v>206</v>
      </c>
    </row>
    <row r="446" spans="1:9" x14ac:dyDescent="0.25">
      <c r="A446" s="1" t="s">
        <v>207</v>
      </c>
    </row>
    <row r="447" spans="1:9" x14ac:dyDescent="0.25">
      <c r="A447" s="4" t="s">
        <v>197</v>
      </c>
      <c r="B447" s="19">
        <f>B431</f>
        <v>304.5419258010096</v>
      </c>
      <c r="C447" s="1" t="s">
        <v>133</v>
      </c>
    </row>
    <row r="448" spans="1:9" x14ac:dyDescent="0.25">
      <c r="A448" s="4" t="s">
        <v>190</v>
      </c>
      <c r="B448" s="19">
        <v>120</v>
      </c>
      <c r="C448" s="1" t="s">
        <v>196</v>
      </c>
    </row>
    <row r="449" spans="1:8" x14ac:dyDescent="0.25">
      <c r="A449" s="4" t="s">
        <v>208</v>
      </c>
      <c r="B449" s="19">
        <f>B438</f>
        <v>2</v>
      </c>
      <c r="C449" s="1" t="s">
        <v>46</v>
      </c>
    </row>
    <row r="450" spans="1:8" x14ac:dyDescent="0.25">
      <c r="A450" s="4" t="s">
        <v>209</v>
      </c>
      <c r="B450" s="19">
        <f>B433</f>
        <v>12</v>
      </c>
      <c r="C450" s="1" t="s">
        <v>210</v>
      </c>
      <c r="E450" s="1" t="s">
        <v>1223</v>
      </c>
      <c r="G450" s="19">
        <f>B438*B433*B430*9.8/1000</f>
        <v>17.922240000000002</v>
      </c>
      <c r="H450" s="1" t="s">
        <v>817</v>
      </c>
    </row>
    <row r="452" spans="1:8" x14ac:dyDescent="0.25">
      <c r="A452" s="4" t="s">
        <v>211</v>
      </c>
      <c r="B452" s="19">
        <f>B447*100/(B448*B449*B450)</f>
        <v>10.574372423646167</v>
      </c>
      <c r="C452" s="32" t="s">
        <v>212</v>
      </c>
      <c r="D452" s="1" t="s">
        <v>818</v>
      </c>
      <c r="F452" s="19">
        <f>B438*B433*B430/B447</f>
        <v>6.0050845058192559</v>
      </c>
    </row>
    <row r="453" spans="1:8" x14ac:dyDescent="0.25">
      <c r="A453" s="3"/>
    </row>
    <row r="454" spans="1:8" x14ac:dyDescent="0.25">
      <c r="A454" s="3" t="s">
        <v>819</v>
      </c>
    </row>
    <row r="455" spans="1:8" x14ac:dyDescent="0.25">
      <c r="A455" s="3"/>
    </row>
    <row r="456" spans="1:8" x14ac:dyDescent="0.25">
      <c r="A456" s="3" t="s">
        <v>820</v>
      </c>
    </row>
    <row r="457" spans="1:8" x14ac:dyDescent="0.25">
      <c r="A457" s="3"/>
    </row>
    <row r="458" spans="1:8" x14ac:dyDescent="0.25">
      <c r="B458" s="52" t="s">
        <v>335</v>
      </c>
    </row>
    <row r="459" spans="1:8" x14ac:dyDescent="0.25">
      <c r="B459" s="52" t="s">
        <v>336</v>
      </c>
    </row>
    <row r="460" spans="1:8" x14ac:dyDescent="0.25">
      <c r="A460" s="52"/>
    </row>
    <row r="461" spans="1:8" x14ac:dyDescent="0.25">
      <c r="B461" s="52" t="s">
        <v>337</v>
      </c>
    </row>
    <row r="462" spans="1:8" x14ac:dyDescent="0.25">
      <c r="B462" s="52" t="s">
        <v>338</v>
      </c>
    </row>
    <row r="463" spans="1:8" x14ac:dyDescent="0.25">
      <c r="A463" s="52" t="s">
        <v>23</v>
      </c>
    </row>
    <row r="464" spans="1:8" x14ac:dyDescent="0.25">
      <c r="B464" s="1" t="s">
        <v>339</v>
      </c>
    </row>
    <row r="465" spans="1:18" x14ac:dyDescent="0.25">
      <c r="B465" s="1" t="s">
        <v>340</v>
      </c>
      <c r="C465" s="130"/>
    </row>
    <row r="466" spans="1:18" x14ac:dyDescent="0.25">
      <c r="B466" s="1" t="s">
        <v>341</v>
      </c>
    </row>
    <row r="467" spans="1:18" x14ac:dyDescent="0.25">
      <c r="B467" s="1" t="s">
        <v>342</v>
      </c>
      <c r="C467" s="130"/>
    </row>
    <row r="468" spans="1:18" x14ac:dyDescent="0.25">
      <c r="B468" s="1" t="s">
        <v>343</v>
      </c>
      <c r="C468" s="130"/>
    </row>
    <row r="469" spans="1:18" x14ac:dyDescent="0.25">
      <c r="B469" s="130"/>
    </row>
    <row r="470" spans="1:18" x14ac:dyDescent="0.25">
      <c r="A470" s="1" t="s">
        <v>344</v>
      </c>
      <c r="B470" s="130"/>
      <c r="D470" s="38"/>
    </row>
    <row r="471" spans="1:18" x14ac:dyDescent="0.25">
      <c r="A471" s="4" t="s">
        <v>345</v>
      </c>
      <c r="B471" s="44">
        <f>(POWER(((6.56-((100-B452)/40))*(2*POWER(B438,1/2)+0.0122*B433)),2))*1.05/1000</f>
        <v>0.17376260114521982</v>
      </c>
      <c r="C471" s="1" t="s">
        <v>58</v>
      </c>
      <c r="D471" s="38"/>
    </row>
    <row r="472" spans="1:18" x14ac:dyDescent="0.25">
      <c r="A472" s="4" t="s">
        <v>114</v>
      </c>
      <c r="B472" s="131">
        <f>0.323+0.026</f>
        <v>0.34900000000000003</v>
      </c>
      <c r="C472" s="1" t="s">
        <v>58</v>
      </c>
      <c r="D472" s="1">
        <f>B472/B471</f>
        <v>2.0084874288243868</v>
      </c>
      <c r="F472" s="1" t="s">
        <v>821</v>
      </c>
      <c r="H472" s="18">
        <v>5</v>
      </c>
    </row>
    <row r="473" spans="1:18" x14ac:dyDescent="0.25">
      <c r="A473" s="4" t="s">
        <v>26</v>
      </c>
      <c r="B473" s="17">
        <f>B121</f>
        <v>0.54200000000000004</v>
      </c>
      <c r="C473" s="38" t="s">
        <v>48</v>
      </c>
      <c r="F473" s="1" t="s">
        <v>822</v>
      </c>
      <c r="H473" s="18">
        <v>5</v>
      </c>
    </row>
    <row r="474" spans="1:18" x14ac:dyDescent="0.25">
      <c r="A474" s="4" t="s">
        <v>346</v>
      </c>
      <c r="B474" s="18">
        <v>1750</v>
      </c>
      <c r="C474" s="38" t="s">
        <v>347</v>
      </c>
    </row>
    <row r="475" spans="1:18" x14ac:dyDescent="0.25">
      <c r="A475" s="4" t="s">
        <v>348</v>
      </c>
      <c r="B475" s="65">
        <f>B473*60/B472/3.1415</f>
        <v>29.661154149072839</v>
      </c>
      <c r="C475" s="38" t="s">
        <v>347</v>
      </c>
    </row>
    <row r="476" spans="1:18" x14ac:dyDescent="0.25">
      <c r="B476" s="130"/>
      <c r="D476" s="38"/>
    </row>
    <row r="477" spans="1:18" x14ac:dyDescent="0.25">
      <c r="A477" s="1" t="s">
        <v>349</v>
      </c>
    </row>
    <row r="478" spans="1:18" x14ac:dyDescent="0.25">
      <c r="A478" s="1" t="s">
        <v>350</v>
      </c>
      <c r="B478" s="66">
        <v>1</v>
      </c>
      <c r="C478" s="65">
        <f>B474/B475</f>
        <v>58.999727091020908</v>
      </c>
      <c r="F478" s="1" t="s">
        <v>824</v>
      </c>
      <c r="I478" s="252" t="s">
        <v>1389</v>
      </c>
      <c r="J478" s="253"/>
      <c r="K478" s="253"/>
      <c r="L478" s="253"/>
      <c r="M478" s="253"/>
      <c r="N478" s="253"/>
      <c r="O478" s="254"/>
    </row>
    <row r="480" spans="1:18" x14ac:dyDescent="0.25">
      <c r="A480" s="3" t="s">
        <v>825</v>
      </c>
      <c r="I480" s="255" t="s">
        <v>1391</v>
      </c>
      <c r="J480" s="256"/>
      <c r="K480" s="256"/>
      <c r="L480" s="256"/>
      <c r="M480" s="256"/>
      <c r="N480" s="256"/>
      <c r="O480" s="256"/>
      <c r="P480" s="256"/>
      <c r="Q480" s="256"/>
      <c r="R480" s="257"/>
    </row>
    <row r="482" spans="1:2" x14ac:dyDescent="0.25">
      <c r="A482" s="1" t="s">
        <v>826</v>
      </c>
    </row>
    <row r="484" spans="1:2" x14ac:dyDescent="0.25">
      <c r="B484" s="1" t="s">
        <v>827</v>
      </c>
    </row>
    <row r="486" spans="1:2" ht="15" x14ac:dyDescent="0.25">
      <c r="B486" s="1" t="s">
        <v>216</v>
      </c>
    </row>
    <row r="487" spans="1:2" x14ac:dyDescent="0.25">
      <c r="B487" s="4">
        <v>2</v>
      </c>
    </row>
    <row r="489" spans="1:2" ht="15" x14ac:dyDescent="0.25">
      <c r="B489" s="1" t="s">
        <v>217</v>
      </c>
    </row>
    <row r="490" spans="1:2" x14ac:dyDescent="0.25">
      <c r="B490" s="1" t="s">
        <v>218</v>
      </c>
    </row>
    <row r="492" spans="1:2" ht="17.399999999999999" x14ac:dyDescent="0.25">
      <c r="B492" s="1" t="s">
        <v>219</v>
      </c>
    </row>
    <row r="495" spans="1:2" ht="15" x14ac:dyDescent="0.25">
      <c r="B495" s="1" t="s">
        <v>220</v>
      </c>
    </row>
    <row r="496" spans="1:2" x14ac:dyDescent="0.25">
      <c r="B496" s="1" t="s">
        <v>221</v>
      </c>
    </row>
    <row r="499" spans="1:2" x14ac:dyDescent="0.25">
      <c r="B499" s="1" t="s">
        <v>828</v>
      </c>
    </row>
    <row r="501" spans="1:2" x14ac:dyDescent="0.25">
      <c r="B501" s="1" t="s">
        <v>829</v>
      </c>
    </row>
    <row r="503" spans="1:2" ht="15" x14ac:dyDescent="0.25">
      <c r="B503" s="1" t="s">
        <v>224</v>
      </c>
    </row>
    <row r="504" spans="1:2" x14ac:dyDescent="0.25">
      <c r="B504" s="4">
        <v>2</v>
      </c>
    </row>
    <row r="506" spans="1:2" ht="15" x14ac:dyDescent="0.25">
      <c r="B506" s="1" t="s">
        <v>225</v>
      </c>
    </row>
    <row r="507" spans="1:2" x14ac:dyDescent="0.25">
      <c r="B507" s="1" t="s">
        <v>221</v>
      </c>
    </row>
    <row r="509" spans="1:2" x14ac:dyDescent="0.25">
      <c r="A509" s="1" t="s">
        <v>23</v>
      </c>
    </row>
    <row r="510" spans="1:2" x14ac:dyDescent="0.25">
      <c r="B510" s="38" t="s">
        <v>830</v>
      </c>
    </row>
    <row r="511" spans="1:2" x14ac:dyDescent="0.25">
      <c r="B511" s="1" t="s">
        <v>226</v>
      </c>
    </row>
    <row r="512" spans="1:2" x14ac:dyDescent="0.25">
      <c r="B512" s="1" t="s">
        <v>227</v>
      </c>
    </row>
    <row r="513" spans="1:16" x14ac:dyDescent="0.25">
      <c r="B513" s="1" t="s">
        <v>831</v>
      </c>
    </row>
    <row r="514" spans="1:16" x14ac:dyDescent="0.25">
      <c r="B514" s="1" t="s">
        <v>229</v>
      </c>
    </row>
    <row r="515" spans="1:16" ht="15.6" x14ac:dyDescent="0.25">
      <c r="B515" s="52" t="s">
        <v>832</v>
      </c>
    </row>
    <row r="516" spans="1:16" x14ac:dyDescent="0.25">
      <c r="B516" s="1" t="s">
        <v>231</v>
      </c>
    </row>
    <row r="517" spans="1:16" x14ac:dyDescent="0.25">
      <c r="B517" s="1" t="s">
        <v>232</v>
      </c>
    </row>
    <row r="518" spans="1:16" x14ac:dyDescent="0.25">
      <c r="B518" s="1" t="s">
        <v>233</v>
      </c>
    </row>
    <row r="519" spans="1:16" x14ac:dyDescent="0.25">
      <c r="B519" s="1" t="s">
        <v>234</v>
      </c>
    </row>
    <row r="520" spans="1:16" x14ac:dyDescent="0.25">
      <c r="B520" s="1" t="s">
        <v>235</v>
      </c>
    </row>
    <row r="521" spans="1:16" x14ac:dyDescent="0.25">
      <c r="B521" s="1" t="s">
        <v>236</v>
      </c>
    </row>
    <row r="522" spans="1:16" x14ac:dyDescent="0.25">
      <c r="B522" s="1" t="s">
        <v>833</v>
      </c>
    </row>
    <row r="523" spans="1:16" x14ac:dyDescent="0.25">
      <c r="B523" s="1" t="s">
        <v>834</v>
      </c>
    </row>
    <row r="524" spans="1:16" x14ac:dyDescent="0.25">
      <c r="B524" s="1" t="s">
        <v>239</v>
      </c>
    </row>
    <row r="526" spans="1:16" x14ac:dyDescent="0.25">
      <c r="A526" s="3" t="s">
        <v>835</v>
      </c>
    </row>
    <row r="527" spans="1:16" ht="15.6" x14ac:dyDescent="0.3">
      <c r="A527" s="1" t="s">
        <v>243</v>
      </c>
    </row>
    <row r="528" spans="1:16" ht="13.8" x14ac:dyDescent="0.25">
      <c r="K528" s="9" t="s">
        <v>241</v>
      </c>
      <c r="L528" s="9"/>
      <c r="N528" s="58" t="s">
        <v>285</v>
      </c>
      <c r="P528" s="58" t="s">
        <v>286</v>
      </c>
    </row>
    <row r="529" spans="1:19" x14ac:dyDescent="0.25">
      <c r="A529" s="4" t="s">
        <v>276</v>
      </c>
      <c r="B529" s="19">
        <f>IF(B98=24,105,IF(B98=54,195,IF(B98=30,112,IF(B98=36,137,IF(B98=42,157,IF(B98=48,178,0))))))</f>
        <v>112</v>
      </c>
      <c r="C529" s="1" t="s">
        <v>196</v>
      </c>
      <c r="K529" s="9" t="s">
        <v>244</v>
      </c>
      <c r="L529" s="9" t="s">
        <v>245</v>
      </c>
    </row>
    <row r="530" spans="1:19" x14ac:dyDescent="0.25">
      <c r="A530" s="4" t="s">
        <v>246</v>
      </c>
      <c r="B530" s="18">
        <v>120</v>
      </c>
      <c r="C530" s="1" t="s">
        <v>133</v>
      </c>
      <c r="K530" s="9">
        <v>20</v>
      </c>
      <c r="L530" s="9">
        <v>67</v>
      </c>
    </row>
    <row r="531" spans="1:19" ht="15" x14ac:dyDescent="0.25">
      <c r="A531" s="4" t="s">
        <v>247</v>
      </c>
      <c r="B531" s="19">
        <f>(B529-(25.4*B164+105)/10)/2</f>
        <v>12.649999999999999</v>
      </c>
      <c r="C531" s="1" t="s">
        <v>196</v>
      </c>
      <c r="K531" s="9">
        <v>25</v>
      </c>
      <c r="L531" s="9">
        <v>77</v>
      </c>
      <c r="P531" s="1" t="s">
        <v>288</v>
      </c>
    </row>
    <row r="532" spans="1:19" x14ac:dyDescent="0.25">
      <c r="A532" s="4" t="s">
        <v>248</v>
      </c>
      <c r="B532" s="19">
        <f>POWER(((B396+B400)*(B396+B400)+(B530)*(B530)),1/2)</f>
        <v>506.17198680968369</v>
      </c>
      <c r="C532" s="1" t="s">
        <v>68</v>
      </c>
      <c r="K532" s="9">
        <v>30</v>
      </c>
      <c r="L532" s="9">
        <v>82</v>
      </c>
      <c r="P532" s="1" t="s">
        <v>289</v>
      </c>
    </row>
    <row r="533" spans="1:19" x14ac:dyDescent="0.25">
      <c r="A533" s="4" t="s">
        <v>147</v>
      </c>
      <c r="B533" s="19">
        <f>B310</f>
        <v>0.89982701442136981</v>
      </c>
      <c r="C533" s="1" t="s">
        <v>249</v>
      </c>
      <c r="K533" s="9">
        <v>35</v>
      </c>
      <c r="L533" s="9">
        <v>85</v>
      </c>
    </row>
    <row r="534" spans="1:19" x14ac:dyDescent="0.25">
      <c r="A534" s="4" t="s">
        <v>114</v>
      </c>
      <c r="B534" s="17">
        <f>B472*100</f>
        <v>34.900000000000006</v>
      </c>
      <c r="C534" s="1" t="s">
        <v>196</v>
      </c>
      <c r="K534" s="9">
        <v>40</v>
      </c>
      <c r="L534" s="9">
        <v>85</v>
      </c>
      <c r="O534" s="4" t="s">
        <v>290</v>
      </c>
      <c r="P534" s="1" t="s">
        <v>291</v>
      </c>
    </row>
    <row r="535" spans="1:19" x14ac:dyDescent="0.25">
      <c r="A535" s="4" t="s">
        <v>30</v>
      </c>
      <c r="B535" s="17">
        <f>B121</f>
        <v>0.54200000000000004</v>
      </c>
      <c r="C535" s="1" t="s">
        <v>48</v>
      </c>
      <c r="K535" s="9">
        <v>45</v>
      </c>
      <c r="L535" s="9">
        <v>90</v>
      </c>
      <c r="O535" s="4" t="s">
        <v>294</v>
      </c>
      <c r="P535" s="1" t="s">
        <v>295</v>
      </c>
    </row>
    <row r="536" spans="1:19" x14ac:dyDescent="0.25">
      <c r="A536" s="4" t="s">
        <v>250</v>
      </c>
      <c r="B536" s="18">
        <v>2</v>
      </c>
      <c r="C536" s="1" t="s">
        <v>46</v>
      </c>
      <c r="K536" s="9">
        <v>50</v>
      </c>
      <c r="L536" s="9">
        <v>95</v>
      </c>
      <c r="O536" s="4" t="s">
        <v>296</v>
      </c>
      <c r="P536" s="1" t="s">
        <v>297</v>
      </c>
    </row>
    <row r="537" spans="1:19" x14ac:dyDescent="0.25">
      <c r="A537" s="4" t="s">
        <v>251</v>
      </c>
      <c r="B537" s="18">
        <v>1.5</v>
      </c>
      <c r="C537" s="1" t="s">
        <v>46</v>
      </c>
      <c r="K537" s="9">
        <v>55</v>
      </c>
      <c r="L537" s="9">
        <v>105</v>
      </c>
      <c r="O537" s="4" t="s">
        <v>298</v>
      </c>
      <c r="P537" s="1" t="s">
        <v>299</v>
      </c>
    </row>
    <row r="538" spans="1:19" x14ac:dyDescent="0.25">
      <c r="A538" s="4" t="s">
        <v>252</v>
      </c>
      <c r="B538" s="19">
        <f>B531*B532/2</f>
        <v>3201.5378165712491</v>
      </c>
      <c r="C538" s="1" t="s">
        <v>253</v>
      </c>
      <c r="K538" s="9">
        <v>60</v>
      </c>
      <c r="L538" s="9">
        <v>110</v>
      </c>
      <c r="O538" s="4" t="s">
        <v>114</v>
      </c>
      <c r="P538" s="1" t="s">
        <v>301</v>
      </c>
    </row>
    <row r="539" spans="1:19" x14ac:dyDescent="0.25">
      <c r="A539" s="4" t="s">
        <v>254</v>
      </c>
      <c r="B539" s="19">
        <f>B533*38*B534/B535</f>
        <v>2201.7538496782672</v>
      </c>
      <c r="C539" s="1" t="s">
        <v>253</v>
      </c>
      <c r="K539" s="9">
        <v>65</v>
      </c>
      <c r="L539" s="9">
        <v>115</v>
      </c>
      <c r="O539" s="4"/>
    </row>
    <row r="540" spans="1:19" x14ac:dyDescent="0.25">
      <c r="A540" s="4" t="s">
        <v>255</v>
      </c>
      <c r="B540" s="19">
        <f>POWER((POWER(B537*B538,2)+POWER(B536*B539,2)),0.5)</f>
        <v>6515.5989700025139</v>
      </c>
      <c r="C540" s="1" t="s">
        <v>253</v>
      </c>
      <c r="K540" s="9">
        <v>70</v>
      </c>
      <c r="L540" s="9">
        <v>120</v>
      </c>
      <c r="O540" s="4" t="s">
        <v>294</v>
      </c>
      <c r="P540" s="43">
        <f>B532/B430</f>
        <v>6.6426769922530662</v>
      </c>
      <c r="Q540" s="1" t="s">
        <v>198</v>
      </c>
      <c r="S540" s="1" t="s">
        <v>302</v>
      </c>
    </row>
    <row r="541" spans="1:19" x14ac:dyDescent="0.25">
      <c r="K541" s="9">
        <v>75</v>
      </c>
      <c r="L541" s="9">
        <v>125</v>
      </c>
      <c r="O541" s="4" t="s">
        <v>296</v>
      </c>
      <c r="P541" s="50">
        <v>2.92E-2</v>
      </c>
      <c r="Q541" s="1" t="s">
        <v>303</v>
      </c>
    </row>
    <row r="542" spans="1:19" x14ac:dyDescent="0.25">
      <c r="A542" s="1" t="s">
        <v>838</v>
      </c>
      <c r="D542" s="1" t="s">
        <v>257</v>
      </c>
      <c r="K542" s="9">
        <v>80</v>
      </c>
      <c r="L542" s="9">
        <v>140</v>
      </c>
      <c r="O542" s="4" t="s">
        <v>298</v>
      </c>
      <c r="P542" s="50">
        <v>560</v>
      </c>
      <c r="Q542" s="38" t="s">
        <v>305</v>
      </c>
    </row>
    <row r="543" spans="1:19" x14ac:dyDescent="0.25">
      <c r="A543" s="4" t="s">
        <v>258</v>
      </c>
      <c r="B543" s="19">
        <f>10*POWER(((16*B540)/(3.1415*560)),1/3)</f>
        <v>38.986694282666889</v>
      </c>
      <c r="C543" s="1" t="s">
        <v>52</v>
      </c>
      <c r="D543" s="4" t="s">
        <v>258</v>
      </c>
      <c r="E543" s="19">
        <f>B593</f>
        <v>66.223916574102788</v>
      </c>
      <c r="F543" s="1" t="s">
        <v>52</v>
      </c>
      <c r="H543" s="4" t="s">
        <v>259</v>
      </c>
      <c r="I543" s="19" cm="1">
        <f t="array" ref="I543">SUMPRODUCT(LARGE((K530:K558&gt;E543)*(K530:K558),COUNTIF(K530:K558,"&gt;"&amp;E543)))-5</f>
        <v>65</v>
      </c>
      <c r="J543" s="1" t="s">
        <v>52</v>
      </c>
      <c r="K543" s="9">
        <v>85</v>
      </c>
      <c r="L543" s="9">
        <v>145</v>
      </c>
      <c r="O543" s="4" t="s">
        <v>306</v>
      </c>
      <c r="P543" s="17">
        <f>B534</f>
        <v>34.900000000000006</v>
      </c>
      <c r="Q543" s="1" t="s">
        <v>307</v>
      </c>
    </row>
    <row r="544" spans="1:19" x14ac:dyDescent="0.25">
      <c r="A544" s="1" t="s">
        <v>199</v>
      </c>
      <c r="K544" s="9">
        <v>90</v>
      </c>
      <c r="L544" s="9">
        <v>160</v>
      </c>
    </row>
    <row r="545" spans="1:18" x14ac:dyDescent="0.25">
      <c r="A545" s="4" t="s">
        <v>261</v>
      </c>
      <c r="B545" s="18">
        <v>76.2</v>
      </c>
      <c r="C545" s="1" t="s">
        <v>52</v>
      </c>
      <c r="D545" s="1" t="s">
        <v>839</v>
      </c>
      <c r="E545" s="43">
        <f>8000*((E547/1000)*(3.1415*(B545/1000)^2)/4)</f>
        <v>60.559891783200001</v>
      </c>
      <c r="F545" s="1" t="s">
        <v>68</v>
      </c>
      <c r="K545" s="9">
        <v>100</v>
      </c>
      <c r="L545" s="9">
        <v>175</v>
      </c>
      <c r="O545" s="4" t="s">
        <v>290</v>
      </c>
      <c r="P545" s="17">
        <f>10*(P541*(3*P540*P543)/P542)^0.5</f>
        <v>1.9043304882648282</v>
      </c>
      <c r="Q545" s="1" t="s">
        <v>52</v>
      </c>
    </row>
    <row r="546" spans="1:18" x14ac:dyDescent="0.25">
      <c r="K546" s="9">
        <v>110</v>
      </c>
      <c r="L546" s="9">
        <v>185</v>
      </c>
      <c r="O546" s="4" t="s">
        <v>290</v>
      </c>
      <c r="P546" s="18">
        <v>6</v>
      </c>
      <c r="Q546" s="1" t="s">
        <v>52</v>
      </c>
    </row>
    <row r="547" spans="1:18" x14ac:dyDescent="0.25">
      <c r="A547" s="3" t="s">
        <v>840</v>
      </c>
      <c r="E547" s="1">
        <f>B529*10+L542+50+350</f>
        <v>1660</v>
      </c>
      <c r="F547" s="1" t="s">
        <v>52</v>
      </c>
      <c r="K547" s="9">
        <v>115</v>
      </c>
      <c r="L547" s="9">
        <v>190</v>
      </c>
    </row>
    <row r="548" spans="1:18" ht="15.6" x14ac:dyDescent="0.3">
      <c r="A548" s="1" t="s">
        <v>243</v>
      </c>
      <c r="I548"/>
      <c r="K548" s="9">
        <v>125</v>
      </c>
      <c r="L548" s="9">
        <v>205</v>
      </c>
      <c r="Q548" s="62"/>
      <c r="R548" s="38" t="s">
        <v>1299</v>
      </c>
    </row>
    <row r="549" spans="1:18" x14ac:dyDescent="0.25">
      <c r="A549" s="4" t="s">
        <v>247</v>
      </c>
      <c r="B549" s="18">
        <v>20</v>
      </c>
      <c r="C549" s="1" t="s">
        <v>196</v>
      </c>
      <c r="K549" s="9">
        <v>135</v>
      </c>
      <c r="L549" s="9">
        <v>180</v>
      </c>
      <c r="P549" s="1" t="s">
        <v>1300</v>
      </c>
    </row>
    <row r="550" spans="1:18" x14ac:dyDescent="0.25">
      <c r="A550" s="4" t="s">
        <v>263</v>
      </c>
      <c r="B550" s="19">
        <f>POWER(((2*B403)^2+(B530)^2),1/2)</f>
        <v>144.22038587188945</v>
      </c>
      <c r="C550" s="1" t="s">
        <v>68</v>
      </c>
      <c r="K550" s="9">
        <v>140</v>
      </c>
      <c r="L550" s="9">
        <v>190</v>
      </c>
      <c r="P550" s="1" t="s">
        <v>311</v>
      </c>
    </row>
    <row r="551" spans="1:18" x14ac:dyDescent="0.25">
      <c r="A551" s="4" t="s">
        <v>251</v>
      </c>
      <c r="B551" s="18">
        <v>2</v>
      </c>
      <c r="C551" s="1" t="s">
        <v>46</v>
      </c>
      <c r="K551" s="9">
        <v>150</v>
      </c>
      <c r="L551" s="9">
        <v>205</v>
      </c>
    </row>
    <row r="552" spans="1:18" x14ac:dyDescent="0.25">
      <c r="A552" s="4"/>
      <c r="K552" s="9">
        <v>160</v>
      </c>
      <c r="L552" s="9">
        <v>210</v>
      </c>
      <c r="O552" s="4" t="s">
        <v>290</v>
      </c>
      <c r="P552" s="1" t="s">
        <v>312</v>
      </c>
    </row>
    <row r="553" spans="1:18" x14ac:dyDescent="0.25">
      <c r="A553" s="1" t="s">
        <v>838</v>
      </c>
      <c r="D553" s="1" t="s">
        <v>257</v>
      </c>
      <c r="K553" s="9">
        <v>170</v>
      </c>
      <c r="L553" s="9">
        <v>220</v>
      </c>
      <c r="O553" s="4" t="s">
        <v>294</v>
      </c>
      <c r="P553" s="1" t="s">
        <v>295</v>
      </c>
    </row>
    <row r="554" spans="1:18" x14ac:dyDescent="0.25">
      <c r="A554" s="4" t="s">
        <v>258</v>
      </c>
      <c r="B554" s="19">
        <f>10*POWER((32*B549*B550*B551)/(3.1415*560*2),1/3)</f>
        <v>37.436379864070958</v>
      </c>
      <c r="C554" s="1" t="s">
        <v>52</v>
      </c>
      <c r="D554" s="4" t="s">
        <v>258</v>
      </c>
      <c r="E554" s="19">
        <f>B610</f>
        <v>48.38346849775246</v>
      </c>
      <c r="F554" s="1" t="s">
        <v>52</v>
      </c>
      <c r="H554" s="4" t="s">
        <v>259</v>
      </c>
      <c r="I554" s="19" cm="1">
        <f t="array" ref="I554">SUMPRODUCT(LARGE((K530:K558&gt;B556)*(K530:K558),COUNTIF(K530:K558,"&gt;"&amp;B556)))-10</f>
        <v>55</v>
      </c>
      <c r="J554" s="1" t="s">
        <v>52</v>
      </c>
      <c r="K554" s="9">
        <v>180</v>
      </c>
      <c r="L554" s="9">
        <v>235</v>
      </c>
      <c r="O554" s="4" t="s">
        <v>313</v>
      </c>
      <c r="P554" s="1" t="s">
        <v>314</v>
      </c>
    </row>
    <row r="555" spans="1:18" x14ac:dyDescent="0.25">
      <c r="A555" s="1" t="s">
        <v>265</v>
      </c>
      <c r="K555" s="9">
        <v>200</v>
      </c>
      <c r="L555" s="9">
        <v>255</v>
      </c>
      <c r="O555" s="4" t="s">
        <v>278</v>
      </c>
      <c r="P555" s="1" t="s">
        <v>315</v>
      </c>
    </row>
    <row r="556" spans="1:18" ht="15.6" x14ac:dyDescent="0.25">
      <c r="A556" s="4" t="s">
        <v>266</v>
      </c>
      <c r="B556" s="18">
        <f>2.5*25.4</f>
        <v>63.5</v>
      </c>
      <c r="C556" s="1" t="s">
        <v>52</v>
      </c>
      <c r="D556" s="1" t="s">
        <v>839</v>
      </c>
      <c r="E556" s="43">
        <f>8000*((G556/1000)*(3.1415*(B556/1000)^2)/4)</f>
        <v>31.921629705000004</v>
      </c>
      <c r="F556" s="1" t="s">
        <v>68</v>
      </c>
      <c r="G556" s="1">
        <f>B529*10+L535+50</f>
        <v>1260</v>
      </c>
      <c r="H556" s="1" t="s">
        <v>52</v>
      </c>
      <c r="K556" s="9">
        <v>220</v>
      </c>
      <c r="L556" s="9">
        <v>265</v>
      </c>
      <c r="O556" s="4" t="s">
        <v>317</v>
      </c>
      <c r="P556" s="52" t="s">
        <v>283</v>
      </c>
    </row>
    <row r="557" spans="1:18" x14ac:dyDescent="0.25">
      <c r="K557" s="9">
        <v>240</v>
      </c>
      <c r="L557" s="9">
        <v>285</v>
      </c>
    </row>
    <row r="558" spans="1:18" x14ac:dyDescent="0.25">
      <c r="A558" s="4" t="s">
        <v>842</v>
      </c>
      <c r="B558" s="43">
        <f>B556*0.7</f>
        <v>44.449999999999996</v>
      </c>
      <c r="D558" s="1" t="s">
        <v>843</v>
      </c>
      <c r="E558" s="43">
        <f>8000*((L544*1.5/1000)+B529/100)*(3.1415*(B558/1000)^2)/4</f>
        <v>16.882995266199998</v>
      </c>
      <c r="F558" s="1" t="s">
        <v>68</v>
      </c>
      <c r="K558" s="9">
        <v>260</v>
      </c>
      <c r="L558" s="9">
        <v>295</v>
      </c>
    </row>
    <row r="559" spans="1:18" x14ac:dyDescent="0.25">
      <c r="A559" s="3"/>
      <c r="O559" s="4" t="s">
        <v>290</v>
      </c>
      <c r="P559" s="17">
        <f>P546/10</f>
        <v>0.6</v>
      </c>
      <c r="Q559" s="1" t="s">
        <v>307</v>
      </c>
    </row>
    <row r="560" spans="1:18" x14ac:dyDescent="0.25">
      <c r="O560" s="4" t="s">
        <v>313</v>
      </c>
      <c r="P560" s="43">
        <f>B430</f>
        <v>76.2</v>
      </c>
      <c r="Q560" s="1" t="s">
        <v>307</v>
      </c>
    </row>
    <row r="561" spans="1:26" x14ac:dyDescent="0.25">
      <c r="A561" s="3" t="s">
        <v>1224</v>
      </c>
      <c r="O561" s="4" t="s">
        <v>321</v>
      </c>
      <c r="P561" s="43">
        <f>B534/2</f>
        <v>17.450000000000003</v>
      </c>
      <c r="Q561" s="1" t="s">
        <v>307</v>
      </c>
    </row>
    <row r="563" spans="1:26" ht="14.4" x14ac:dyDescent="0.3">
      <c r="A563" s="1" t="s">
        <v>270</v>
      </c>
      <c r="N563" s="3"/>
      <c r="O563" s="4" t="s">
        <v>324</v>
      </c>
      <c r="P563" s="44">
        <f>(B586*P560*P561*(P559^3)/P540)^0.25</f>
        <v>97.615791135520553</v>
      </c>
      <c r="Q563" s="3"/>
      <c r="R563" s="4" t="s">
        <v>278</v>
      </c>
      <c r="S563" s="60">
        <f>B584</f>
        <v>86.7</v>
      </c>
      <c r="T563" s="1" t="s">
        <v>196</v>
      </c>
      <c r="U563" s="3"/>
      <c r="V563" s="3"/>
      <c r="W563" s="3"/>
      <c r="X563" s="3"/>
      <c r="Y563" s="3"/>
      <c r="Z563" s="3"/>
    </row>
    <row r="564" spans="1:26" x14ac:dyDescent="0.25">
      <c r="A564" s="4" t="s">
        <v>271</v>
      </c>
      <c r="B564" s="1" t="s">
        <v>272</v>
      </c>
    </row>
    <row r="565" spans="1:26" x14ac:dyDescent="0.25">
      <c r="A565" s="4" t="s">
        <v>248</v>
      </c>
      <c r="B565" s="1" t="s">
        <v>273</v>
      </c>
      <c r="P565" s="1" t="s">
        <v>1302</v>
      </c>
    </row>
    <row r="566" spans="1:26" x14ac:dyDescent="0.25">
      <c r="A566" s="4" t="s">
        <v>274</v>
      </c>
      <c r="B566" s="1" t="s">
        <v>275</v>
      </c>
    </row>
    <row r="567" spans="1:26" x14ac:dyDescent="0.25">
      <c r="A567" s="4" t="s">
        <v>276</v>
      </c>
      <c r="B567" s="1" t="s">
        <v>277</v>
      </c>
    </row>
    <row r="568" spans="1:26" x14ac:dyDescent="0.25">
      <c r="A568" s="4" t="s">
        <v>278</v>
      </c>
      <c r="B568" s="1" t="s">
        <v>279</v>
      </c>
    </row>
    <row r="569" spans="1:26" x14ac:dyDescent="0.25">
      <c r="A569" s="4" t="s">
        <v>280</v>
      </c>
      <c r="B569" s="1" t="s">
        <v>281</v>
      </c>
      <c r="D569" s="137"/>
    </row>
    <row r="570" spans="1:26" ht="15.6" x14ac:dyDescent="0.25">
      <c r="A570" s="4" t="s">
        <v>282</v>
      </c>
      <c r="B570" s="137" t="s">
        <v>283</v>
      </c>
    </row>
    <row r="571" spans="1:26" x14ac:dyDescent="0.25">
      <c r="A571" s="4" t="s">
        <v>847</v>
      </c>
      <c r="B571" s="137" t="s">
        <v>848</v>
      </c>
    </row>
    <row r="572" spans="1:26" x14ac:dyDescent="0.25">
      <c r="A572" s="4" t="s">
        <v>849</v>
      </c>
      <c r="B572" s="137" t="s">
        <v>850</v>
      </c>
    </row>
    <row r="573" spans="1:26" x14ac:dyDescent="0.25">
      <c r="A573" s="4" t="s">
        <v>851</v>
      </c>
      <c r="B573" s="137" t="s">
        <v>852</v>
      </c>
    </row>
    <row r="574" spans="1:26" x14ac:dyDescent="0.25">
      <c r="A574" s="4"/>
    </row>
    <row r="575" spans="1:26" x14ac:dyDescent="0.25">
      <c r="A575" s="1" t="s">
        <v>855</v>
      </c>
      <c r="I575" s="1" t="s">
        <v>856</v>
      </c>
      <c r="N575" s="249" t="s">
        <v>857</v>
      </c>
      <c r="O575" s="250"/>
    </row>
    <row r="576" spans="1:26" x14ac:dyDescent="0.25">
      <c r="H576" s="4" t="s">
        <v>858</v>
      </c>
      <c r="I576" s="44">
        <f>VLOOKUP(B98,N577:O586,2,0)/1000</f>
        <v>0.87</v>
      </c>
      <c r="J576" s="1" t="s">
        <v>859</v>
      </c>
      <c r="N576" s="9" t="s">
        <v>860</v>
      </c>
      <c r="O576" s="9" t="s">
        <v>861</v>
      </c>
    </row>
    <row r="577" spans="1:15" x14ac:dyDescent="0.25">
      <c r="A577" s="4" t="s">
        <v>487</v>
      </c>
      <c r="B577" s="17">
        <f>B472*100</f>
        <v>34.900000000000006</v>
      </c>
      <c r="C577" s="1" t="s">
        <v>196</v>
      </c>
      <c r="H577" s="4" t="s">
        <v>487</v>
      </c>
      <c r="I577" s="19">
        <f>B472</f>
        <v>0.34900000000000003</v>
      </c>
      <c r="J577" s="1" t="s">
        <v>862</v>
      </c>
      <c r="N577" s="9">
        <v>16</v>
      </c>
      <c r="O577" s="9">
        <v>510</v>
      </c>
    </row>
    <row r="578" spans="1:15" x14ac:dyDescent="0.25">
      <c r="A578" s="4" t="s">
        <v>851</v>
      </c>
      <c r="B578" s="35">
        <v>0.63500000000000001</v>
      </c>
      <c r="C578" s="1" t="s">
        <v>196</v>
      </c>
      <c r="H578" s="4" t="s">
        <v>868</v>
      </c>
      <c r="I578" s="19">
        <f>B578/100</f>
        <v>6.3499999999999997E-3</v>
      </c>
      <c r="J578" s="1" t="s">
        <v>899</v>
      </c>
      <c r="N578" s="9">
        <v>20</v>
      </c>
      <c r="O578" s="9">
        <v>610</v>
      </c>
    </row>
    <row r="579" spans="1:15" x14ac:dyDescent="0.25">
      <c r="A579" s="4" t="s">
        <v>847</v>
      </c>
      <c r="B579" s="17">
        <f>B580+B578*2</f>
        <v>10.414</v>
      </c>
      <c r="C579" s="1" t="s">
        <v>196</v>
      </c>
      <c r="H579" s="4" t="s">
        <v>870</v>
      </c>
      <c r="I579" s="44">
        <f>(I576-2*I584)</f>
        <v>0.78998999999999997</v>
      </c>
      <c r="J579" s="1" t="s">
        <v>871</v>
      </c>
      <c r="N579" s="9">
        <v>24</v>
      </c>
      <c r="O579" s="9">
        <v>710</v>
      </c>
    </row>
    <row r="580" spans="1:15" x14ac:dyDescent="0.25">
      <c r="A580" s="4" t="s">
        <v>849</v>
      </c>
      <c r="B580" s="19">
        <f>B545*1.2/10</f>
        <v>9.1440000000000001</v>
      </c>
      <c r="C580" s="1" t="s">
        <v>196</v>
      </c>
      <c r="H580" s="4" t="s">
        <v>866</v>
      </c>
      <c r="I580" s="131">
        <v>8.0000000000000002E-3</v>
      </c>
      <c r="J580" s="1" t="s">
        <v>1225</v>
      </c>
      <c r="N580" s="9">
        <v>30</v>
      </c>
      <c r="O580" s="9">
        <v>870</v>
      </c>
    </row>
    <row r="581" spans="1:15" x14ac:dyDescent="0.25">
      <c r="A581" s="4" t="s">
        <v>248</v>
      </c>
      <c r="B581" s="19">
        <f>B532</f>
        <v>506.17198680968369</v>
      </c>
      <c r="C581" s="1" t="s">
        <v>133</v>
      </c>
      <c r="H581" s="4" t="s">
        <v>1226</v>
      </c>
      <c r="I581" s="44">
        <f>I577-I580*2</f>
        <v>0.33300000000000002</v>
      </c>
      <c r="J581" s="1" t="s">
        <v>873</v>
      </c>
      <c r="N581" s="9">
        <v>36</v>
      </c>
      <c r="O581" s="9">
        <v>1020</v>
      </c>
    </row>
    <row r="582" spans="1:15" x14ac:dyDescent="0.25">
      <c r="A582" s="4" t="s">
        <v>274</v>
      </c>
      <c r="B582" s="18">
        <v>1.5</v>
      </c>
      <c r="C582" s="1" t="s">
        <v>287</v>
      </c>
      <c r="H582" s="4" t="s">
        <v>847</v>
      </c>
      <c r="I582" s="44">
        <f>B579/100</f>
        <v>0.10414</v>
      </c>
      <c r="J582" s="1" t="s">
        <v>875</v>
      </c>
      <c r="N582" s="9">
        <v>42</v>
      </c>
      <c r="O582" s="9">
        <v>1170</v>
      </c>
    </row>
    <row r="583" spans="1:15" x14ac:dyDescent="0.25">
      <c r="A583" s="4" t="s">
        <v>276</v>
      </c>
      <c r="B583" s="19">
        <f>B529</f>
        <v>112</v>
      </c>
      <c r="C583" s="1" t="s">
        <v>196</v>
      </c>
      <c r="H583" s="4" t="s">
        <v>878</v>
      </c>
      <c r="I583" s="44">
        <f>I582*1.5</f>
        <v>0.15620999999999999</v>
      </c>
      <c r="J583" s="1" t="s">
        <v>879</v>
      </c>
      <c r="N583" s="9">
        <v>48</v>
      </c>
      <c r="O583" s="9">
        <v>1370</v>
      </c>
    </row>
    <row r="584" spans="1:15" x14ac:dyDescent="0.25">
      <c r="A584" s="4" t="s">
        <v>278</v>
      </c>
      <c r="B584" s="43">
        <f>(B164*25.4+105)/10</f>
        <v>86.7</v>
      </c>
      <c r="C584" s="1" t="s">
        <v>196</v>
      </c>
      <c r="H584" s="4" t="s">
        <v>880</v>
      </c>
      <c r="I584" s="44">
        <f>(I583-B545/1000)/2</f>
        <v>4.0004999999999992E-2</v>
      </c>
      <c r="J584" s="1" t="s">
        <v>900</v>
      </c>
      <c r="N584" s="9">
        <v>54</v>
      </c>
      <c r="O584" s="9">
        <v>1530</v>
      </c>
    </row>
    <row r="585" spans="1:15" x14ac:dyDescent="0.25">
      <c r="A585" s="4" t="s">
        <v>280</v>
      </c>
      <c r="B585" s="17">
        <f>B545/10</f>
        <v>7.62</v>
      </c>
      <c r="C585" s="1" t="s">
        <v>196</v>
      </c>
      <c r="H585" s="4" t="s">
        <v>883</v>
      </c>
      <c r="I585" s="44">
        <f>I584*1.2</f>
        <v>4.8005999999999986E-2</v>
      </c>
      <c r="J585" s="1" t="s">
        <v>884</v>
      </c>
      <c r="N585" s="9">
        <v>60</v>
      </c>
      <c r="O585" s="9">
        <v>1680</v>
      </c>
    </row>
    <row r="586" spans="1:15" x14ac:dyDescent="0.25">
      <c r="A586" s="4" t="s">
        <v>282</v>
      </c>
      <c r="B586" s="143">
        <v>2100000</v>
      </c>
      <c r="C586" s="1" t="s">
        <v>292</v>
      </c>
      <c r="E586" s="1" t="s">
        <v>882</v>
      </c>
      <c r="H586" s="4"/>
      <c r="N586" s="9">
        <v>72</v>
      </c>
      <c r="O586" s="9">
        <v>1990</v>
      </c>
    </row>
    <row r="587" spans="1:15" x14ac:dyDescent="0.25">
      <c r="E587" s="4">
        <v>1500</v>
      </c>
      <c r="H587" s="1" t="s">
        <v>885</v>
      </c>
      <c r="I587" s="43">
        <f>8000*(I579)*((3.1415*(I582)^2)/4-(3.1415*(I582-2*I578)^2)/4)</f>
        <v>12.328686700319224</v>
      </c>
      <c r="J587" s="1" t="s">
        <v>68</v>
      </c>
    </row>
    <row r="588" spans="1:15" x14ac:dyDescent="0.25">
      <c r="E588" s="4"/>
      <c r="H588" s="1" t="s">
        <v>888</v>
      </c>
      <c r="I588" s="43">
        <f>8000*(I576)*((3.1415*(I577)^2)/4-(3.1415*(I577-2*I580)^2)/4)</f>
        <v>59.647283520000016</v>
      </c>
      <c r="J588" s="1" t="s">
        <v>68</v>
      </c>
    </row>
    <row r="589" spans="1:15" x14ac:dyDescent="0.25">
      <c r="A589" s="4" t="s">
        <v>886</v>
      </c>
      <c r="B589" s="43">
        <f>PI()*(B577^4+B579^4+B580^4)/64</f>
        <v>73744.035501202467</v>
      </c>
      <c r="C589" s="1" t="s">
        <v>887</v>
      </c>
      <c r="E589" s="4"/>
      <c r="G589" s="1">
        <v>2</v>
      </c>
      <c r="H589" s="1" t="s">
        <v>889</v>
      </c>
      <c r="I589" s="43">
        <f>2*8000*(I585)*((3.1415*(I583)^2)/4-(3.1415*(I583-2*I584)^2)/4)</f>
        <v>11.217385811125437</v>
      </c>
      <c r="J589" s="1" t="s">
        <v>68</v>
      </c>
    </row>
    <row r="590" spans="1:15" x14ac:dyDescent="0.25">
      <c r="E590" s="4"/>
      <c r="G590" s="1">
        <v>3</v>
      </c>
      <c r="H590" s="1" t="s">
        <v>890</v>
      </c>
      <c r="I590" s="43">
        <f>3*8000*(I580)*((3.1415*(I581)^2)/4-(3.1415*(I582)^2)/4)</f>
        <v>15.085813797436803</v>
      </c>
      <c r="J590" s="1" t="s">
        <v>68</v>
      </c>
    </row>
    <row r="591" spans="1:15" x14ac:dyDescent="0.25">
      <c r="A591" s="4" t="s">
        <v>271</v>
      </c>
      <c r="B591" s="61">
        <f>(4*B581*B582*(B583-B584)*(2*B583^2+2*B583*B584-B584^2))/(3*PI()*B586*B585^4)</f>
        <v>4.259575555387949E-2</v>
      </c>
      <c r="C591" s="1" t="s">
        <v>196</v>
      </c>
      <c r="D591" s="1" t="s">
        <v>300</v>
      </c>
      <c r="E591" s="61">
        <f>B583/1500</f>
        <v>7.4666666666666673E-2</v>
      </c>
      <c r="F591" s="1" t="s">
        <v>196</v>
      </c>
    </row>
    <row r="592" spans="1:15" x14ac:dyDescent="0.25">
      <c r="H592" s="1" t="s">
        <v>891</v>
      </c>
      <c r="I592" s="43">
        <f>SUM(I587:I590)</f>
        <v>98.279169828881479</v>
      </c>
      <c r="J592" s="1" t="s">
        <v>68</v>
      </c>
    </row>
    <row r="593" spans="1:16" x14ac:dyDescent="0.25">
      <c r="A593" s="4" t="s">
        <v>280</v>
      </c>
      <c r="B593" s="19">
        <f>10*((1500*4*B581*B582*(B583-B584)*(2*B583^2+2*B583*B584-B584^2))/(3*PI()*B586*B583))^(1/4)</f>
        <v>66.223916574102788</v>
      </c>
      <c r="C593" s="1" t="s">
        <v>52</v>
      </c>
    </row>
    <row r="595" spans="1:16" x14ac:dyDescent="0.25">
      <c r="A595" s="1" t="s">
        <v>895</v>
      </c>
    </row>
    <row r="596" spans="1:16" x14ac:dyDescent="0.25">
      <c r="I596" s="1" t="s">
        <v>897</v>
      </c>
      <c r="O596" s="1" t="s">
        <v>898</v>
      </c>
    </row>
    <row r="597" spans="1:16" x14ac:dyDescent="0.25">
      <c r="A597" s="4" t="s">
        <v>851</v>
      </c>
      <c r="B597" s="35">
        <v>0.64</v>
      </c>
      <c r="C597" s="1" t="s">
        <v>196</v>
      </c>
      <c r="H597" s="4" t="s">
        <v>858</v>
      </c>
      <c r="I597" s="44">
        <f>I576</f>
        <v>0.87</v>
      </c>
      <c r="J597" s="1" t="s">
        <v>859</v>
      </c>
      <c r="N597" s="4" t="s">
        <v>858</v>
      </c>
      <c r="O597" s="44">
        <f>I597</f>
        <v>0.87</v>
      </c>
      <c r="P597" s="1" t="s">
        <v>859</v>
      </c>
    </row>
    <row r="598" spans="1:16" x14ac:dyDescent="0.25">
      <c r="A598" s="4" t="s">
        <v>847</v>
      </c>
      <c r="B598" s="17">
        <f>B599+B597*2</f>
        <v>8.8999999999999986</v>
      </c>
      <c r="C598" s="1" t="s">
        <v>196</v>
      </c>
      <c r="H598" s="4" t="s">
        <v>487</v>
      </c>
      <c r="I598" s="44">
        <f>B471</f>
        <v>0.17376260114521982</v>
      </c>
      <c r="J598" s="1" t="s">
        <v>862</v>
      </c>
      <c r="N598" s="4" t="s">
        <v>487</v>
      </c>
      <c r="O598" s="44">
        <f>I598*0.7</f>
        <v>0.12163382080165387</v>
      </c>
      <c r="P598" s="1" t="s">
        <v>862</v>
      </c>
    </row>
    <row r="599" spans="1:16" x14ac:dyDescent="0.25">
      <c r="A599" s="4" t="s">
        <v>849</v>
      </c>
      <c r="B599" s="19">
        <f>B604*1.2</f>
        <v>7.6199999999999992</v>
      </c>
      <c r="C599" s="1" t="s">
        <v>196</v>
      </c>
      <c r="H599" s="4" t="s">
        <v>868</v>
      </c>
      <c r="I599" s="19">
        <f>B597/100</f>
        <v>6.4000000000000003E-3</v>
      </c>
      <c r="J599" s="1" t="s">
        <v>899</v>
      </c>
      <c r="N599" s="4" t="s">
        <v>868</v>
      </c>
      <c r="O599" s="131">
        <v>6.3499999999999997E-3</v>
      </c>
      <c r="P599" s="1" t="s">
        <v>899</v>
      </c>
    </row>
    <row r="600" spans="1:16" x14ac:dyDescent="0.25">
      <c r="A600" s="4" t="s">
        <v>248</v>
      </c>
      <c r="B600" s="19">
        <f>B550</f>
        <v>144.22038587188945</v>
      </c>
      <c r="C600" s="1" t="s">
        <v>133</v>
      </c>
      <c r="H600" s="4" t="s">
        <v>870</v>
      </c>
      <c r="I600" s="44">
        <f>(I597-2*I605)</f>
        <v>0.8</v>
      </c>
      <c r="J600" s="1" t="s">
        <v>871</v>
      </c>
      <c r="N600" s="4" t="s">
        <v>870</v>
      </c>
      <c r="O600" s="44">
        <f>(O597-2*O605)</f>
        <v>0.82100000000000006</v>
      </c>
      <c r="P600" s="1" t="s">
        <v>871</v>
      </c>
    </row>
    <row r="601" spans="1:16" x14ac:dyDescent="0.25">
      <c r="A601" s="4" t="s">
        <v>274</v>
      </c>
      <c r="B601" s="18">
        <v>1.5</v>
      </c>
      <c r="C601" s="1" t="s">
        <v>287</v>
      </c>
      <c r="H601" s="4" t="s">
        <v>866</v>
      </c>
      <c r="I601" s="131">
        <v>8.0000000000000002E-3</v>
      </c>
      <c r="J601" s="1" t="s">
        <v>1225</v>
      </c>
      <c r="N601" s="4" t="s">
        <v>866</v>
      </c>
      <c r="O601" s="131">
        <v>8.0000000000000002E-3</v>
      </c>
      <c r="P601" s="1" t="s">
        <v>1225</v>
      </c>
    </row>
    <row r="602" spans="1:16" x14ac:dyDescent="0.25">
      <c r="A602" s="4" t="s">
        <v>276</v>
      </c>
      <c r="B602" s="19">
        <f>B529</f>
        <v>112</v>
      </c>
      <c r="C602" s="1" t="s">
        <v>196</v>
      </c>
      <c r="H602" s="4" t="s">
        <v>1226</v>
      </c>
      <c r="I602" s="44">
        <f>I598-I601*2</f>
        <v>0.15776260114521984</v>
      </c>
      <c r="J602" s="1" t="s">
        <v>873</v>
      </c>
      <c r="N602" s="4" t="s">
        <v>1226</v>
      </c>
      <c r="O602" s="44">
        <f>O598-O601*2</f>
        <v>0.10563382080165387</v>
      </c>
      <c r="P602" s="1" t="s">
        <v>873</v>
      </c>
    </row>
    <row r="603" spans="1:16" x14ac:dyDescent="0.25">
      <c r="A603" s="4" t="s">
        <v>278</v>
      </c>
      <c r="B603" s="19">
        <f>B584</f>
        <v>86.7</v>
      </c>
      <c r="C603" s="1" t="s">
        <v>196</v>
      </c>
      <c r="H603" s="4" t="s">
        <v>847</v>
      </c>
      <c r="I603" s="44">
        <f>B598/100</f>
        <v>8.8999999999999982E-2</v>
      </c>
      <c r="J603" s="1" t="s">
        <v>875</v>
      </c>
      <c r="N603" s="4" t="s">
        <v>847</v>
      </c>
      <c r="O603" s="44">
        <f>0.7*B598/100</f>
        <v>6.2299999999999987E-2</v>
      </c>
      <c r="P603" s="1" t="s">
        <v>875</v>
      </c>
    </row>
    <row r="604" spans="1:16" x14ac:dyDescent="0.25">
      <c r="A604" s="4" t="s">
        <v>280</v>
      </c>
      <c r="B604" s="17">
        <f>B556/10</f>
        <v>6.35</v>
      </c>
      <c r="C604" s="1" t="s">
        <v>196</v>
      </c>
      <c r="H604" s="4" t="s">
        <v>878</v>
      </c>
      <c r="I604" s="44">
        <f>I603*1.5</f>
        <v>0.13349999999999998</v>
      </c>
      <c r="J604" s="1" t="s">
        <v>879</v>
      </c>
      <c r="N604" s="4" t="s">
        <v>878</v>
      </c>
      <c r="O604" s="44">
        <f>O603*1.5</f>
        <v>9.3449999999999978E-2</v>
      </c>
      <c r="P604" s="1" t="s">
        <v>879</v>
      </c>
    </row>
    <row r="605" spans="1:16" x14ac:dyDescent="0.25">
      <c r="A605" s="4" t="s">
        <v>282</v>
      </c>
      <c r="B605" s="143">
        <v>2100000</v>
      </c>
      <c r="C605" s="1" t="s">
        <v>292</v>
      </c>
      <c r="E605" s="1" t="s">
        <v>882</v>
      </c>
      <c r="H605" s="4" t="s">
        <v>880</v>
      </c>
      <c r="I605" s="44">
        <f>(I604-B556/1000)/2</f>
        <v>3.4999999999999989E-2</v>
      </c>
      <c r="J605" s="1" t="s">
        <v>900</v>
      </c>
      <c r="N605" s="4" t="s">
        <v>880</v>
      </c>
      <c r="O605" s="44">
        <f>(O604-B558/1000)/2</f>
        <v>2.4499999999999991E-2</v>
      </c>
      <c r="P605" s="1" t="s">
        <v>900</v>
      </c>
    </row>
    <row r="606" spans="1:16" x14ac:dyDescent="0.25">
      <c r="E606" s="4">
        <v>1500</v>
      </c>
      <c r="H606" s="4" t="s">
        <v>883</v>
      </c>
      <c r="I606" s="44">
        <f>I605*1.2</f>
        <v>4.1999999999999989E-2</v>
      </c>
      <c r="J606" s="1" t="s">
        <v>884</v>
      </c>
      <c r="N606" s="4" t="s">
        <v>883</v>
      </c>
      <c r="O606" s="44">
        <f>O605*1.2</f>
        <v>2.9399999999999989E-2</v>
      </c>
      <c r="P606" s="1" t="s">
        <v>884</v>
      </c>
    </row>
    <row r="607" spans="1:16" x14ac:dyDescent="0.25">
      <c r="H607" s="4"/>
      <c r="N607" s="4"/>
    </row>
    <row r="608" spans="1:16" x14ac:dyDescent="0.25">
      <c r="A608" s="4" t="s">
        <v>271</v>
      </c>
      <c r="B608" s="61">
        <f>4*B600*B601*(B602-B603)*(2*B602*B602+2*B602*B603-B603*B603)/(3*3.1415*B605*(POWER(B604,4)))</f>
        <v>2.5167070510589102E-2</v>
      </c>
      <c r="C608" s="1" t="s">
        <v>196</v>
      </c>
      <c r="D608" s="1" t="s">
        <v>300</v>
      </c>
      <c r="E608" s="61">
        <f>B602/1500</f>
        <v>7.4666666666666673E-2</v>
      </c>
      <c r="F608" s="1" t="s">
        <v>196</v>
      </c>
      <c r="H608" s="1" t="s">
        <v>885</v>
      </c>
      <c r="I608" s="43">
        <f>8000*(I600)*((3.1415*(I603)^2)/4-(3.1415*(I603-2*I599)^2)/4)</f>
        <v>10.628624384000007</v>
      </c>
      <c r="J608" s="1" t="s">
        <v>68</v>
      </c>
      <c r="N608" s="1" t="s">
        <v>885</v>
      </c>
      <c r="O608" s="43">
        <f>8000*(O600)*((3.1415*(O603)^2)/4-(3.1415*(O603-2*O599)^2)/4)</f>
        <v>7.3306759875899994</v>
      </c>
      <c r="P608" s="1" t="s">
        <v>68</v>
      </c>
    </row>
    <row r="609" spans="1:16" x14ac:dyDescent="0.25">
      <c r="H609" s="1" t="s">
        <v>888</v>
      </c>
      <c r="I609" s="43">
        <f>8000*(I597)*((3.1415*(I598)^2)/4-(3.1415*(I598-2*I601)^2)/4)</f>
        <v>28.994982016192356</v>
      </c>
      <c r="J609" s="1" t="s">
        <v>68</v>
      </c>
      <c r="N609" s="1" t="s">
        <v>888</v>
      </c>
      <c r="O609" s="43">
        <f>8000*(O597)*((3.1415*(O598)^2)/4-(3.1415*(O598-2*O601)^2)/4)</f>
        <v>19.876682483334676</v>
      </c>
      <c r="P609" s="1" t="s">
        <v>68</v>
      </c>
    </row>
    <row r="610" spans="1:16" x14ac:dyDescent="0.25">
      <c r="A610" s="4" t="s">
        <v>280</v>
      </c>
      <c r="B610" s="19">
        <f>10*((1500*4*B600*B601*(B602-B603)*(2*B602^2+2*B602*B603-B603^2))/(3*PI()*B605*B602))^(1/4)</f>
        <v>48.38346849775246</v>
      </c>
      <c r="C610" s="1" t="s">
        <v>52</v>
      </c>
      <c r="G610" s="1">
        <v>2</v>
      </c>
      <c r="H610" s="1" t="s">
        <v>889</v>
      </c>
      <c r="I610" s="43">
        <f>2*8000*(I606)*((3.1415*(I604)^2)/4-(3.1415*(I604-2*I605)^2)/4)</f>
        <v>7.2779758799999943</v>
      </c>
      <c r="J610" s="1" t="s">
        <v>68</v>
      </c>
      <c r="M610" s="1">
        <v>2</v>
      </c>
      <c r="N610" s="1" t="s">
        <v>889</v>
      </c>
      <c r="O610" s="43">
        <f>2*8000*(O606)*((3.1415*(O604)^2)/4-(3.1415*(O604-2*O605)^2)/4)</f>
        <v>2.4963457268399973</v>
      </c>
      <c r="P610" s="1" t="s">
        <v>68</v>
      </c>
    </row>
    <row r="611" spans="1:16" x14ac:dyDescent="0.25">
      <c r="A611" s="4"/>
      <c r="G611" s="1">
        <v>3</v>
      </c>
      <c r="H611" s="1" t="s">
        <v>890</v>
      </c>
      <c r="I611" s="43">
        <f>3*8000*(I601)*((3.1415*(I602)^2)/4-(3.1415*(I603)^2)/4)</f>
        <v>2.558644434365382</v>
      </c>
      <c r="J611" s="1" t="s">
        <v>68</v>
      </c>
      <c r="M611" s="1">
        <v>3</v>
      </c>
      <c r="N611" s="1" t="s">
        <v>890</v>
      </c>
      <c r="O611" s="43">
        <f>3*8000*(O601)*((3.1415*(O602)^2)/4-(3.1415*(O603)^2)/4)</f>
        <v>1.097345668138336</v>
      </c>
      <c r="P611" s="1" t="s">
        <v>68</v>
      </c>
    </row>
    <row r="613" spans="1:16" x14ac:dyDescent="0.25">
      <c r="A613" s="3" t="s">
        <v>351</v>
      </c>
      <c r="H613" s="1" t="s">
        <v>891</v>
      </c>
      <c r="I613" s="43">
        <f>SUM(I608:I611)</f>
        <v>49.460226714557741</v>
      </c>
      <c r="J613" s="1" t="s">
        <v>68</v>
      </c>
      <c r="N613" s="1" t="s">
        <v>891</v>
      </c>
      <c r="O613" s="43">
        <f>SUM(O608:O611)</f>
        <v>30.801049865903007</v>
      </c>
      <c r="P613" s="1" t="s">
        <v>68</v>
      </c>
    </row>
    <row r="615" spans="1:16" x14ac:dyDescent="0.25">
      <c r="A615" s="3" t="s">
        <v>352</v>
      </c>
    </row>
    <row r="616" spans="1:16" ht="15" x14ac:dyDescent="0.25">
      <c r="A616" s="1" t="s">
        <v>353</v>
      </c>
    </row>
    <row r="617" spans="1:16" x14ac:dyDescent="0.25">
      <c r="A617" s="1" t="s">
        <v>354</v>
      </c>
    </row>
    <row r="618" spans="1:16" x14ac:dyDescent="0.25">
      <c r="A618" s="1" t="s">
        <v>355</v>
      </c>
    </row>
    <row r="619" spans="1:16" x14ac:dyDescent="0.25">
      <c r="B619" s="1" t="s">
        <v>356</v>
      </c>
    </row>
    <row r="620" spans="1:16" x14ac:dyDescent="0.25">
      <c r="B620" s="1" t="s">
        <v>357</v>
      </c>
    </row>
    <row r="621" spans="1:16" x14ac:dyDescent="0.25">
      <c r="B621" s="1" t="s">
        <v>358</v>
      </c>
    </row>
    <row r="622" spans="1:16" x14ac:dyDescent="0.25">
      <c r="B622" s="1" t="s">
        <v>359</v>
      </c>
    </row>
    <row r="623" spans="1:16" x14ac:dyDescent="0.25">
      <c r="B623" s="1" t="s">
        <v>360</v>
      </c>
    </row>
    <row r="624" spans="1:16" x14ac:dyDescent="0.25">
      <c r="B624" s="1" t="s">
        <v>361</v>
      </c>
    </row>
    <row r="625" spans="1:4" x14ac:dyDescent="0.25">
      <c r="A625" s="1" t="s">
        <v>55</v>
      </c>
    </row>
    <row r="627" spans="1:4" x14ac:dyDescent="0.25">
      <c r="A627" s="3" t="s">
        <v>362</v>
      </c>
    </row>
    <row r="629" spans="1:4" x14ac:dyDescent="0.25">
      <c r="A629" s="4" t="s">
        <v>278</v>
      </c>
      <c r="B629" s="54">
        <v>7030</v>
      </c>
      <c r="C629" s="1" t="s">
        <v>46</v>
      </c>
    </row>
    <row r="630" spans="1:4" x14ac:dyDescent="0.25">
      <c r="A630" s="4" t="s">
        <v>363</v>
      </c>
      <c r="B630" s="54">
        <v>1.5</v>
      </c>
      <c r="C630" s="1" t="s">
        <v>46</v>
      </c>
    </row>
    <row r="631" spans="1:4" x14ac:dyDescent="0.25">
      <c r="A631" s="4" t="s">
        <v>364</v>
      </c>
      <c r="B631" s="66">
        <f>B311</f>
        <v>2</v>
      </c>
      <c r="C631" s="1" t="s">
        <v>249</v>
      </c>
    </row>
    <row r="632" spans="1:4" x14ac:dyDescent="0.25">
      <c r="A632" s="4" t="s">
        <v>365</v>
      </c>
      <c r="B632" s="54">
        <v>1800</v>
      </c>
      <c r="C632" s="1" t="s">
        <v>347</v>
      </c>
    </row>
    <row r="634" spans="1:4" x14ac:dyDescent="0.25">
      <c r="A634" s="1" t="s">
        <v>256</v>
      </c>
      <c r="B634" s="4" t="s">
        <v>366</v>
      </c>
      <c r="C634" s="19">
        <f>B629*B630*B631/B632</f>
        <v>11.716666666666667</v>
      </c>
      <c r="D634" s="1" t="s">
        <v>367</v>
      </c>
    </row>
    <row r="636" spans="1:4" x14ac:dyDescent="0.25">
      <c r="A636" s="1" t="s">
        <v>265</v>
      </c>
      <c r="B636" s="1" t="s">
        <v>1046</v>
      </c>
    </row>
    <row r="638" spans="1:4" x14ac:dyDescent="0.25">
      <c r="A638" s="3" t="s">
        <v>369</v>
      </c>
    </row>
    <row r="640" spans="1:4" x14ac:dyDescent="0.25">
      <c r="A640" s="4" t="s">
        <v>278</v>
      </c>
      <c r="B640" s="54">
        <v>7030</v>
      </c>
      <c r="C640" s="1" t="s">
        <v>46</v>
      </c>
    </row>
    <row r="641" spans="1:6" x14ac:dyDescent="0.25">
      <c r="A641" s="4" t="s">
        <v>363</v>
      </c>
      <c r="B641" s="54">
        <v>1.5</v>
      </c>
      <c r="C641" s="1" t="s">
        <v>46</v>
      </c>
    </row>
    <row r="642" spans="1:6" x14ac:dyDescent="0.25">
      <c r="A642" s="4" t="s">
        <v>364</v>
      </c>
      <c r="B642" s="66">
        <f>B631</f>
        <v>2</v>
      </c>
      <c r="C642" s="1" t="s">
        <v>249</v>
      </c>
    </row>
    <row r="643" spans="1:6" x14ac:dyDescent="0.25">
      <c r="A643" s="4" t="s">
        <v>365</v>
      </c>
      <c r="B643" s="68">
        <f>B475</f>
        <v>29.661154149072839</v>
      </c>
      <c r="C643" s="1" t="s">
        <v>347</v>
      </c>
    </row>
    <row r="644" spans="1:6" x14ac:dyDescent="0.25">
      <c r="A644" s="4"/>
      <c r="E644" s="1" t="s">
        <v>1227</v>
      </c>
      <c r="F644" s="42" t="s">
        <v>1228</v>
      </c>
    </row>
    <row r="645" spans="1:6" x14ac:dyDescent="0.25">
      <c r="A645" s="1" t="s">
        <v>256</v>
      </c>
      <c r="B645" s="4" t="s">
        <v>366</v>
      </c>
      <c r="C645" s="19">
        <f>B640*B641*B642/B643</f>
        <v>711.0309967712177</v>
      </c>
      <c r="D645" s="1" t="s">
        <v>367</v>
      </c>
      <c r="E645" s="54">
        <v>4600</v>
      </c>
      <c r="F645" s="36">
        <f>E645/(C645/1.5)</f>
        <v>9.7042182849029199</v>
      </c>
    </row>
    <row r="647" spans="1:6" x14ac:dyDescent="0.25">
      <c r="A647" s="1" t="s">
        <v>265</v>
      </c>
      <c r="B647" s="1" t="s">
        <v>1229</v>
      </c>
    </row>
    <row r="649" spans="1:6" x14ac:dyDescent="0.25">
      <c r="A649" s="3" t="s">
        <v>1230</v>
      </c>
    </row>
    <row r="651" spans="1:6" x14ac:dyDescent="0.25">
      <c r="A651" s="3" t="s">
        <v>352</v>
      </c>
    </row>
    <row r="652" spans="1:6" ht="15" x14ac:dyDescent="0.25">
      <c r="A652" s="1" t="s">
        <v>353</v>
      </c>
    </row>
    <row r="653" spans="1:6" x14ac:dyDescent="0.25">
      <c r="A653" s="1" t="s">
        <v>354</v>
      </c>
    </row>
    <row r="654" spans="1:6" x14ac:dyDescent="0.25">
      <c r="A654" s="1" t="s">
        <v>355</v>
      </c>
    </row>
    <row r="655" spans="1:6" x14ac:dyDescent="0.25">
      <c r="B655" s="1" t="s">
        <v>1050</v>
      </c>
    </row>
    <row r="656" spans="1:6" x14ac:dyDescent="0.25">
      <c r="B656" s="1" t="s">
        <v>357</v>
      </c>
    </row>
    <row r="657" spans="1:4" x14ac:dyDescent="0.25">
      <c r="B657" s="1" t="s">
        <v>358</v>
      </c>
    </row>
    <row r="658" spans="1:4" x14ac:dyDescent="0.25">
      <c r="B658" s="1" t="s">
        <v>359</v>
      </c>
    </row>
    <row r="659" spans="1:4" x14ac:dyDescent="0.25">
      <c r="B659" s="1" t="s">
        <v>360</v>
      </c>
    </row>
    <row r="660" spans="1:4" x14ac:dyDescent="0.25">
      <c r="B660" s="1" t="s">
        <v>361</v>
      </c>
    </row>
    <row r="661" spans="1:4" x14ac:dyDescent="0.25">
      <c r="A661" s="1" t="s">
        <v>55</v>
      </c>
    </row>
    <row r="663" spans="1:4" x14ac:dyDescent="0.25">
      <c r="A663" s="3" t="s">
        <v>1231</v>
      </c>
    </row>
    <row r="665" spans="1:4" x14ac:dyDescent="0.25">
      <c r="A665" s="4" t="s">
        <v>278</v>
      </c>
      <c r="B665" s="54">
        <v>716.2</v>
      </c>
      <c r="C665" s="1" t="s">
        <v>46</v>
      </c>
    </row>
    <row r="666" spans="1:4" x14ac:dyDescent="0.25">
      <c r="A666" s="4" t="s">
        <v>363</v>
      </c>
      <c r="B666" s="54">
        <v>1.5</v>
      </c>
      <c r="C666" s="1" t="s">
        <v>46</v>
      </c>
    </row>
    <row r="667" spans="1:4" x14ac:dyDescent="0.25">
      <c r="A667" s="4" t="s">
        <v>364</v>
      </c>
      <c r="B667" s="66">
        <f>B631</f>
        <v>2</v>
      </c>
      <c r="C667" s="1" t="s">
        <v>249</v>
      </c>
    </row>
    <row r="668" spans="1:4" x14ac:dyDescent="0.25">
      <c r="A668" s="4" t="s">
        <v>365</v>
      </c>
      <c r="B668" s="54">
        <v>1800</v>
      </c>
      <c r="C668" s="1" t="s">
        <v>347</v>
      </c>
    </row>
    <row r="670" spans="1:4" x14ac:dyDescent="0.25">
      <c r="A670" s="1" t="s">
        <v>256</v>
      </c>
      <c r="B670" s="4" t="s">
        <v>366</v>
      </c>
      <c r="C670" s="19">
        <f>B665*B666*B667/B668</f>
        <v>1.1936666666666669</v>
      </c>
      <c r="D670" s="1" t="s">
        <v>367</v>
      </c>
    </row>
    <row r="672" spans="1:4" x14ac:dyDescent="0.25">
      <c r="A672" s="1" t="s">
        <v>265</v>
      </c>
      <c r="B672" s="1" t="s">
        <v>1052</v>
      </c>
    </row>
    <row r="674" spans="1:4" x14ac:dyDescent="0.25">
      <c r="A674" s="3" t="s">
        <v>1232</v>
      </c>
    </row>
    <row r="676" spans="1:4" x14ac:dyDescent="0.25">
      <c r="A676" s="4" t="s">
        <v>278</v>
      </c>
      <c r="B676" s="54">
        <v>716.2</v>
      </c>
      <c r="C676" s="1" t="s">
        <v>46</v>
      </c>
    </row>
    <row r="677" spans="1:4" x14ac:dyDescent="0.25">
      <c r="A677" s="4" t="s">
        <v>363</v>
      </c>
      <c r="B677" s="54">
        <v>1.5</v>
      </c>
      <c r="C677" s="1" t="s">
        <v>46</v>
      </c>
    </row>
    <row r="678" spans="1:4" x14ac:dyDescent="0.25">
      <c r="A678" s="4" t="s">
        <v>364</v>
      </c>
      <c r="B678" s="66">
        <f>B667</f>
        <v>2</v>
      </c>
      <c r="C678" s="1" t="s">
        <v>249</v>
      </c>
    </row>
    <row r="679" spans="1:4" x14ac:dyDescent="0.25">
      <c r="A679" s="4" t="s">
        <v>365</v>
      </c>
      <c r="B679" s="68">
        <f>B643</f>
        <v>29.661154149072839</v>
      </c>
      <c r="C679" s="1" t="s">
        <v>347</v>
      </c>
    </row>
    <row r="680" spans="1:4" x14ac:dyDescent="0.25">
      <c r="A680" s="4"/>
    </row>
    <row r="681" spans="1:4" x14ac:dyDescent="0.25">
      <c r="A681" s="1" t="s">
        <v>256</v>
      </c>
      <c r="B681" s="4" t="s">
        <v>366</v>
      </c>
      <c r="C681" s="19">
        <f>B676*B677*B678/B679</f>
        <v>72.438179215867166</v>
      </c>
      <c r="D681" s="1" t="s">
        <v>367</v>
      </c>
    </row>
    <row r="683" spans="1:4" x14ac:dyDescent="0.25">
      <c r="A683" s="1" t="s">
        <v>265</v>
      </c>
    </row>
    <row r="686" spans="1:4" x14ac:dyDescent="0.25">
      <c r="A686" s="3" t="s">
        <v>375</v>
      </c>
    </row>
    <row r="687" spans="1:4" x14ac:dyDescent="0.25">
      <c r="A687" s="3" t="s">
        <v>376</v>
      </c>
    </row>
    <row r="689" spans="1:7" x14ac:dyDescent="0.25">
      <c r="A689" s="3" t="s">
        <v>377</v>
      </c>
    </row>
    <row r="690" spans="1:7" x14ac:dyDescent="0.25">
      <c r="A690" s="3"/>
    </row>
    <row r="692" spans="1:7" x14ac:dyDescent="0.25">
      <c r="B692" s="1" t="s">
        <v>378</v>
      </c>
      <c r="D692" s="70" t="s">
        <v>379</v>
      </c>
    </row>
    <row r="693" spans="1:7" x14ac:dyDescent="0.25">
      <c r="C693" s="42" t="s">
        <v>380</v>
      </c>
      <c r="D693" s="42" t="s">
        <v>381</v>
      </c>
    </row>
    <row r="695" spans="1:7" x14ac:dyDescent="0.25">
      <c r="A695" s="1" t="s">
        <v>382</v>
      </c>
    </row>
    <row r="697" spans="1:7" x14ac:dyDescent="0.25">
      <c r="B697" s="1" t="s">
        <v>383</v>
      </c>
    </row>
    <row r="698" spans="1:7" x14ac:dyDescent="0.25">
      <c r="C698" s="1" t="s">
        <v>384</v>
      </c>
    </row>
    <row r="699" spans="1:7" x14ac:dyDescent="0.25">
      <c r="G699" s="3"/>
    </row>
    <row r="700" spans="1:7" x14ac:dyDescent="0.25">
      <c r="A700" s="1" t="s">
        <v>385</v>
      </c>
      <c r="G700" s="3"/>
    </row>
    <row r="702" spans="1:7" x14ac:dyDescent="0.25">
      <c r="A702" s="4" t="s">
        <v>386</v>
      </c>
      <c r="B702" s="1" t="s">
        <v>387</v>
      </c>
    </row>
    <row r="703" spans="1:7" x14ac:dyDescent="0.25">
      <c r="A703" s="4" t="s">
        <v>28</v>
      </c>
      <c r="B703" s="1" t="s">
        <v>388</v>
      </c>
    </row>
    <row r="704" spans="1:7" x14ac:dyDescent="0.25">
      <c r="A704" s="4" t="s">
        <v>248</v>
      </c>
      <c r="B704" s="1" t="s">
        <v>389</v>
      </c>
    </row>
    <row r="705" spans="1:4" x14ac:dyDescent="0.25">
      <c r="A705" s="4" t="s">
        <v>278</v>
      </c>
      <c r="B705" s="1" t="s">
        <v>390</v>
      </c>
    </row>
    <row r="707" spans="1:4" x14ac:dyDescent="0.25">
      <c r="A707" s="3" t="s">
        <v>391</v>
      </c>
    </row>
    <row r="708" spans="1:4" x14ac:dyDescent="0.25">
      <c r="B708" s="4" t="s">
        <v>386</v>
      </c>
      <c r="C708" s="18">
        <v>50000</v>
      </c>
      <c r="D708" s="1" t="s">
        <v>392</v>
      </c>
    </row>
    <row r="709" spans="1:4" x14ac:dyDescent="0.25">
      <c r="B709" s="4" t="s">
        <v>28</v>
      </c>
      <c r="C709" s="19">
        <f>B643</f>
        <v>29.661154149072839</v>
      </c>
      <c r="D709" s="1" t="s">
        <v>347</v>
      </c>
    </row>
    <row r="710" spans="1:4" x14ac:dyDescent="0.25">
      <c r="B710" s="4" t="s">
        <v>248</v>
      </c>
      <c r="C710" s="19">
        <f>9.8*B581/2</f>
        <v>2480.2427353674502</v>
      </c>
      <c r="D710" s="1" t="s">
        <v>393</v>
      </c>
    </row>
    <row r="711" spans="1:4" x14ac:dyDescent="0.25">
      <c r="A711" s="4" t="s">
        <v>394</v>
      </c>
      <c r="B711" s="4"/>
    </row>
    <row r="712" spans="1:4" x14ac:dyDescent="0.25">
      <c r="B712" s="4" t="s">
        <v>278</v>
      </c>
      <c r="C712" s="19">
        <f>C710*POWER((C708*C709*60/1000000),1/3)</f>
        <v>11072.965661843255</v>
      </c>
      <c r="D712" s="1" t="s">
        <v>393</v>
      </c>
    </row>
    <row r="713" spans="1:4" x14ac:dyDescent="0.25">
      <c r="B713" s="4"/>
    </row>
    <row r="715" spans="1:4" x14ac:dyDescent="0.25">
      <c r="A715" s="3" t="s">
        <v>395</v>
      </c>
    </row>
    <row r="716" spans="1:4" x14ac:dyDescent="0.25">
      <c r="B716" s="4" t="s">
        <v>386</v>
      </c>
      <c r="C716" s="18">
        <v>50000</v>
      </c>
      <c r="D716" s="1" t="s">
        <v>392</v>
      </c>
    </row>
    <row r="717" spans="1:4" x14ac:dyDescent="0.25">
      <c r="B717" s="4" t="s">
        <v>28</v>
      </c>
      <c r="C717" s="19">
        <f>C709</f>
        <v>29.661154149072839</v>
      </c>
      <c r="D717" s="1" t="s">
        <v>347</v>
      </c>
    </row>
    <row r="718" spans="1:4" x14ac:dyDescent="0.25">
      <c r="B718" s="4" t="s">
        <v>248</v>
      </c>
      <c r="C718" s="19">
        <f>9.8*B600/2</f>
        <v>706.67989077225832</v>
      </c>
      <c r="D718" s="1" t="s">
        <v>393</v>
      </c>
    </row>
    <row r="719" spans="1:4" x14ac:dyDescent="0.25">
      <c r="A719" s="4" t="s">
        <v>394</v>
      </c>
    </row>
    <row r="720" spans="1:4" x14ac:dyDescent="0.25">
      <c r="B720" s="4" t="s">
        <v>278</v>
      </c>
      <c r="C720" s="19">
        <f>C718*POWER((C716*C717*60/1000000),1/3)</f>
        <v>3154.9501396995611</v>
      </c>
      <c r="D720" s="1" t="s">
        <v>393</v>
      </c>
    </row>
    <row r="724" spans="1:2" x14ac:dyDescent="0.25">
      <c r="A724" s="18"/>
      <c r="B724" s="1" t="s">
        <v>396</v>
      </c>
    </row>
    <row r="725" spans="1:2" x14ac:dyDescent="0.25">
      <c r="A725" s="19"/>
      <c r="B725" s="1" t="s">
        <v>397</v>
      </c>
    </row>
  </sheetData>
  <mergeCells count="7">
    <mergeCell ref="N575:O575"/>
    <mergeCell ref="A190:B190"/>
    <mergeCell ref="A191:B191"/>
    <mergeCell ref="D291:E291"/>
    <mergeCell ref="E433:G433"/>
    <mergeCell ref="I478:O478"/>
    <mergeCell ref="I480:R480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>
    <oddHeader>&amp;CPLAMIL Planejamento e Montagem Lndustrial Ltda&amp;R&amp;P</oddHeader>
    <oddFooter xml:space="preserve">&amp;CADMINISTRAÇÃO: Av. Winston Churchill, 916   C. C. Claudino Capão Raso - Curitiba – PR
Fone: 41 346-1123  Fax: 41 248-1248     e-mail: plamil@softone.com.br   www.plamil.com.br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9D87-D32F-4B61-9215-1B21BE7FBA11}">
  <sheetPr>
    <tabColor theme="9" tint="0.59999389629810485"/>
  </sheetPr>
  <dimension ref="A2:Z725"/>
  <sheetViews>
    <sheetView showGridLines="0" topLeftCell="A424" zoomScale="171" zoomScaleNormal="100" workbookViewId="0">
      <selection activeCell="N437" sqref="N437"/>
    </sheetView>
  </sheetViews>
  <sheetFormatPr defaultColWidth="8.77734375" defaultRowHeight="13.2" x14ac:dyDescent="0.25"/>
  <cols>
    <col min="1" max="1" width="9.77734375" style="1" customWidth="1"/>
    <col min="2" max="2" width="9.44140625" style="1" bestFit="1" customWidth="1"/>
    <col min="3" max="3" width="8.44140625" style="1" customWidth="1"/>
    <col min="4" max="4" width="7.44140625" style="1" customWidth="1"/>
    <col min="5" max="5" width="8.77734375" style="1" customWidth="1"/>
    <col min="6" max="6" width="7.21875" style="1" customWidth="1"/>
    <col min="7" max="7" width="8.21875" style="1" customWidth="1"/>
    <col min="8" max="8" width="9.44140625" style="1" customWidth="1"/>
    <col min="9" max="9" width="8.21875" style="1" customWidth="1"/>
    <col min="10" max="12" width="9.21875" style="1"/>
    <col min="13" max="13" width="15.44140625" style="1" customWidth="1"/>
    <col min="14" max="256" width="9.21875" style="1"/>
    <col min="257" max="257" width="9.77734375" style="1" customWidth="1"/>
    <col min="258" max="258" width="9.44140625" style="1" bestFit="1" customWidth="1"/>
    <col min="259" max="259" width="8.44140625" style="1" customWidth="1"/>
    <col min="260" max="260" width="7.44140625" style="1" customWidth="1"/>
    <col min="261" max="261" width="8.77734375" style="1" customWidth="1"/>
    <col min="262" max="262" width="7.21875" style="1" customWidth="1"/>
    <col min="263" max="263" width="8.21875" style="1" customWidth="1"/>
    <col min="264" max="264" width="9.44140625" style="1" customWidth="1"/>
    <col min="265" max="265" width="8.21875" style="1" customWidth="1"/>
    <col min="266" max="268" width="9.21875" style="1"/>
    <col min="269" max="269" width="15.44140625" style="1" customWidth="1"/>
    <col min="270" max="512" width="9.21875" style="1"/>
    <col min="513" max="513" width="9.77734375" style="1" customWidth="1"/>
    <col min="514" max="514" width="9.44140625" style="1" bestFit="1" customWidth="1"/>
    <col min="515" max="515" width="8.44140625" style="1" customWidth="1"/>
    <col min="516" max="516" width="7.44140625" style="1" customWidth="1"/>
    <col min="517" max="517" width="8.77734375" style="1" customWidth="1"/>
    <col min="518" max="518" width="7.21875" style="1" customWidth="1"/>
    <col min="519" max="519" width="8.21875" style="1" customWidth="1"/>
    <col min="520" max="520" width="9.44140625" style="1" customWidth="1"/>
    <col min="521" max="521" width="8.21875" style="1" customWidth="1"/>
    <col min="522" max="524" width="9.21875" style="1"/>
    <col min="525" max="525" width="15.44140625" style="1" customWidth="1"/>
    <col min="526" max="768" width="9.21875" style="1"/>
    <col min="769" max="769" width="9.77734375" style="1" customWidth="1"/>
    <col min="770" max="770" width="9.44140625" style="1" bestFit="1" customWidth="1"/>
    <col min="771" max="771" width="8.44140625" style="1" customWidth="1"/>
    <col min="772" max="772" width="7.44140625" style="1" customWidth="1"/>
    <col min="773" max="773" width="8.77734375" style="1" customWidth="1"/>
    <col min="774" max="774" width="7.21875" style="1" customWidth="1"/>
    <col min="775" max="775" width="8.21875" style="1" customWidth="1"/>
    <col min="776" max="776" width="9.44140625" style="1" customWidth="1"/>
    <col min="777" max="777" width="8.21875" style="1" customWidth="1"/>
    <col min="778" max="780" width="9.21875" style="1"/>
    <col min="781" max="781" width="15.44140625" style="1" customWidth="1"/>
    <col min="782" max="1024" width="9.21875" style="1"/>
    <col min="1025" max="1025" width="9.77734375" style="1" customWidth="1"/>
    <col min="1026" max="1026" width="9.44140625" style="1" bestFit="1" customWidth="1"/>
    <col min="1027" max="1027" width="8.44140625" style="1" customWidth="1"/>
    <col min="1028" max="1028" width="7.44140625" style="1" customWidth="1"/>
    <col min="1029" max="1029" width="8.77734375" style="1" customWidth="1"/>
    <col min="1030" max="1030" width="7.21875" style="1" customWidth="1"/>
    <col min="1031" max="1031" width="8.21875" style="1" customWidth="1"/>
    <col min="1032" max="1032" width="9.44140625" style="1" customWidth="1"/>
    <col min="1033" max="1033" width="8.21875" style="1" customWidth="1"/>
    <col min="1034" max="1036" width="9.21875" style="1"/>
    <col min="1037" max="1037" width="15.44140625" style="1" customWidth="1"/>
    <col min="1038" max="1280" width="9.21875" style="1"/>
    <col min="1281" max="1281" width="9.77734375" style="1" customWidth="1"/>
    <col min="1282" max="1282" width="9.44140625" style="1" bestFit="1" customWidth="1"/>
    <col min="1283" max="1283" width="8.44140625" style="1" customWidth="1"/>
    <col min="1284" max="1284" width="7.44140625" style="1" customWidth="1"/>
    <col min="1285" max="1285" width="8.77734375" style="1" customWidth="1"/>
    <col min="1286" max="1286" width="7.21875" style="1" customWidth="1"/>
    <col min="1287" max="1287" width="8.21875" style="1" customWidth="1"/>
    <col min="1288" max="1288" width="9.44140625" style="1" customWidth="1"/>
    <col min="1289" max="1289" width="8.21875" style="1" customWidth="1"/>
    <col min="1290" max="1292" width="9.21875" style="1"/>
    <col min="1293" max="1293" width="15.44140625" style="1" customWidth="1"/>
    <col min="1294" max="1536" width="9.21875" style="1"/>
    <col min="1537" max="1537" width="9.77734375" style="1" customWidth="1"/>
    <col min="1538" max="1538" width="9.44140625" style="1" bestFit="1" customWidth="1"/>
    <col min="1539" max="1539" width="8.44140625" style="1" customWidth="1"/>
    <col min="1540" max="1540" width="7.44140625" style="1" customWidth="1"/>
    <col min="1541" max="1541" width="8.77734375" style="1" customWidth="1"/>
    <col min="1542" max="1542" width="7.21875" style="1" customWidth="1"/>
    <col min="1543" max="1543" width="8.21875" style="1" customWidth="1"/>
    <col min="1544" max="1544" width="9.44140625" style="1" customWidth="1"/>
    <col min="1545" max="1545" width="8.21875" style="1" customWidth="1"/>
    <col min="1546" max="1548" width="9.21875" style="1"/>
    <col min="1549" max="1549" width="15.44140625" style="1" customWidth="1"/>
    <col min="1550" max="1792" width="9.21875" style="1"/>
    <col min="1793" max="1793" width="9.77734375" style="1" customWidth="1"/>
    <col min="1794" max="1794" width="9.44140625" style="1" bestFit="1" customWidth="1"/>
    <col min="1795" max="1795" width="8.44140625" style="1" customWidth="1"/>
    <col min="1796" max="1796" width="7.44140625" style="1" customWidth="1"/>
    <col min="1797" max="1797" width="8.77734375" style="1" customWidth="1"/>
    <col min="1798" max="1798" width="7.21875" style="1" customWidth="1"/>
    <col min="1799" max="1799" width="8.21875" style="1" customWidth="1"/>
    <col min="1800" max="1800" width="9.44140625" style="1" customWidth="1"/>
    <col min="1801" max="1801" width="8.21875" style="1" customWidth="1"/>
    <col min="1802" max="1804" width="9.21875" style="1"/>
    <col min="1805" max="1805" width="15.44140625" style="1" customWidth="1"/>
    <col min="1806" max="2048" width="9.21875" style="1"/>
    <col min="2049" max="2049" width="9.77734375" style="1" customWidth="1"/>
    <col min="2050" max="2050" width="9.44140625" style="1" bestFit="1" customWidth="1"/>
    <col min="2051" max="2051" width="8.44140625" style="1" customWidth="1"/>
    <col min="2052" max="2052" width="7.44140625" style="1" customWidth="1"/>
    <col min="2053" max="2053" width="8.77734375" style="1" customWidth="1"/>
    <col min="2054" max="2054" width="7.21875" style="1" customWidth="1"/>
    <col min="2055" max="2055" width="8.21875" style="1" customWidth="1"/>
    <col min="2056" max="2056" width="9.44140625" style="1" customWidth="1"/>
    <col min="2057" max="2057" width="8.21875" style="1" customWidth="1"/>
    <col min="2058" max="2060" width="9.21875" style="1"/>
    <col min="2061" max="2061" width="15.44140625" style="1" customWidth="1"/>
    <col min="2062" max="2304" width="9.21875" style="1"/>
    <col min="2305" max="2305" width="9.77734375" style="1" customWidth="1"/>
    <col min="2306" max="2306" width="9.44140625" style="1" bestFit="1" customWidth="1"/>
    <col min="2307" max="2307" width="8.44140625" style="1" customWidth="1"/>
    <col min="2308" max="2308" width="7.44140625" style="1" customWidth="1"/>
    <col min="2309" max="2309" width="8.77734375" style="1" customWidth="1"/>
    <col min="2310" max="2310" width="7.21875" style="1" customWidth="1"/>
    <col min="2311" max="2311" width="8.21875" style="1" customWidth="1"/>
    <col min="2312" max="2312" width="9.44140625" style="1" customWidth="1"/>
    <col min="2313" max="2313" width="8.21875" style="1" customWidth="1"/>
    <col min="2314" max="2316" width="9.21875" style="1"/>
    <col min="2317" max="2317" width="15.44140625" style="1" customWidth="1"/>
    <col min="2318" max="2560" width="9.21875" style="1"/>
    <col min="2561" max="2561" width="9.77734375" style="1" customWidth="1"/>
    <col min="2562" max="2562" width="9.44140625" style="1" bestFit="1" customWidth="1"/>
    <col min="2563" max="2563" width="8.44140625" style="1" customWidth="1"/>
    <col min="2564" max="2564" width="7.44140625" style="1" customWidth="1"/>
    <col min="2565" max="2565" width="8.77734375" style="1" customWidth="1"/>
    <col min="2566" max="2566" width="7.21875" style="1" customWidth="1"/>
    <col min="2567" max="2567" width="8.21875" style="1" customWidth="1"/>
    <col min="2568" max="2568" width="9.44140625" style="1" customWidth="1"/>
    <col min="2569" max="2569" width="8.21875" style="1" customWidth="1"/>
    <col min="2570" max="2572" width="9.21875" style="1"/>
    <col min="2573" max="2573" width="15.44140625" style="1" customWidth="1"/>
    <col min="2574" max="2816" width="9.21875" style="1"/>
    <col min="2817" max="2817" width="9.77734375" style="1" customWidth="1"/>
    <col min="2818" max="2818" width="9.44140625" style="1" bestFit="1" customWidth="1"/>
    <col min="2819" max="2819" width="8.44140625" style="1" customWidth="1"/>
    <col min="2820" max="2820" width="7.44140625" style="1" customWidth="1"/>
    <col min="2821" max="2821" width="8.77734375" style="1" customWidth="1"/>
    <col min="2822" max="2822" width="7.21875" style="1" customWidth="1"/>
    <col min="2823" max="2823" width="8.21875" style="1" customWidth="1"/>
    <col min="2824" max="2824" width="9.44140625" style="1" customWidth="1"/>
    <col min="2825" max="2825" width="8.21875" style="1" customWidth="1"/>
    <col min="2826" max="2828" width="9.21875" style="1"/>
    <col min="2829" max="2829" width="15.44140625" style="1" customWidth="1"/>
    <col min="2830" max="3072" width="9.21875" style="1"/>
    <col min="3073" max="3073" width="9.77734375" style="1" customWidth="1"/>
    <col min="3074" max="3074" width="9.44140625" style="1" bestFit="1" customWidth="1"/>
    <col min="3075" max="3075" width="8.44140625" style="1" customWidth="1"/>
    <col min="3076" max="3076" width="7.44140625" style="1" customWidth="1"/>
    <col min="3077" max="3077" width="8.77734375" style="1" customWidth="1"/>
    <col min="3078" max="3078" width="7.21875" style="1" customWidth="1"/>
    <col min="3079" max="3079" width="8.21875" style="1" customWidth="1"/>
    <col min="3080" max="3080" width="9.44140625" style="1" customWidth="1"/>
    <col min="3081" max="3081" width="8.21875" style="1" customWidth="1"/>
    <col min="3082" max="3084" width="9.21875" style="1"/>
    <col min="3085" max="3085" width="15.44140625" style="1" customWidth="1"/>
    <col min="3086" max="3328" width="9.21875" style="1"/>
    <col min="3329" max="3329" width="9.77734375" style="1" customWidth="1"/>
    <col min="3330" max="3330" width="9.44140625" style="1" bestFit="1" customWidth="1"/>
    <col min="3331" max="3331" width="8.44140625" style="1" customWidth="1"/>
    <col min="3332" max="3332" width="7.44140625" style="1" customWidth="1"/>
    <col min="3333" max="3333" width="8.77734375" style="1" customWidth="1"/>
    <col min="3334" max="3334" width="7.21875" style="1" customWidth="1"/>
    <col min="3335" max="3335" width="8.21875" style="1" customWidth="1"/>
    <col min="3336" max="3336" width="9.44140625" style="1" customWidth="1"/>
    <col min="3337" max="3337" width="8.21875" style="1" customWidth="1"/>
    <col min="3338" max="3340" width="9.21875" style="1"/>
    <col min="3341" max="3341" width="15.44140625" style="1" customWidth="1"/>
    <col min="3342" max="3584" width="9.21875" style="1"/>
    <col min="3585" max="3585" width="9.77734375" style="1" customWidth="1"/>
    <col min="3586" max="3586" width="9.44140625" style="1" bestFit="1" customWidth="1"/>
    <col min="3587" max="3587" width="8.44140625" style="1" customWidth="1"/>
    <col min="3588" max="3588" width="7.44140625" style="1" customWidth="1"/>
    <col min="3589" max="3589" width="8.77734375" style="1" customWidth="1"/>
    <col min="3590" max="3590" width="7.21875" style="1" customWidth="1"/>
    <col min="3591" max="3591" width="8.21875" style="1" customWidth="1"/>
    <col min="3592" max="3592" width="9.44140625" style="1" customWidth="1"/>
    <col min="3593" max="3593" width="8.21875" style="1" customWidth="1"/>
    <col min="3594" max="3596" width="9.21875" style="1"/>
    <col min="3597" max="3597" width="15.44140625" style="1" customWidth="1"/>
    <col min="3598" max="3840" width="9.21875" style="1"/>
    <col min="3841" max="3841" width="9.77734375" style="1" customWidth="1"/>
    <col min="3842" max="3842" width="9.44140625" style="1" bestFit="1" customWidth="1"/>
    <col min="3843" max="3843" width="8.44140625" style="1" customWidth="1"/>
    <col min="3844" max="3844" width="7.44140625" style="1" customWidth="1"/>
    <col min="3845" max="3845" width="8.77734375" style="1" customWidth="1"/>
    <col min="3846" max="3846" width="7.21875" style="1" customWidth="1"/>
    <col min="3847" max="3847" width="8.21875" style="1" customWidth="1"/>
    <col min="3848" max="3848" width="9.44140625" style="1" customWidth="1"/>
    <col min="3849" max="3849" width="8.21875" style="1" customWidth="1"/>
    <col min="3850" max="3852" width="9.21875" style="1"/>
    <col min="3853" max="3853" width="15.44140625" style="1" customWidth="1"/>
    <col min="3854" max="4096" width="9.21875" style="1"/>
    <col min="4097" max="4097" width="9.77734375" style="1" customWidth="1"/>
    <col min="4098" max="4098" width="9.44140625" style="1" bestFit="1" customWidth="1"/>
    <col min="4099" max="4099" width="8.44140625" style="1" customWidth="1"/>
    <col min="4100" max="4100" width="7.44140625" style="1" customWidth="1"/>
    <col min="4101" max="4101" width="8.77734375" style="1" customWidth="1"/>
    <col min="4102" max="4102" width="7.21875" style="1" customWidth="1"/>
    <col min="4103" max="4103" width="8.21875" style="1" customWidth="1"/>
    <col min="4104" max="4104" width="9.44140625" style="1" customWidth="1"/>
    <col min="4105" max="4105" width="8.21875" style="1" customWidth="1"/>
    <col min="4106" max="4108" width="9.21875" style="1"/>
    <col min="4109" max="4109" width="15.44140625" style="1" customWidth="1"/>
    <col min="4110" max="4352" width="9.21875" style="1"/>
    <col min="4353" max="4353" width="9.77734375" style="1" customWidth="1"/>
    <col min="4354" max="4354" width="9.44140625" style="1" bestFit="1" customWidth="1"/>
    <col min="4355" max="4355" width="8.44140625" style="1" customWidth="1"/>
    <col min="4356" max="4356" width="7.44140625" style="1" customWidth="1"/>
    <col min="4357" max="4357" width="8.77734375" style="1" customWidth="1"/>
    <col min="4358" max="4358" width="7.21875" style="1" customWidth="1"/>
    <col min="4359" max="4359" width="8.21875" style="1" customWidth="1"/>
    <col min="4360" max="4360" width="9.44140625" style="1" customWidth="1"/>
    <col min="4361" max="4361" width="8.21875" style="1" customWidth="1"/>
    <col min="4362" max="4364" width="9.21875" style="1"/>
    <col min="4365" max="4365" width="15.44140625" style="1" customWidth="1"/>
    <col min="4366" max="4608" width="9.21875" style="1"/>
    <col min="4609" max="4609" width="9.77734375" style="1" customWidth="1"/>
    <col min="4610" max="4610" width="9.44140625" style="1" bestFit="1" customWidth="1"/>
    <col min="4611" max="4611" width="8.44140625" style="1" customWidth="1"/>
    <col min="4612" max="4612" width="7.44140625" style="1" customWidth="1"/>
    <col min="4613" max="4613" width="8.77734375" style="1" customWidth="1"/>
    <col min="4614" max="4614" width="7.21875" style="1" customWidth="1"/>
    <col min="4615" max="4615" width="8.21875" style="1" customWidth="1"/>
    <col min="4616" max="4616" width="9.44140625" style="1" customWidth="1"/>
    <col min="4617" max="4617" width="8.21875" style="1" customWidth="1"/>
    <col min="4618" max="4620" width="9.21875" style="1"/>
    <col min="4621" max="4621" width="15.44140625" style="1" customWidth="1"/>
    <col min="4622" max="4864" width="9.21875" style="1"/>
    <col min="4865" max="4865" width="9.77734375" style="1" customWidth="1"/>
    <col min="4866" max="4866" width="9.44140625" style="1" bestFit="1" customWidth="1"/>
    <col min="4867" max="4867" width="8.44140625" style="1" customWidth="1"/>
    <col min="4868" max="4868" width="7.44140625" style="1" customWidth="1"/>
    <col min="4869" max="4869" width="8.77734375" style="1" customWidth="1"/>
    <col min="4870" max="4870" width="7.21875" style="1" customWidth="1"/>
    <col min="4871" max="4871" width="8.21875" style="1" customWidth="1"/>
    <col min="4872" max="4872" width="9.44140625" style="1" customWidth="1"/>
    <col min="4873" max="4873" width="8.21875" style="1" customWidth="1"/>
    <col min="4874" max="4876" width="9.21875" style="1"/>
    <col min="4877" max="4877" width="15.44140625" style="1" customWidth="1"/>
    <col min="4878" max="5120" width="9.21875" style="1"/>
    <col min="5121" max="5121" width="9.77734375" style="1" customWidth="1"/>
    <col min="5122" max="5122" width="9.44140625" style="1" bestFit="1" customWidth="1"/>
    <col min="5123" max="5123" width="8.44140625" style="1" customWidth="1"/>
    <col min="5124" max="5124" width="7.44140625" style="1" customWidth="1"/>
    <col min="5125" max="5125" width="8.77734375" style="1" customWidth="1"/>
    <col min="5126" max="5126" width="7.21875" style="1" customWidth="1"/>
    <col min="5127" max="5127" width="8.21875" style="1" customWidth="1"/>
    <col min="5128" max="5128" width="9.44140625" style="1" customWidth="1"/>
    <col min="5129" max="5129" width="8.21875" style="1" customWidth="1"/>
    <col min="5130" max="5132" width="9.21875" style="1"/>
    <col min="5133" max="5133" width="15.44140625" style="1" customWidth="1"/>
    <col min="5134" max="5376" width="9.21875" style="1"/>
    <col min="5377" max="5377" width="9.77734375" style="1" customWidth="1"/>
    <col min="5378" max="5378" width="9.44140625" style="1" bestFit="1" customWidth="1"/>
    <col min="5379" max="5379" width="8.44140625" style="1" customWidth="1"/>
    <col min="5380" max="5380" width="7.44140625" style="1" customWidth="1"/>
    <col min="5381" max="5381" width="8.77734375" style="1" customWidth="1"/>
    <col min="5382" max="5382" width="7.21875" style="1" customWidth="1"/>
    <col min="5383" max="5383" width="8.21875" style="1" customWidth="1"/>
    <col min="5384" max="5384" width="9.44140625" style="1" customWidth="1"/>
    <col min="5385" max="5385" width="8.21875" style="1" customWidth="1"/>
    <col min="5386" max="5388" width="9.21875" style="1"/>
    <col min="5389" max="5389" width="15.44140625" style="1" customWidth="1"/>
    <col min="5390" max="5632" width="9.21875" style="1"/>
    <col min="5633" max="5633" width="9.77734375" style="1" customWidth="1"/>
    <col min="5634" max="5634" width="9.44140625" style="1" bestFit="1" customWidth="1"/>
    <col min="5635" max="5635" width="8.44140625" style="1" customWidth="1"/>
    <col min="5636" max="5636" width="7.44140625" style="1" customWidth="1"/>
    <col min="5637" max="5637" width="8.77734375" style="1" customWidth="1"/>
    <col min="5638" max="5638" width="7.21875" style="1" customWidth="1"/>
    <col min="5639" max="5639" width="8.21875" style="1" customWidth="1"/>
    <col min="5640" max="5640" width="9.44140625" style="1" customWidth="1"/>
    <col min="5641" max="5641" width="8.21875" style="1" customWidth="1"/>
    <col min="5642" max="5644" width="9.21875" style="1"/>
    <col min="5645" max="5645" width="15.44140625" style="1" customWidth="1"/>
    <col min="5646" max="5888" width="9.21875" style="1"/>
    <col min="5889" max="5889" width="9.77734375" style="1" customWidth="1"/>
    <col min="5890" max="5890" width="9.44140625" style="1" bestFit="1" customWidth="1"/>
    <col min="5891" max="5891" width="8.44140625" style="1" customWidth="1"/>
    <col min="5892" max="5892" width="7.44140625" style="1" customWidth="1"/>
    <col min="5893" max="5893" width="8.77734375" style="1" customWidth="1"/>
    <col min="5894" max="5894" width="7.21875" style="1" customWidth="1"/>
    <col min="5895" max="5895" width="8.21875" style="1" customWidth="1"/>
    <col min="5896" max="5896" width="9.44140625" style="1" customWidth="1"/>
    <col min="5897" max="5897" width="8.21875" style="1" customWidth="1"/>
    <col min="5898" max="5900" width="9.21875" style="1"/>
    <col min="5901" max="5901" width="15.44140625" style="1" customWidth="1"/>
    <col min="5902" max="6144" width="9.21875" style="1"/>
    <col min="6145" max="6145" width="9.77734375" style="1" customWidth="1"/>
    <col min="6146" max="6146" width="9.44140625" style="1" bestFit="1" customWidth="1"/>
    <col min="6147" max="6147" width="8.44140625" style="1" customWidth="1"/>
    <col min="6148" max="6148" width="7.44140625" style="1" customWidth="1"/>
    <col min="6149" max="6149" width="8.77734375" style="1" customWidth="1"/>
    <col min="6150" max="6150" width="7.21875" style="1" customWidth="1"/>
    <col min="6151" max="6151" width="8.21875" style="1" customWidth="1"/>
    <col min="6152" max="6152" width="9.44140625" style="1" customWidth="1"/>
    <col min="6153" max="6153" width="8.21875" style="1" customWidth="1"/>
    <col min="6154" max="6156" width="9.21875" style="1"/>
    <col min="6157" max="6157" width="15.44140625" style="1" customWidth="1"/>
    <col min="6158" max="6400" width="9.21875" style="1"/>
    <col min="6401" max="6401" width="9.77734375" style="1" customWidth="1"/>
    <col min="6402" max="6402" width="9.44140625" style="1" bestFit="1" customWidth="1"/>
    <col min="6403" max="6403" width="8.44140625" style="1" customWidth="1"/>
    <col min="6404" max="6404" width="7.44140625" style="1" customWidth="1"/>
    <col min="6405" max="6405" width="8.77734375" style="1" customWidth="1"/>
    <col min="6406" max="6406" width="7.21875" style="1" customWidth="1"/>
    <col min="6407" max="6407" width="8.21875" style="1" customWidth="1"/>
    <col min="6408" max="6408" width="9.44140625" style="1" customWidth="1"/>
    <col min="6409" max="6409" width="8.21875" style="1" customWidth="1"/>
    <col min="6410" max="6412" width="9.21875" style="1"/>
    <col min="6413" max="6413" width="15.44140625" style="1" customWidth="1"/>
    <col min="6414" max="6656" width="9.21875" style="1"/>
    <col min="6657" max="6657" width="9.77734375" style="1" customWidth="1"/>
    <col min="6658" max="6658" width="9.44140625" style="1" bestFit="1" customWidth="1"/>
    <col min="6659" max="6659" width="8.44140625" style="1" customWidth="1"/>
    <col min="6660" max="6660" width="7.44140625" style="1" customWidth="1"/>
    <col min="6661" max="6661" width="8.77734375" style="1" customWidth="1"/>
    <col min="6662" max="6662" width="7.21875" style="1" customWidth="1"/>
    <col min="6663" max="6663" width="8.21875" style="1" customWidth="1"/>
    <col min="6664" max="6664" width="9.44140625" style="1" customWidth="1"/>
    <col min="6665" max="6665" width="8.21875" style="1" customWidth="1"/>
    <col min="6666" max="6668" width="9.21875" style="1"/>
    <col min="6669" max="6669" width="15.44140625" style="1" customWidth="1"/>
    <col min="6670" max="6912" width="9.21875" style="1"/>
    <col min="6913" max="6913" width="9.77734375" style="1" customWidth="1"/>
    <col min="6914" max="6914" width="9.44140625" style="1" bestFit="1" customWidth="1"/>
    <col min="6915" max="6915" width="8.44140625" style="1" customWidth="1"/>
    <col min="6916" max="6916" width="7.44140625" style="1" customWidth="1"/>
    <col min="6917" max="6917" width="8.77734375" style="1" customWidth="1"/>
    <col min="6918" max="6918" width="7.21875" style="1" customWidth="1"/>
    <col min="6919" max="6919" width="8.21875" style="1" customWidth="1"/>
    <col min="6920" max="6920" width="9.44140625" style="1" customWidth="1"/>
    <col min="6921" max="6921" width="8.21875" style="1" customWidth="1"/>
    <col min="6922" max="6924" width="9.21875" style="1"/>
    <col min="6925" max="6925" width="15.44140625" style="1" customWidth="1"/>
    <col min="6926" max="7168" width="9.21875" style="1"/>
    <col min="7169" max="7169" width="9.77734375" style="1" customWidth="1"/>
    <col min="7170" max="7170" width="9.44140625" style="1" bestFit="1" customWidth="1"/>
    <col min="7171" max="7171" width="8.44140625" style="1" customWidth="1"/>
    <col min="7172" max="7172" width="7.44140625" style="1" customWidth="1"/>
    <col min="7173" max="7173" width="8.77734375" style="1" customWidth="1"/>
    <col min="7174" max="7174" width="7.21875" style="1" customWidth="1"/>
    <col min="7175" max="7175" width="8.21875" style="1" customWidth="1"/>
    <col min="7176" max="7176" width="9.44140625" style="1" customWidth="1"/>
    <col min="7177" max="7177" width="8.21875" style="1" customWidth="1"/>
    <col min="7178" max="7180" width="9.21875" style="1"/>
    <col min="7181" max="7181" width="15.44140625" style="1" customWidth="1"/>
    <col min="7182" max="7424" width="9.21875" style="1"/>
    <col min="7425" max="7425" width="9.77734375" style="1" customWidth="1"/>
    <col min="7426" max="7426" width="9.44140625" style="1" bestFit="1" customWidth="1"/>
    <col min="7427" max="7427" width="8.44140625" style="1" customWidth="1"/>
    <col min="7428" max="7428" width="7.44140625" style="1" customWidth="1"/>
    <col min="7429" max="7429" width="8.77734375" style="1" customWidth="1"/>
    <col min="7430" max="7430" width="7.21875" style="1" customWidth="1"/>
    <col min="7431" max="7431" width="8.21875" style="1" customWidth="1"/>
    <col min="7432" max="7432" width="9.44140625" style="1" customWidth="1"/>
    <col min="7433" max="7433" width="8.21875" style="1" customWidth="1"/>
    <col min="7434" max="7436" width="9.21875" style="1"/>
    <col min="7437" max="7437" width="15.44140625" style="1" customWidth="1"/>
    <col min="7438" max="7680" width="9.21875" style="1"/>
    <col min="7681" max="7681" width="9.77734375" style="1" customWidth="1"/>
    <col min="7682" max="7682" width="9.44140625" style="1" bestFit="1" customWidth="1"/>
    <col min="7683" max="7683" width="8.44140625" style="1" customWidth="1"/>
    <col min="7684" max="7684" width="7.44140625" style="1" customWidth="1"/>
    <col min="7685" max="7685" width="8.77734375" style="1" customWidth="1"/>
    <col min="7686" max="7686" width="7.21875" style="1" customWidth="1"/>
    <col min="7687" max="7687" width="8.21875" style="1" customWidth="1"/>
    <col min="7688" max="7688" width="9.44140625" style="1" customWidth="1"/>
    <col min="7689" max="7689" width="8.21875" style="1" customWidth="1"/>
    <col min="7690" max="7692" width="9.21875" style="1"/>
    <col min="7693" max="7693" width="15.44140625" style="1" customWidth="1"/>
    <col min="7694" max="7936" width="9.21875" style="1"/>
    <col min="7937" max="7937" width="9.77734375" style="1" customWidth="1"/>
    <col min="7938" max="7938" width="9.44140625" style="1" bestFit="1" customWidth="1"/>
    <col min="7939" max="7939" width="8.44140625" style="1" customWidth="1"/>
    <col min="7940" max="7940" width="7.44140625" style="1" customWidth="1"/>
    <col min="7941" max="7941" width="8.77734375" style="1" customWidth="1"/>
    <col min="7942" max="7942" width="7.21875" style="1" customWidth="1"/>
    <col min="7943" max="7943" width="8.21875" style="1" customWidth="1"/>
    <col min="7944" max="7944" width="9.44140625" style="1" customWidth="1"/>
    <col min="7945" max="7945" width="8.21875" style="1" customWidth="1"/>
    <col min="7946" max="7948" width="9.21875" style="1"/>
    <col min="7949" max="7949" width="15.44140625" style="1" customWidth="1"/>
    <col min="7950" max="8192" width="9.21875" style="1"/>
    <col min="8193" max="8193" width="9.77734375" style="1" customWidth="1"/>
    <col min="8194" max="8194" width="9.44140625" style="1" bestFit="1" customWidth="1"/>
    <col min="8195" max="8195" width="8.44140625" style="1" customWidth="1"/>
    <col min="8196" max="8196" width="7.44140625" style="1" customWidth="1"/>
    <col min="8197" max="8197" width="8.77734375" style="1" customWidth="1"/>
    <col min="8198" max="8198" width="7.21875" style="1" customWidth="1"/>
    <col min="8199" max="8199" width="8.21875" style="1" customWidth="1"/>
    <col min="8200" max="8200" width="9.44140625" style="1" customWidth="1"/>
    <col min="8201" max="8201" width="8.21875" style="1" customWidth="1"/>
    <col min="8202" max="8204" width="9.21875" style="1"/>
    <col min="8205" max="8205" width="15.44140625" style="1" customWidth="1"/>
    <col min="8206" max="8448" width="9.21875" style="1"/>
    <col min="8449" max="8449" width="9.77734375" style="1" customWidth="1"/>
    <col min="8450" max="8450" width="9.44140625" style="1" bestFit="1" customWidth="1"/>
    <col min="8451" max="8451" width="8.44140625" style="1" customWidth="1"/>
    <col min="8452" max="8452" width="7.44140625" style="1" customWidth="1"/>
    <col min="8453" max="8453" width="8.77734375" style="1" customWidth="1"/>
    <col min="8454" max="8454" width="7.21875" style="1" customWidth="1"/>
    <col min="8455" max="8455" width="8.21875" style="1" customWidth="1"/>
    <col min="8456" max="8456" width="9.44140625" style="1" customWidth="1"/>
    <col min="8457" max="8457" width="8.21875" style="1" customWidth="1"/>
    <col min="8458" max="8460" width="9.21875" style="1"/>
    <col min="8461" max="8461" width="15.44140625" style="1" customWidth="1"/>
    <col min="8462" max="8704" width="9.21875" style="1"/>
    <col min="8705" max="8705" width="9.77734375" style="1" customWidth="1"/>
    <col min="8706" max="8706" width="9.44140625" style="1" bestFit="1" customWidth="1"/>
    <col min="8707" max="8707" width="8.44140625" style="1" customWidth="1"/>
    <col min="8708" max="8708" width="7.44140625" style="1" customWidth="1"/>
    <col min="8709" max="8709" width="8.77734375" style="1" customWidth="1"/>
    <col min="8710" max="8710" width="7.21875" style="1" customWidth="1"/>
    <col min="8711" max="8711" width="8.21875" style="1" customWidth="1"/>
    <col min="8712" max="8712" width="9.44140625" style="1" customWidth="1"/>
    <col min="8713" max="8713" width="8.21875" style="1" customWidth="1"/>
    <col min="8714" max="8716" width="9.21875" style="1"/>
    <col min="8717" max="8717" width="15.44140625" style="1" customWidth="1"/>
    <col min="8718" max="8960" width="9.21875" style="1"/>
    <col min="8961" max="8961" width="9.77734375" style="1" customWidth="1"/>
    <col min="8962" max="8962" width="9.44140625" style="1" bestFit="1" customWidth="1"/>
    <col min="8963" max="8963" width="8.44140625" style="1" customWidth="1"/>
    <col min="8964" max="8964" width="7.44140625" style="1" customWidth="1"/>
    <col min="8965" max="8965" width="8.77734375" style="1" customWidth="1"/>
    <col min="8966" max="8966" width="7.21875" style="1" customWidth="1"/>
    <col min="8967" max="8967" width="8.21875" style="1" customWidth="1"/>
    <col min="8968" max="8968" width="9.44140625" style="1" customWidth="1"/>
    <col min="8969" max="8969" width="8.21875" style="1" customWidth="1"/>
    <col min="8970" max="8972" width="9.21875" style="1"/>
    <col min="8973" max="8973" width="15.44140625" style="1" customWidth="1"/>
    <col min="8974" max="9216" width="9.21875" style="1"/>
    <col min="9217" max="9217" width="9.77734375" style="1" customWidth="1"/>
    <col min="9218" max="9218" width="9.44140625" style="1" bestFit="1" customWidth="1"/>
    <col min="9219" max="9219" width="8.44140625" style="1" customWidth="1"/>
    <col min="9220" max="9220" width="7.44140625" style="1" customWidth="1"/>
    <col min="9221" max="9221" width="8.77734375" style="1" customWidth="1"/>
    <col min="9222" max="9222" width="7.21875" style="1" customWidth="1"/>
    <col min="9223" max="9223" width="8.21875" style="1" customWidth="1"/>
    <col min="9224" max="9224" width="9.44140625" style="1" customWidth="1"/>
    <col min="9225" max="9225" width="8.21875" style="1" customWidth="1"/>
    <col min="9226" max="9228" width="9.21875" style="1"/>
    <col min="9229" max="9229" width="15.44140625" style="1" customWidth="1"/>
    <col min="9230" max="9472" width="9.21875" style="1"/>
    <col min="9473" max="9473" width="9.77734375" style="1" customWidth="1"/>
    <col min="9474" max="9474" width="9.44140625" style="1" bestFit="1" customWidth="1"/>
    <col min="9475" max="9475" width="8.44140625" style="1" customWidth="1"/>
    <col min="9476" max="9476" width="7.44140625" style="1" customWidth="1"/>
    <col min="9477" max="9477" width="8.77734375" style="1" customWidth="1"/>
    <col min="9478" max="9478" width="7.21875" style="1" customWidth="1"/>
    <col min="9479" max="9479" width="8.21875" style="1" customWidth="1"/>
    <col min="9480" max="9480" width="9.44140625" style="1" customWidth="1"/>
    <col min="9481" max="9481" width="8.21875" style="1" customWidth="1"/>
    <col min="9482" max="9484" width="9.21875" style="1"/>
    <col min="9485" max="9485" width="15.44140625" style="1" customWidth="1"/>
    <col min="9486" max="9728" width="9.21875" style="1"/>
    <col min="9729" max="9729" width="9.77734375" style="1" customWidth="1"/>
    <col min="9730" max="9730" width="9.44140625" style="1" bestFit="1" customWidth="1"/>
    <col min="9731" max="9731" width="8.44140625" style="1" customWidth="1"/>
    <col min="9732" max="9732" width="7.44140625" style="1" customWidth="1"/>
    <col min="9733" max="9733" width="8.77734375" style="1" customWidth="1"/>
    <col min="9734" max="9734" width="7.21875" style="1" customWidth="1"/>
    <col min="9735" max="9735" width="8.21875" style="1" customWidth="1"/>
    <col min="9736" max="9736" width="9.44140625" style="1" customWidth="1"/>
    <col min="9737" max="9737" width="8.21875" style="1" customWidth="1"/>
    <col min="9738" max="9740" width="9.21875" style="1"/>
    <col min="9741" max="9741" width="15.44140625" style="1" customWidth="1"/>
    <col min="9742" max="9984" width="9.21875" style="1"/>
    <col min="9985" max="9985" width="9.77734375" style="1" customWidth="1"/>
    <col min="9986" max="9986" width="9.44140625" style="1" bestFit="1" customWidth="1"/>
    <col min="9987" max="9987" width="8.44140625" style="1" customWidth="1"/>
    <col min="9988" max="9988" width="7.44140625" style="1" customWidth="1"/>
    <col min="9989" max="9989" width="8.77734375" style="1" customWidth="1"/>
    <col min="9990" max="9990" width="7.21875" style="1" customWidth="1"/>
    <col min="9991" max="9991" width="8.21875" style="1" customWidth="1"/>
    <col min="9992" max="9992" width="9.44140625" style="1" customWidth="1"/>
    <col min="9993" max="9993" width="8.21875" style="1" customWidth="1"/>
    <col min="9994" max="9996" width="9.21875" style="1"/>
    <col min="9997" max="9997" width="15.44140625" style="1" customWidth="1"/>
    <col min="9998" max="10240" width="9.21875" style="1"/>
    <col min="10241" max="10241" width="9.77734375" style="1" customWidth="1"/>
    <col min="10242" max="10242" width="9.44140625" style="1" bestFit="1" customWidth="1"/>
    <col min="10243" max="10243" width="8.44140625" style="1" customWidth="1"/>
    <col min="10244" max="10244" width="7.44140625" style="1" customWidth="1"/>
    <col min="10245" max="10245" width="8.77734375" style="1" customWidth="1"/>
    <col min="10246" max="10246" width="7.21875" style="1" customWidth="1"/>
    <col min="10247" max="10247" width="8.21875" style="1" customWidth="1"/>
    <col min="10248" max="10248" width="9.44140625" style="1" customWidth="1"/>
    <col min="10249" max="10249" width="8.21875" style="1" customWidth="1"/>
    <col min="10250" max="10252" width="9.21875" style="1"/>
    <col min="10253" max="10253" width="15.44140625" style="1" customWidth="1"/>
    <col min="10254" max="10496" width="9.21875" style="1"/>
    <col min="10497" max="10497" width="9.77734375" style="1" customWidth="1"/>
    <col min="10498" max="10498" width="9.44140625" style="1" bestFit="1" customWidth="1"/>
    <col min="10499" max="10499" width="8.44140625" style="1" customWidth="1"/>
    <col min="10500" max="10500" width="7.44140625" style="1" customWidth="1"/>
    <col min="10501" max="10501" width="8.77734375" style="1" customWidth="1"/>
    <col min="10502" max="10502" width="7.21875" style="1" customWidth="1"/>
    <col min="10503" max="10503" width="8.21875" style="1" customWidth="1"/>
    <col min="10504" max="10504" width="9.44140625" style="1" customWidth="1"/>
    <col min="10505" max="10505" width="8.21875" style="1" customWidth="1"/>
    <col min="10506" max="10508" width="9.21875" style="1"/>
    <col min="10509" max="10509" width="15.44140625" style="1" customWidth="1"/>
    <col min="10510" max="10752" width="9.21875" style="1"/>
    <col min="10753" max="10753" width="9.77734375" style="1" customWidth="1"/>
    <col min="10754" max="10754" width="9.44140625" style="1" bestFit="1" customWidth="1"/>
    <col min="10755" max="10755" width="8.44140625" style="1" customWidth="1"/>
    <col min="10756" max="10756" width="7.44140625" style="1" customWidth="1"/>
    <col min="10757" max="10757" width="8.77734375" style="1" customWidth="1"/>
    <col min="10758" max="10758" width="7.21875" style="1" customWidth="1"/>
    <col min="10759" max="10759" width="8.21875" style="1" customWidth="1"/>
    <col min="10760" max="10760" width="9.44140625" style="1" customWidth="1"/>
    <col min="10761" max="10761" width="8.21875" style="1" customWidth="1"/>
    <col min="10762" max="10764" width="9.21875" style="1"/>
    <col min="10765" max="10765" width="15.44140625" style="1" customWidth="1"/>
    <col min="10766" max="11008" width="9.21875" style="1"/>
    <col min="11009" max="11009" width="9.77734375" style="1" customWidth="1"/>
    <col min="11010" max="11010" width="9.44140625" style="1" bestFit="1" customWidth="1"/>
    <col min="11011" max="11011" width="8.44140625" style="1" customWidth="1"/>
    <col min="11012" max="11012" width="7.44140625" style="1" customWidth="1"/>
    <col min="11013" max="11013" width="8.77734375" style="1" customWidth="1"/>
    <col min="11014" max="11014" width="7.21875" style="1" customWidth="1"/>
    <col min="11015" max="11015" width="8.21875" style="1" customWidth="1"/>
    <col min="11016" max="11016" width="9.44140625" style="1" customWidth="1"/>
    <col min="11017" max="11017" width="8.21875" style="1" customWidth="1"/>
    <col min="11018" max="11020" width="9.21875" style="1"/>
    <col min="11021" max="11021" width="15.44140625" style="1" customWidth="1"/>
    <col min="11022" max="11264" width="9.21875" style="1"/>
    <col min="11265" max="11265" width="9.77734375" style="1" customWidth="1"/>
    <col min="11266" max="11266" width="9.44140625" style="1" bestFit="1" customWidth="1"/>
    <col min="11267" max="11267" width="8.44140625" style="1" customWidth="1"/>
    <col min="11268" max="11268" width="7.44140625" style="1" customWidth="1"/>
    <col min="11269" max="11269" width="8.77734375" style="1" customWidth="1"/>
    <col min="11270" max="11270" width="7.21875" style="1" customWidth="1"/>
    <col min="11271" max="11271" width="8.21875" style="1" customWidth="1"/>
    <col min="11272" max="11272" width="9.44140625" style="1" customWidth="1"/>
    <col min="11273" max="11273" width="8.21875" style="1" customWidth="1"/>
    <col min="11274" max="11276" width="9.21875" style="1"/>
    <col min="11277" max="11277" width="15.44140625" style="1" customWidth="1"/>
    <col min="11278" max="11520" width="9.21875" style="1"/>
    <col min="11521" max="11521" width="9.77734375" style="1" customWidth="1"/>
    <col min="11522" max="11522" width="9.44140625" style="1" bestFit="1" customWidth="1"/>
    <col min="11523" max="11523" width="8.44140625" style="1" customWidth="1"/>
    <col min="11524" max="11524" width="7.44140625" style="1" customWidth="1"/>
    <col min="11525" max="11525" width="8.77734375" style="1" customWidth="1"/>
    <col min="11526" max="11526" width="7.21875" style="1" customWidth="1"/>
    <col min="11527" max="11527" width="8.21875" style="1" customWidth="1"/>
    <col min="11528" max="11528" width="9.44140625" style="1" customWidth="1"/>
    <col min="11529" max="11529" width="8.21875" style="1" customWidth="1"/>
    <col min="11530" max="11532" width="9.21875" style="1"/>
    <col min="11533" max="11533" width="15.44140625" style="1" customWidth="1"/>
    <col min="11534" max="11776" width="9.21875" style="1"/>
    <col min="11777" max="11777" width="9.77734375" style="1" customWidth="1"/>
    <col min="11778" max="11778" width="9.44140625" style="1" bestFit="1" customWidth="1"/>
    <col min="11779" max="11779" width="8.44140625" style="1" customWidth="1"/>
    <col min="11780" max="11780" width="7.44140625" style="1" customWidth="1"/>
    <col min="11781" max="11781" width="8.77734375" style="1" customWidth="1"/>
    <col min="11782" max="11782" width="7.21875" style="1" customWidth="1"/>
    <col min="11783" max="11783" width="8.21875" style="1" customWidth="1"/>
    <col min="11784" max="11784" width="9.44140625" style="1" customWidth="1"/>
    <col min="11785" max="11785" width="8.21875" style="1" customWidth="1"/>
    <col min="11786" max="11788" width="9.21875" style="1"/>
    <col min="11789" max="11789" width="15.44140625" style="1" customWidth="1"/>
    <col min="11790" max="12032" width="9.21875" style="1"/>
    <col min="12033" max="12033" width="9.77734375" style="1" customWidth="1"/>
    <col min="12034" max="12034" width="9.44140625" style="1" bestFit="1" customWidth="1"/>
    <col min="12035" max="12035" width="8.44140625" style="1" customWidth="1"/>
    <col min="12036" max="12036" width="7.44140625" style="1" customWidth="1"/>
    <col min="12037" max="12037" width="8.77734375" style="1" customWidth="1"/>
    <col min="12038" max="12038" width="7.21875" style="1" customWidth="1"/>
    <col min="12039" max="12039" width="8.21875" style="1" customWidth="1"/>
    <col min="12040" max="12040" width="9.44140625" style="1" customWidth="1"/>
    <col min="12041" max="12041" width="8.21875" style="1" customWidth="1"/>
    <col min="12042" max="12044" width="9.21875" style="1"/>
    <col min="12045" max="12045" width="15.44140625" style="1" customWidth="1"/>
    <col min="12046" max="12288" width="9.21875" style="1"/>
    <col min="12289" max="12289" width="9.77734375" style="1" customWidth="1"/>
    <col min="12290" max="12290" width="9.44140625" style="1" bestFit="1" customWidth="1"/>
    <col min="12291" max="12291" width="8.44140625" style="1" customWidth="1"/>
    <col min="12292" max="12292" width="7.44140625" style="1" customWidth="1"/>
    <col min="12293" max="12293" width="8.77734375" style="1" customWidth="1"/>
    <col min="12294" max="12294" width="7.21875" style="1" customWidth="1"/>
    <col min="12295" max="12295" width="8.21875" style="1" customWidth="1"/>
    <col min="12296" max="12296" width="9.44140625" style="1" customWidth="1"/>
    <col min="12297" max="12297" width="8.21875" style="1" customWidth="1"/>
    <col min="12298" max="12300" width="9.21875" style="1"/>
    <col min="12301" max="12301" width="15.44140625" style="1" customWidth="1"/>
    <col min="12302" max="12544" width="9.21875" style="1"/>
    <col min="12545" max="12545" width="9.77734375" style="1" customWidth="1"/>
    <col min="12546" max="12546" width="9.44140625" style="1" bestFit="1" customWidth="1"/>
    <col min="12547" max="12547" width="8.44140625" style="1" customWidth="1"/>
    <col min="12548" max="12548" width="7.44140625" style="1" customWidth="1"/>
    <col min="12549" max="12549" width="8.77734375" style="1" customWidth="1"/>
    <col min="12550" max="12550" width="7.21875" style="1" customWidth="1"/>
    <col min="12551" max="12551" width="8.21875" style="1" customWidth="1"/>
    <col min="12552" max="12552" width="9.44140625" style="1" customWidth="1"/>
    <col min="12553" max="12553" width="8.21875" style="1" customWidth="1"/>
    <col min="12554" max="12556" width="9.21875" style="1"/>
    <col min="12557" max="12557" width="15.44140625" style="1" customWidth="1"/>
    <col min="12558" max="12800" width="9.21875" style="1"/>
    <col min="12801" max="12801" width="9.77734375" style="1" customWidth="1"/>
    <col min="12802" max="12802" width="9.44140625" style="1" bestFit="1" customWidth="1"/>
    <col min="12803" max="12803" width="8.44140625" style="1" customWidth="1"/>
    <col min="12804" max="12804" width="7.44140625" style="1" customWidth="1"/>
    <col min="12805" max="12805" width="8.77734375" style="1" customWidth="1"/>
    <col min="12806" max="12806" width="7.21875" style="1" customWidth="1"/>
    <col min="12807" max="12807" width="8.21875" style="1" customWidth="1"/>
    <col min="12808" max="12808" width="9.44140625" style="1" customWidth="1"/>
    <col min="12809" max="12809" width="8.21875" style="1" customWidth="1"/>
    <col min="12810" max="12812" width="9.21875" style="1"/>
    <col min="12813" max="12813" width="15.44140625" style="1" customWidth="1"/>
    <col min="12814" max="13056" width="9.21875" style="1"/>
    <col min="13057" max="13057" width="9.77734375" style="1" customWidth="1"/>
    <col min="13058" max="13058" width="9.44140625" style="1" bestFit="1" customWidth="1"/>
    <col min="13059" max="13059" width="8.44140625" style="1" customWidth="1"/>
    <col min="13060" max="13060" width="7.44140625" style="1" customWidth="1"/>
    <col min="13061" max="13061" width="8.77734375" style="1" customWidth="1"/>
    <col min="13062" max="13062" width="7.21875" style="1" customWidth="1"/>
    <col min="13063" max="13063" width="8.21875" style="1" customWidth="1"/>
    <col min="13064" max="13064" width="9.44140625" style="1" customWidth="1"/>
    <col min="13065" max="13065" width="8.21875" style="1" customWidth="1"/>
    <col min="13066" max="13068" width="9.21875" style="1"/>
    <col min="13069" max="13069" width="15.44140625" style="1" customWidth="1"/>
    <col min="13070" max="13312" width="9.21875" style="1"/>
    <col min="13313" max="13313" width="9.77734375" style="1" customWidth="1"/>
    <col min="13314" max="13314" width="9.44140625" style="1" bestFit="1" customWidth="1"/>
    <col min="13315" max="13315" width="8.44140625" style="1" customWidth="1"/>
    <col min="13316" max="13316" width="7.44140625" style="1" customWidth="1"/>
    <col min="13317" max="13317" width="8.77734375" style="1" customWidth="1"/>
    <col min="13318" max="13318" width="7.21875" style="1" customWidth="1"/>
    <col min="13319" max="13319" width="8.21875" style="1" customWidth="1"/>
    <col min="13320" max="13320" width="9.44140625" style="1" customWidth="1"/>
    <col min="13321" max="13321" width="8.21875" style="1" customWidth="1"/>
    <col min="13322" max="13324" width="9.21875" style="1"/>
    <col min="13325" max="13325" width="15.44140625" style="1" customWidth="1"/>
    <col min="13326" max="13568" width="9.21875" style="1"/>
    <col min="13569" max="13569" width="9.77734375" style="1" customWidth="1"/>
    <col min="13570" max="13570" width="9.44140625" style="1" bestFit="1" customWidth="1"/>
    <col min="13571" max="13571" width="8.44140625" style="1" customWidth="1"/>
    <col min="13572" max="13572" width="7.44140625" style="1" customWidth="1"/>
    <col min="13573" max="13573" width="8.77734375" style="1" customWidth="1"/>
    <col min="13574" max="13574" width="7.21875" style="1" customWidth="1"/>
    <col min="13575" max="13575" width="8.21875" style="1" customWidth="1"/>
    <col min="13576" max="13576" width="9.44140625" style="1" customWidth="1"/>
    <col min="13577" max="13577" width="8.21875" style="1" customWidth="1"/>
    <col min="13578" max="13580" width="9.21875" style="1"/>
    <col min="13581" max="13581" width="15.44140625" style="1" customWidth="1"/>
    <col min="13582" max="13824" width="9.21875" style="1"/>
    <col min="13825" max="13825" width="9.77734375" style="1" customWidth="1"/>
    <col min="13826" max="13826" width="9.44140625" style="1" bestFit="1" customWidth="1"/>
    <col min="13827" max="13827" width="8.44140625" style="1" customWidth="1"/>
    <col min="13828" max="13828" width="7.44140625" style="1" customWidth="1"/>
    <col min="13829" max="13829" width="8.77734375" style="1" customWidth="1"/>
    <col min="13830" max="13830" width="7.21875" style="1" customWidth="1"/>
    <col min="13831" max="13831" width="8.21875" style="1" customWidth="1"/>
    <col min="13832" max="13832" width="9.44140625" style="1" customWidth="1"/>
    <col min="13833" max="13833" width="8.21875" style="1" customWidth="1"/>
    <col min="13834" max="13836" width="9.21875" style="1"/>
    <col min="13837" max="13837" width="15.44140625" style="1" customWidth="1"/>
    <col min="13838" max="14080" width="9.21875" style="1"/>
    <col min="14081" max="14081" width="9.77734375" style="1" customWidth="1"/>
    <col min="14082" max="14082" width="9.44140625" style="1" bestFit="1" customWidth="1"/>
    <col min="14083" max="14083" width="8.44140625" style="1" customWidth="1"/>
    <col min="14084" max="14084" width="7.44140625" style="1" customWidth="1"/>
    <col min="14085" max="14085" width="8.77734375" style="1" customWidth="1"/>
    <col min="14086" max="14086" width="7.21875" style="1" customWidth="1"/>
    <col min="14087" max="14087" width="8.21875" style="1" customWidth="1"/>
    <col min="14088" max="14088" width="9.44140625" style="1" customWidth="1"/>
    <col min="14089" max="14089" width="8.21875" style="1" customWidth="1"/>
    <col min="14090" max="14092" width="9.21875" style="1"/>
    <col min="14093" max="14093" width="15.44140625" style="1" customWidth="1"/>
    <col min="14094" max="14336" width="9.21875" style="1"/>
    <col min="14337" max="14337" width="9.77734375" style="1" customWidth="1"/>
    <col min="14338" max="14338" width="9.44140625" style="1" bestFit="1" customWidth="1"/>
    <col min="14339" max="14339" width="8.44140625" style="1" customWidth="1"/>
    <col min="14340" max="14340" width="7.44140625" style="1" customWidth="1"/>
    <col min="14341" max="14341" width="8.77734375" style="1" customWidth="1"/>
    <col min="14342" max="14342" width="7.21875" style="1" customWidth="1"/>
    <col min="14343" max="14343" width="8.21875" style="1" customWidth="1"/>
    <col min="14344" max="14344" width="9.44140625" style="1" customWidth="1"/>
    <col min="14345" max="14345" width="8.21875" style="1" customWidth="1"/>
    <col min="14346" max="14348" width="9.21875" style="1"/>
    <col min="14349" max="14349" width="15.44140625" style="1" customWidth="1"/>
    <col min="14350" max="14592" width="9.21875" style="1"/>
    <col min="14593" max="14593" width="9.77734375" style="1" customWidth="1"/>
    <col min="14594" max="14594" width="9.44140625" style="1" bestFit="1" customWidth="1"/>
    <col min="14595" max="14595" width="8.44140625" style="1" customWidth="1"/>
    <col min="14596" max="14596" width="7.44140625" style="1" customWidth="1"/>
    <col min="14597" max="14597" width="8.77734375" style="1" customWidth="1"/>
    <col min="14598" max="14598" width="7.21875" style="1" customWidth="1"/>
    <col min="14599" max="14599" width="8.21875" style="1" customWidth="1"/>
    <col min="14600" max="14600" width="9.44140625" style="1" customWidth="1"/>
    <col min="14601" max="14601" width="8.21875" style="1" customWidth="1"/>
    <col min="14602" max="14604" width="9.21875" style="1"/>
    <col min="14605" max="14605" width="15.44140625" style="1" customWidth="1"/>
    <col min="14606" max="14848" width="9.21875" style="1"/>
    <col min="14849" max="14849" width="9.77734375" style="1" customWidth="1"/>
    <col min="14850" max="14850" width="9.44140625" style="1" bestFit="1" customWidth="1"/>
    <col min="14851" max="14851" width="8.44140625" style="1" customWidth="1"/>
    <col min="14852" max="14852" width="7.44140625" style="1" customWidth="1"/>
    <col min="14853" max="14853" width="8.77734375" style="1" customWidth="1"/>
    <col min="14854" max="14854" width="7.21875" style="1" customWidth="1"/>
    <col min="14855" max="14855" width="8.21875" style="1" customWidth="1"/>
    <col min="14856" max="14856" width="9.44140625" style="1" customWidth="1"/>
    <col min="14857" max="14857" width="8.21875" style="1" customWidth="1"/>
    <col min="14858" max="14860" width="9.21875" style="1"/>
    <col min="14861" max="14861" width="15.44140625" style="1" customWidth="1"/>
    <col min="14862" max="15104" width="9.21875" style="1"/>
    <col min="15105" max="15105" width="9.77734375" style="1" customWidth="1"/>
    <col min="15106" max="15106" width="9.44140625" style="1" bestFit="1" customWidth="1"/>
    <col min="15107" max="15107" width="8.44140625" style="1" customWidth="1"/>
    <col min="15108" max="15108" width="7.44140625" style="1" customWidth="1"/>
    <col min="15109" max="15109" width="8.77734375" style="1" customWidth="1"/>
    <col min="15110" max="15110" width="7.21875" style="1" customWidth="1"/>
    <col min="15111" max="15111" width="8.21875" style="1" customWidth="1"/>
    <col min="15112" max="15112" width="9.44140625" style="1" customWidth="1"/>
    <col min="15113" max="15113" width="8.21875" style="1" customWidth="1"/>
    <col min="15114" max="15116" width="9.21875" style="1"/>
    <col min="15117" max="15117" width="15.44140625" style="1" customWidth="1"/>
    <col min="15118" max="15360" width="9.21875" style="1"/>
    <col min="15361" max="15361" width="9.77734375" style="1" customWidth="1"/>
    <col min="15362" max="15362" width="9.44140625" style="1" bestFit="1" customWidth="1"/>
    <col min="15363" max="15363" width="8.44140625" style="1" customWidth="1"/>
    <col min="15364" max="15364" width="7.44140625" style="1" customWidth="1"/>
    <col min="15365" max="15365" width="8.77734375" style="1" customWidth="1"/>
    <col min="15366" max="15366" width="7.21875" style="1" customWidth="1"/>
    <col min="15367" max="15367" width="8.21875" style="1" customWidth="1"/>
    <col min="15368" max="15368" width="9.44140625" style="1" customWidth="1"/>
    <col min="15369" max="15369" width="8.21875" style="1" customWidth="1"/>
    <col min="15370" max="15372" width="9.21875" style="1"/>
    <col min="15373" max="15373" width="15.44140625" style="1" customWidth="1"/>
    <col min="15374" max="15616" width="9.21875" style="1"/>
    <col min="15617" max="15617" width="9.77734375" style="1" customWidth="1"/>
    <col min="15618" max="15618" width="9.44140625" style="1" bestFit="1" customWidth="1"/>
    <col min="15619" max="15619" width="8.44140625" style="1" customWidth="1"/>
    <col min="15620" max="15620" width="7.44140625" style="1" customWidth="1"/>
    <col min="15621" max="15621" width="8.77734375" style="1" customWidth="1"/>
    <col min="15622" max="15622" width="7.21875" style="1" customWidth="1"/>
    <col min="15623" max="15623" width="8.21875" style="1" customWidth="1"/>
    <col min="15624" max="15624" width="9.44140625" style="1" customWidth="1"/>
    <col min="15625" max="15625" width="8.21875" style="1" customWidth="1"/>
    <col min="15626" max="15628" width="9.21875" style="1"/>
    <col min="15629" max="15629" width="15.44140625" style="1" customWidth="1"/>
    <col min="15630" max="15872" width="9.21875" style="1"/>
    <col min="15873" max="15873" width="9.77734375" style="1" customWidth="1"/>
    <col min="15874" max="15874" width="9.44140625" style="1" bestFit="1" customWidth="1"/>
    <col min="15875" max="15875" width="8.44140625" style="1" customWidth="1"/>
    <col min="15876" max="15876" width="7.44140625" style="1" customWidth="1"/>
    <col min="15877" max="15877" width="8.77734375" style="1" customWidth="1"/>
    <col min="15878" max="15878" width="7.21875" style="1" customWidth="1"/>
    <col min="15879" max="15879" width="8.21875" style="1" customWidth="1"/>
    <col min="15880" max="15880" width="9.44140625" style="1" customWidth="1"/>
    <col min="15881" max="15881" width="8.21875" style="1" customWidth="1"/>
    <col min="15882" max="15884" width="9.21875" style="1"/>
    <col min="15885" max="15885" width="15.44140625" style="1" customWidth="1"/>
    <col min="15886" max="16128" width="9.21875" style="1"/>
    <col min="16129" max="16129" width="9.77734375" style="1" customWidth="1"/>
    <col min="16130" max="16130" width="9.44140625" style="1" bestFit="1" customWidth="1"/>
    <col min="16131" max="16131" width="8.44140625" style="1" customWidth="1"/>
    <col min="16132" max="16132" width="7.44140625" style="1" customWidth="1"/>
    <col min="16133" max="16133" width="8.77734375" style="1" customWidth="1"/>
    <col min="16134" max="16134" width="7.21875" style="1" customWidth="1"/>
    <col min="16135" max="16135" width="8.21875" style="1" customWidth="1"/>
    <col min="16136" max="16136" width="9.44140625" style="1" customWidth="1"/>
    <col min="16137" max="16137" width="8.21875" style="1" customWidth="1"/>
    <col min="16138" max="16140" width="9.21875" style="1"/>
    <col min="16141" max="16141" width="15.44140625" style="1" customWidth="1"/>
    <col min="16142" max="16384" width="9.21875" style="1"/>
  </cols>
  <sheetData>
    <row r="2" spans="1:10" ht="15.6" x14ac:dyDescent="0.3">
      <c r="A2" s="2" t="s">
        <v>513</v>
      </c>
    </row>
    <row r="3" spans="1:10" ht="15.6" x14ac:dyDescent="0.3">
      <c r="A3" s="2"/>
    </row>
    <row r="4" spans="1:10" x14ac:dyDescent="0.25">
      <c r="A4" s="3" t="s">
        <v>1172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1173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 t="s">
        <v>1174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1175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 t="s">
        <v>1176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 t="s">
        <v>1177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1178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 t="s">
        <v>1179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 t="s">
        <v>1180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 t="s">
        <v>1181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 t="s">
        <v>1182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 t="s">
        <v>1183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 t="s">
        <v>1184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 t="s">
        <v>1185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 t="s">
        <v>533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 t="s">
        <v>534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 t="s">
        <v>535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 t="s">
        <v>536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 t="s">
        <v>537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 t="s">
        <v>538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 t="s">
        <v>1186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 t="s">
        <v>1187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 t="s">
        <v>1188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 t="s">
        <v>351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 t="s">
        <v>1189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1190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1191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 t="s">
        <v>1192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 t="s">
        <v>1193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 t="s">
        <v>1194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 t="s">
        <v>1195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 t="s">
        <v>1196</v>
      </c>
      <c r="C42" s="3" t="s">
        <v>1197</v>
      </c>
    </row>
    <row r="43" spans="1:10" x14ac:dyDescent="0.25">
      <c r="A43" s="3"/>
    </row>
    <row r="44" spans="1:10" x14ac:dyDescent="0.25">
      <c r="A44" s="3" t="s">
        <v>1198</v>
      </c>
    </row>
    <row r="45" spans="1:10" x14ac:dyDescent="0.25">
      <c r="A45" s="3"/>
    </row>
    <row r="46" spans="1:10" x14ac:dyDescent="0.25">
      <c r="A46" s="3" t="s">
        <v>1199</v>
      </c>
    </row>
    <row r="48" spans="1:10" x14ac:dyDescent="0.25">
      <c r="A48" s="3" t="s">
        <v>564</v>
      </c>
    </row>
    <row r="50" spans="1:4" x14ac:dyDescent="0.25">
      <c r="A50" s="3" t="s">
        <v>1200</v>
      </c>
    </row>
    <row r="52" spans="1:4" x14ac:dyDescent="0.25">
      <c r="B52" s="1" t="s">
        <v>566</v>
      </c>
    </row>
    <row r="53" spans="1:4" x14ac:dyDescent="0.25">
      <c r="B53" s="46" t="s">
        <v>567</v>
      </c>
    </row>
    <row r="55" spans="1:4" x14ac:dyDescent="0.25">
      <c r="B55" s="1" t="s">
        <v>568</v>
      </c>
    </row>
    <row r="56" spans="1:4" x14ac:dyDescent="0.25">
      <c r="B56" s="1" t="s">
        <v>569</v>
      </c>
    </row>
    <row r="57" spans="1:4" x14ac:dyDescent="0.25">
      <c r="B57" s="1" t="s">
        <v>570</v>
      </c>
    </row>
    <row r="58" spans="1:4" x14ac:dyDescent="0.25">
      <c r="B58" s="1" t="s">
        <v>571</v>
      </c>
    </row>
    <row r="60" spans="1:4" x14ac:dyDescent="0.25">
      <c r="B60" s="1" t="s">
        <v>572</v>
      </c>
    </row>
    <row r="61" spans="1:4" x14ac:dyDescent="0.25">
      <c r="B61" s="1" t="s">
        <v>573</v>
      </c>
    </row>
    <row r="62" spans="1:4" x14ac:dyDescent="0.25">
      <c r="B62" s="1" t="s">
        <v>574</v>
      </c>
    </row>
    <row r="63" spans="1:4" x14ac:dyDescent="0.25">
      <c r="A63" s="1" t="s">
        <v>43</v>
      </c>
    </row>
    <row r="64" spans="1:4" x14ac:dyDescent="0.25">
      <c r="A64" s="4" t="s">
        <v>271</v>
      </c>
      <c r="B64" s="18">
        <v>1</v>
      </c>
      <c r="C64" s="1" t="s">
        <v>46</v>
      </c>
      <c r="D64" s="1" t="s">
        <v>575</v>
      </c>
    </row>
    <row r="65" spans="1:8" x14ac:dyDescent="0.25">
      <c r="A65" s="4" t="s">
        <v>248</v>
      </c>
      <c r="B65" s="18">
        <v>0.05</v>
      </c>
      <c r="C65" s="1" t="s">
        <v>212</v>
      </c>
    </row>
    <row r="66" spans="1:8" x14ac:dyDescent="0.25">
      <c r="A66" s="4" t="s">
        <v>576</v>
      </c>
      <c r="B66" s="18">
        <v>6.5</v>
      </c>
      <c r="C66" s="1" t="s">
        <v>52</v>
      </c>
    </row>
    <row r="68" spans="1:8" x14ac:dyDescent="0.25">
      <c r="A68" s="4" t="s">
        <v>55</v>
      </c>
    </row>
    <row r="69" spans="1:8" x14ac:dyDescent="0.25">
      <c r="A69" s="4" t="s">
        <v>577</v>
      </c>
      <c r="B69" s="19">
        <f>(125+B65)*B66*B64/45</f>
        <v>18.062777777777775</v>
      </c>
      <c r="C69" s="1" t="s">
        <v>52</v>
      </c>
    </row>
    <row r="70" spans="1:8" x14ac:dyDescent="0.25">
      <c r="A70" s="4"/>
    </row>
    <row r="71" spans="1:8" x14ac:dyDescent="0.25">
      <c r="A71" s="3" t="s">
        <v>1201</v>
      </c>
    </row>
    <row r="73" spans="1:8" x14ac:dyDescent="0.25">
      <c r="B73" s="1" t="s">
        <v>579</v>
      </c>
      <c r="F73" s="16" t="s">
        <v>580</v>
      </c>
      <c r="G73" s="1" t="s">
        <v>581</v>
      </c>
      <c r="H73" s="18">
        <v>0.92</v>
      </c>
    </row>
    <row r="74" spans="1:8" x14ac:dyDescent="0.25">
      <c r="B74" s="1" t="s">
        <v>585</v>
      </c>
    </row>
    <row r="76" spans="1:8" x14ac:dyDescent="0.25">
      <c r="B76" s="1" t="s">
        <v>586</v>
      </c>
    </row>
    <row r="77" spans="1:8" x14ac:dyDescent="0.25">
      <c r="B77" s="1" t="s">
        <v>587</v>
      </c>
    </row>
    <row r="79" spans="1:8" x14ac:dyDescent="0.25">
      <c r="B79" s="1" t="s">
        <v>588</v>
      </c>
    </row>
    <row r="81" spans="1:9" x14ac:dyDescent="0.25">
      <c r="B81" s="1" t="s">
        <v>589</v>
      </c>
    </row>
    <row r="83" spans="1:9" x14ac:dyDescent="0.25">
      <c r="B83" s="1" t="s">
        <v>590</v>
      </c>
      <c r="I83" s="1" t="s">
        <v>591</v>
      </c>
    </row>
    <row r="84" spans="1:9" x14ac:dyDescent="0.25">
      <c r="B84" s="1" t="s">
        <v>592</v>
      </c>
    </row>
    <row r="85" spans="1:9" x14ac:dyDescent="0.25">
      <c r="A85" s="1" t="s">
        <v>23</v>
      </c>
    </row>
    <row r="86" spans="1:9" x14ac:dyDescent="0.25">
      <c r="B86" s="1" t="s">
        <v>593</v>
      </c>
    </row>
    <row r="87" spans="1:9" x14ac:dyDescent="0.25">
      <c r="B87" s="1" t="s">
        <v>594</v>
      </c>
    </row>
    <row r="88" spans="1:9" x14ac:dyDescent="0.25">
      <c r="B88" s="1" t="s">
        <v>595</v>
      </c>
    </row>
    <row r="89" spans="1:9" x14ac:dyDescent="0.25">
      <c r="B89" s="1" t="s">
        <v>596</v>
      </c>
    </row>
    <row r="90" spans="1:9" x14ac:dyDescent="0.25">
      <c r="B90" s="1" t="s">
        <v>597</v>
      </c>
    </row>
    <row r="91" spans="1:9" x14ac:dyDescent="0.25">
      <c r="B91" s="1" t="s">
        <v>598</v>
      </c>
    </row>
    <row r="92" spans="1:9" x14ac:dyDescent="0.25">
      <c r="B92" s="1" t="s">
        <v>599</v>
      </c>
    </row>
    <row r="93" spans="1:9" x14ac:dyDescent="0.25">
      <c r="B93" s="1" t="s">
        <v>600</v>
      </c>
    </row>
    <row r="94" spans="1:9" x14ac:dyDescent="0.25">
      <c r="B94" s="1" t="s">
        <v>601</v>
      </c>
    </row>
    <row r="95" spans="1:9" x14ac:dyDescent="0.25">
      <c r="B95" s="1" t="s">
        <v>602</v>
      </c>
    </row>
    <row r="97" spans="1:3" x14ac:dyDescent="0.25">
      <c r="A97" s="1" t="s">
        <v>207</v>
      </c>
    </row>
    <row r="98" spans="1:3" x14ac:dyDescent="0.25">
      <c r="A98" s="4" t="s">
        <v>190</v>
      </c>
      <c r="B98" s="18">
        <v>30</v>
      </c>
      <c r="C98" s="1" t="s">
        <v>603</v>
      </c>
    </row>
    <row r="99" spans="1:3" x14ac:dyDescent="0.25">
      <c r="A99" s="4" t="s">
        <v>313</v>
      </c>
      <c r="B99" s="19">
        <f>B98*25.4</f>
        <v>762</v>
      </c>
      <c r="C99" s="1" t="s">
        <v>52</v>
      </c>
    </row>
    <row r="100" spans="1:3" x14ac:dyDescent="0.25">
      <c r="A100" s="4" t="s">
        <v>604</v>
      </c>
      <c r="B100" s="19">
        <f>B99/1000-2*B106/1000</f>
        <v>0.64440560000000002</v>
      </c>
      <c r="C100" s="1" t="s">
        <v>58</v>
      </c>
    </row>
    <row r="101" spans="1:3" x14ac:dyDescent="0.25">
      <c r="A101" s="4" t="s">
        <v>605</v>
      </c>
      <c r="B101" s="19">
        <f>IF(B98=24,228,IF(B98=30,280,IF(B98=36,332,IF(B98=42,385,IF(B98=48,438,IF(B98=54,491,IF(B98=60,544,IF(B98=72,652,0))))))))</f>
        <v>280</v>
      </c>
      <c r="C101" s="1" t="s">
        <v>52</v>
      </c>
    </row>
    <row r="102" spans="1:3" x14ac:dyDescent="0.25">
      <c r="A102" s="4" t="s">
        <v>606</v>
      </c>
      <c r="B102" s="18">
        <v>0</v>
      </c>
      <c r="C102" s="1" t="s">
        <v>172</v>
      </c>
    </row>
    <row r="103" spans="1:3" x14ac:dyDescent="0.25">
      <c r="A103" s="4" t="s">
        <v>607</v>
      </c>
      <c r="B103" s="19">
        <v>45</v>
      </c>
      <c r="C103" s="1" t="s">
        <v>172</v>
      </c>
    </row>
    <row r="104" spans="1:3" x14ac:dyDescent="0.25">
      <c r="A104" s="4" t="s">
        <v>608</v>
      </c>
      <c r="B104" s="18">
        <v>30</v>
      </c>
      <c r="C104" s="1" t="s">
        <v>172</v>
      </c>
    </row>
    <row r="105" spans="1:3" x14ac:dyDescent="0.25">
      <c r="A105" s="4" t="s">
        <v>609</v>
      </c>
      <c r="B105" s="18">
        <v>15</v>
      </c>
      <c r="C105" s="1" t="s">
        <v>172</v>
      </c>
    </row>
    <row r="106" spans="1:3" x14ac:dyDescent="0.25">
      <c r="A106" s="4" t="s">
        <v>610</v>
      </c>
      <c r="B106" s="19">
        <f>(0.055*B99+22)*H73</f>
        <v>58.797200000000004</v>
      </c>
      <c r="C106" s="1" t="s">
        <v>52</v>
      </c>
    </row>
    <row r="107" spans="1:3" x14ac:dyDescent="0.25">
      <c r="A107" s="4" t="s">
        <v>611</v>
      </c>
      <c r="B107" s="19">
        <f>B101*0.001+0.01</f>
        <v>0.29000000000000004</v>
      </c>
      <c r="C107" s="1" t="s">
        <v>52</v>
      </c>
    </row>
    <row r="108" spans="1:3" x14ac:dyDescent="0.25">
      <c r="A108" s="4" t="s">
        <v>612</v>
      </c>
      <c r="B108" s="19">
        <f>(B100-B107)*COS(B103*PI()/180)+B107</f>
        <v>0.54060260305048713</v>
      </c>
      <c r="C108" s="1" t="s">
        <v>58</v>
      </c>
    </row>
    <row r="110" spans="1:3" x14ac:dyDescent="0.25">
      <c r="A110" s="4" t="s">
        <v>55</v>
      </c>
    </row>
    <row r="111" spans="1:3" x14ac:dyDescent="0.25">
      <c r="A111" s="4" t="s">
        <v>613</v>
      </c>
      <c r="B111" s="19">
        <f>(B107+B108)*(B100-B107)*(SIN(B103*PI()/180))/4+((3.1415*B105)/720-(SIN(2*B105*PI()/180))/8)*POWER(B108/SIN(B105*PI()/180),2)</f>
        <v>6.4898920002980462E-2</v>
      </c>
      <c r="C111" s="1" t="s">
        <v>67</v>
      </c>
    </row>
    <row r="113" spans="1:15" x14ac:dyDescent="0.25">
      <c r="A113" s="3" t="s">
        <v>1202</v>
      </c>
      <c r="G113" s="3" t="s">
        <v>1203</v>
      </c>
      <c r="M113" s="3" t="s">
        <v>1204</v>
      </c>
    </row>
    <row r="115" spans="1:15" x14ac:dyDescent="0.25">
      <c r="B115" s="1" t="s">
        <v>616</v>
      </c>
      <c r="H115" s="1" t="s">
        <v>616</v>
      </c>
      <c r="N115" s="1" t="s">
        <v>616</v>
      </c>
    </row>
    <row r="117" spans="1:15" x14ac:dyDescent="0.25">
      <c r="B117" s="1" t="s">
        <v>617</v>
      </c>
      <c r="H117" s="1" t="s">
        <v>617</v>
      </c>
      <c r="N117" s="1" t="s">
        <v>617</v>
      </c>
    </row>
    <row r="118" spans="1:15" x14ac:dyDescent="0.25">
      <c r="B118" s="1" t="s">
        <v>618</v>
      </c>
      <c r="H118" s="1" t="s">
        <v>618</v>
      </c>
      <c r="N118" s="1" t="s">
        <v>618</v>
      </c>
    </row>
    <row r="119" spans="1:15" x14ac:dyDescent="0.25">
      <c r="B119" s="1" t="s">
        <v>619</v>
      </c>
      <c r="H119" s="1" t="s">
        <v>619</v>
      </c>
      <c r="N119" s="1" t="s">
        <v>619</v>
      </c>
    </row>
    <row r="120" spans="1:15" x14ac:dyDescent="0.25">
      <c r="A120" s="1" t="s">
        <v>91</v>
      </c>
      <c r="G120" s="1" t="s">
        <v>91</v>
      </c>
      <c r="M120" s="1" t="s">
        <v>91</v>
      </c>
    </row>
    <row r="121" spans="1:15" x14ac:dyDescent="0.25">
      <c r="A121" s="4" t="s">
        <v>26</v>
      </c>
      <c r="B121" s="18">
        <v>0.54200000000000004</v>
      </c>
      <c r="C121" s="1" t="s">
        <v>48</v>
      </c>
      <c r="G121" s="4" t="s">
        <v>26</v>
      </c>
      <c r="H121" s="19">
        <f>B121</f>
        <v>0.54200000000000004</v>
      </c>
      <c r="I121" s="1" t="s">
        <v>48</v>
      </c>
      <c r="M121" s="4" t="s">
        <v>26</v>
      </c>
      <c r="N121" s="19">
        <f>H121</f>
        <v>0.54200000000000004</v>
      </c>
      <c r="O121" s="1" t="s">
        <v>48</v>
      </c>
    </row>
    <row r="122" spans="1:15" x14ac:dyDescent="0.25">
      <c r="A122" s="4" t="s">
        <v>620</v>
      </c>
      <c r="B122" s="18">
        <v>90</v>
      </c>
      <c r="C122" s="1" t="s">
        <v>212</v>
      </c>
      <c r="G122" s="4" t="s">
        <v>620</v>
      </c>
      <c r="H122" s="19">
        <v>100</v>
      </c>
      <c r="I122" s="1" t="s">
        <v>212</v>
      </c>
      <c r="M122" s="4" t="s">
        <v>620</v>
      </c>
      <c r="N122" s="19">
        <v>65</v>
      </c>
      <c r="O122" s="1" t="s">
        <v>212</v>
      </c>
    </row>
    <row r="123" spans="1:15" x14ac:dyDescent="0.25">
      <c r="A123" s="4" t="s">
        <v>621</v>
      </c>
      <c r="B123" s="18">
        <v>1</v>
      </c>
      <c r="C123" s="1" t="s">
        <v>51</v>
      </c>
      <c r="G123" s="4" t="s">
        <v>621</v>
      </c>
      <c r="H123" s="18">
        <v>1.2</v>
      </c>
      <c r="I123" s="1" t="s">
        <v>51</v>
      </c>
      <c r="M123" s="4" t="s">
        <v>621</v>
      </c>
      <c r="N123" s="18">
        <v>1</v>
      </c>
      <c r="O123" s="1" t="s">
        <v>51</v>
      </c>
    </row>
    <row r="124" spans="1:15" x14ac:dyDescent="0.25">
      <c r="A124" s="4" t="s">
        <v>622</v>
      </c>
      <c r="B124" s="19">
        <f>B111</f>
        <v>6.4898920002980462E-2</v>
      </c>
      <c r="C124" s="1" t="s">
        <v>67</v>
      </c>
      <c r="G124" s="4" t="s">
        <v>622</v>
      </c>
      <c r="H124" s="19">
        <f>B124</f>
        <v>6.4898920002980462E-2</v>
      </c>
      <c r="I124" s="1" t="s">
        <v>67</v>
      </c>
      <c r="M124" s="4" t="s">
        <v>622</v>
      </c>
      <c r="N124" s="19">
        <f>H124</f>
        <v>6.4898920002980462E-2</v>
      </c>
      <c r="O124" s="1" t="s">
        <v>67</v>
      </c>
    </row>
    <row r="125" spans="1:15" x14ac:dyDescent="0.25">
      <c r="A125" s="1" t="s">
        <v>623</v>
      </c>
      <c r="G125" s="1" t="s">
        <v>623</v>
      </c>
      <c r="M125" s="1" t="s">
        <v>623</v>
      </c>
    </row>
    <row r="126" spans="1:15" x14ac:dyDescent="0.25">
      <c r="A126" s="4" t="s">
        <v>624</v>
      </c>
      <c r="B126" s="17">
        <f>3600*B124*B122%*B123*B121</f>
        <v>113.96769543883396</v>
      </c>
      <c r="C126" s="1" t="s">
        <v>56</v>
      </c>
      <c r="G126" s="4" t="s">
        <v>624</v>
      </c>
      <c r="H126" s="43">
        <f>3600*H124*H122%*H123*H121</f>
        <v>151.95692725177858</v>
      </c>
      <c r="I126" s="1" t="s">
        <v>57</v>
      </c>
      <c r="K126" s="33">
        <f>H126/N126</f>
        <v>1.8461538461538458</v>
      </c>
      <c r="M126" s="4" t="s">
        <v>624</v>
      </c>
      <c r="N126" s="43">
        <f>3600*N124*N122%*N123*N121</f>
        <v>82.310002261380077</v>
      </c>
      <c r="O126" s="1" t="s">
        <v>57</v>
      </c>
    </row>
    <row r="127" spans="1:15" x14ac:dyDescent="0.25">
      <c r="A127" s="3"/>
    </row>
    <row r="128" spans="1:15" x14ac:dyDescent="0.25">
      <c r="A128" s="3"/>
    </row>
    <row r="129" spans="1:3" x14ac:dyDescent="0.25">
      <c r="A129" s="3"/>
    </row>
    <row r="130" spans="1:3" ht="13.8" x14ac:dyDescent="0.25">
      <c r="A130" s="58" t="s">
        <v>1205</v>
      </c>
    </row>
    <row r="132" spans="1:3" x14ac:dyDescent="0.25">
      <c r="B132" s="1" t="s">
        <v>627</v>
      </c>
    </row>
    <row r="133" spans="1:3" x14ac:dyDescent="0.25">
      <c r="B133" s="1" t="s">
        <v>628</v>
      </c>
    </row>
    <row r="135" spans="1:3" x14ac:dyDescent="0.25">
      <c r="B135" s="1" t="s">
        <v>629</v>
      </c>
    </row>
    <row r="136" spans="1:3" x14ac:dyDescent="0.25">
      <c r="B136" s="1" t="s">
        <v>630</v>
      </c>
    </row>
    <row r="137" spans="1:3" x14ac:dyDescent="0.25">
      <c r="B137" s="1" t="s">
        <v>631</v>
      </c>
    </row>
    <row r="138" spans="1:3" x14ac:dyDescent="0.25">
      <c r="B138" s="1" t="s">
        <v>632</v>
      </c>
    </row>
    <row r="139" spans="1:3" x14ac:dyDescent="0.25">
      <c r="A139" s="1" t="s">
        <v>207</v>
      </c>
    </row>
    <row r="140" spans="1:3" x14ac:dyDescent="0.25">
      <c r="A140" s="4" t="s">
        <v>633</v>
      </c>
      <c r="B140" s="19">
        <f>B121</f>
        <v>0.54200000000000004</v>
      </c>
      <c r="C140" s="1" t="s">
        <v>48</v>
      </c>
    </row>
    <row r="141" spans="1:3" x14ac:dyDescent="0.25">
      <c r="A141" s="4" t="s">
        <v>624</v>
      </c>
      <c r="B141" s="43">
        <f>H126</f>
        <v>151.95692725177858</v>
      </c>
      <c r="C141" s="1" t="s">
        <v>57</v>
      </c>
    </row>
    <row r="142" spans="1:3" x14ac:dyDescent="0.25">
      <c r="A142" s="4" t="s">
        <v>634</v>
      </c>
      <c r="B142" s="18">
        <v>0</v>
      </c>
      <c r="C142" s="1" t="s">
        <v>48</v>
      </c>
    </row>
    <row r="144" spans="1:3" x14ac:dyDescent="0.25">
      <c r="A144" s="1" t="s">
        <v>394</v>
      </c>
    </row>
    <row r="145" spans="1:3" x14ac:dyDescent="0.25">
      <c r="A145" s="4" t="s">
        <v>635</v>
      </c>
      <c r="B145" s="19">
        <f>B141*((B140*B140)-(B142*B142))/(3.6*B140)</f>
        <v>22.877959602906664</v>
      </c>
      <c r="C145" s="1" t="s">
        <v>133</v>
      </c>
    </row>
    <row r="146" spans="1:3" x14ac:dyDescent="0.25">
      <c r="A146" s="3"/>
    </row>
    <row r="147" spans="1:3" x14ac:dyDescent="0.25">
      <c r="A147" s="3"/>
    </row>
    <row r="148" spans="1:3" ht="13.8" x14ac:dyDescent="0.25">
      <c r="A148" s="58" t="s">
        <v>1206</v>
      </c>
    </row>
    <row r="150" spans="1:3" x14ac:dyDescent="0.25">
      <c r="B150" s="1" t="s">
        <v>637</v>
      </c>
    </row>
    <row r="151" spans="1:3" x14ac:dyDescent="0.25">
      <c r="B151" s="1" t="s">
        <v>638</v>
      </c>
    </row>
    <row r="153" spans="1:3" x14ac:dyDescent="0.25">
      <c r="B153" s="1" t="s">
        <v>639</v>
      </c>
    </row>
    <row r="154" spans="1:3" x14ac:dyDescent="0.25">
      <c r="A154" s="4" t="s">
        <v>23</v>
      </c>
    </row>
    <row r="155" spans="1:3" x14ac:dyDescent="0.25">
      <c r="B155" s="1" t="s">
        <v>640</v>
      </c>
    </row>
    <row r="156" spans="1:3" x14ac:dyDescent="0.25">
      <c r="B156" s="1" t="s">
        <v>641</v>
      </c>
    </row>
    <row r="157" spans="1:3" x14ac:dyDescent="0.25">
      <c r="B157" s="1" t="s">
        <v>642</v>
      </c>
    </row>
    <row r="158" spans="1:3" x14ac:dyDescent="0.25">
      <c r="B158" s="1" t="s">
        <v>643</v>
      </c>
    </row>
    <row r="159" spans="1:3" x14ac:dyDescent="0.25">
      <c r="B159" s="52" t="s">
        <v>644</v>
      </c>
    </row>
    <row r="160" spans="1:3" x14ac:dyDescent="0.25">
      <c r="B160" s="1" t="s">
        <v>645</v>
      </c>
    </row>
    <row r="161" spans="1:10" x14ac:dyDescent="0.25">
      <c r="A161" s="1" t="s">
        <v>91</v>
      </c>
    </row>
    <row r="162" spans="1:10" x14ac:dyDescent="0.25">
      <c r="A162" s="4" t="s">
        <v>646</v>
      </c>
      <c r="B162" s="19">
        <f>B165*(1-SIN(B166*PI()/180))/(2.3*(1+SIN(B166*PI()/180)))</f>
        <v>0.17391304347826086</v>
      </c>
      <c r="C162" s="1" t="s">
        <v>46</v>
      </c>
      <c r="D162" s="1" t="s">
        <v>647</v>
      </c>
      <c r="E162" s="9" t="s">
        <v>648</v>
      </c>
      <c r="F162" s="9" t="s">
        <v>649</v>
      </c>
      <c r="G162" s="1" t="s">
        <v>650</v>
      </c>
    </row>
    <row r="163" spans="1:10" x14ac:dyDescent="0.25">
      <c r="A163" s="4" t="s">
        <v>651</v>
      </c>
      <c r="B163" s="18">
        <v>0</v>
      </c>
      <c r="C163" s="1" t="s">
        <v>58</v>
      </c>
      <c r="E163" s="9">
        <v>0</v>
      </c>
      <c r="F163" s="9">
        <v>25</v>
      </c>
    </row>
    <row r="164" spans="1:10" x14ac:dyDescent="0.25">
      <c r="A164" s="4" t="s">
        <v>190</v>
      </c>
      <c r="B164" s="19">
        <f>B98</f>
        <v>30</v>
      </c>
      <c r="C164" s="1" t="s">
        <v>603</v>
      </c>
    </row>
    <row r="165" spans="1:10" x14ac:dyDescent="0.25">
      <c r="A165" s="53" t="s">
        <v>652</v>
      </c>
      <c r="B165" s="19">
        <f>H123</f>
        <v>1.2</v>
      </c>
      <c r="C165" s="1" t="s">
        <v>51</v>
      </c>
    </row>
    <row r="166" spans="1:10" x14ac:dyDescent="0.25">
      <c r="A166" s="4" t="s">
        <v>653</v>
      </c>
      <c r="B166" s="18">
        <v>30</v>
      </c>
      <c r="C166" s="1" t="s">
        <v>172</v>
      </c>
    </row>
    <row r="167" spans="1:10" x14ac:dyDescent="0.25">
      <c r="A167" s="4"/>
    </row>
    <row r="168" spans="1:10" x14ac:dyDescent="0.25">
      <c r="A168" s="38" t="s">
        <v>116</v>
      </c>
    </row>
    <row r="169" spans="1:10" x14ac:dyDescent="0.25">
      <c r="A169" s="4" t="s">
        <v>654</v>
      </c>
      <c r="B169" s="19">
        <f>(0.01488*B162*B163*B164*B164+8.92*B163)+(IF(E163=1,F163,0))*(0.01488*B162*B163*B164+8.92*B163)</f>
        <v>0</v>
      </c>
      <c r="C169" s="1" t="s">
        <v>133</v>
      </c>
      <c r="D169" s="117"/>
    </row>
    <row r="172" spans="1:10" x14ac:dyDescent="0.25">
      <c r="A172" s="4"/>
    </row>
    <row r="173" spans="1:10" ht="13.8" x14ac:dyDescent="0.25">
      <c r="A173" s="58" t="s">
        <v>1207</v>
      </c>
      <c r="B173"/>
      <c r="C173" s="118"/>
      <c r="D173" s="118"/>
      <c r="E173" s="118"/>
      <c r="F173" s="118"/>
      <c r="G173" s="118"/>
      <c r="H173" s="118"/>
      <c r="I173" s="118"/>
      <c r="J173" s="118"/>
    </row>
    <row r="174" spans="1:10" x14ac:dyDescent="0.25">
      <c r="A174" s="122"/>
      <c r="B174"/>
      <c r="C174" s="118"/>
      <c r="D174" s="118"/>
      <c r="E174" s="118"/>
      <c r="F174" s="118"/>
      <c r="G174" s="118"/>
      <c r="H174" s="118"/>
      <c r="I174" s="118"/>
      <c r="J174" s="118"/>
    </row>
    <row r="175" spans="1:10" x14ac:dyDescent="0.25">
      <c r="A175" s="122"/>
      <c r="B175"/>
      <c r="C175" s="1" t="s">
        <v>656</v>
      </c>
      <c r="E175" s="118"/>
      <c r="F175" s="118"/>
      <c r="G175" s="118"/>
      <c r="H175" s="118"/>
      <c r="I175" s="118"/>
      <c r="J175" s="118"/>
    </row>
    <row r="176" spans="1:10" x14ac:dyDescent="0.25">
      <c r="A176" s="122"/>
      <c r="B176"/>
      <c r="C176" s="1" t="s">
        <v>657</v>
      </c>
      <c r="E176" s="118"/>
      <c r="F176" s="118"/>
      <c r="G176" s="118"/>
      <c r="H176" s="118"/>
      <c r="I176" s="118"/>
      <c r="J176" s="118"/>
    </row>
    <row r="177" spans="1:13" x14ac:dyDescent="0.25">
      <c r="A177" s="122"/>
      <c r="B177"/>
      <c r="I177" s="118"/>
      <c r="J177" s="118"/>
    </row>
    <row r="178" spans="1:13" x14ac:dyDescent="0.25">
      <c r="A178" s="122"/>
      <c r="B178"/>
      <c r="C178" s="52" t="s">
        <v>658</v>
      </c>
      <c r="D178" s="118"/>
      <c r="I178" s="118"/>
      <c r="J178" s="118"/>
    </row>
    <row r="179" spans="1:13" x14ac:dyDescent="0.25">
      <c r="A179" s="122"/>
      <c r="B179"/>
      <c r="C179" s="52" t="s">
        <v>659</v>
      </c>
      <c r="D179" s="118"/>
      <c r="E179" s="118"/>
      <c r="F179" s="118"/>
      <c r="G179" s="118"/>
      <c r="H179" s="118"/>
      <c r="I179" s="118"/>
      <c r="J179" s="118"/>
    </row>
    <row r="180" spans="1:13" x14ac:dyDescent="0.25">
      <c r="A180" s="122"/>
      <c r="B180"/>
      <c r="E180" s="118"/>
      <c r="F180" s="118"/>
      <c r="G180" s="118"/>
      <c r="H180" s="118"/>
      <c r="I180" s="118"/>
      <c r="J180" s="118"/>
    </row>
    <row r="181" spans="1:13" ht="15.6" x14ac:dyDescent="0.25">
      <c r="A181" s="122"/>
      <c r="B181"/>
      <c r="C181" s="120" t="s">
        <v>660</v>
      </c>
      <c r="D181" s="118"/>
      <c r="E181" s="118"/>
      <c r="F181" s="118"/>
      <c r="G181" s="118"/>
      <c r="H181" s="118"/>
    </row>
    <row r="182" spans="1:13" x14ac:dyDescent="0.25">
      <c r="A182" s="122"/>
      <c r="B182"/>
      <c r="C182" s="118" t="s">
        <v>661</v>
      </c>
      <c r="D182" s="118"/>
      <c r="E182" s="118"/>
      <c r="F182" s="118"/>
      <c r="G182" s="118"/>
      <c r="H182" s="118"/>
    </row>
    <row r="183" spans="1:13" x14ac:dyDescent="0.25">
      <c r="A183" s="122"/>
      <c r="B183"/>
      <c r="D183" s="118"/>
      <c r="E183" s="118"/>
      <c r="H183" s="118"/>
      <c r="I183" s="118"/>
      <c r="J183" s="118"/>
      <c r="K183" s="118"/>
      <c r="L183" s="118"/>
      <c r="M183" s="118"/>
    </row>
    <row r="184" spans="1:13" x14ac:dyDescent="0.25">
      <c r="A184" s="122"/>
      <c r="B184"/>
      <c r="C184" s="118" t="s">
        <v>662</v>
      </c>
      <c r="H184" s="118"/>
      <c r="I184" s="118"/>
      <c r="J184" s="118"/>
    </row>
    <row r="185" spans="1:13" x14ac:dyDescent="0.25">
      <c r="A185" s="122"/>
      <c r="B185"/>
      <c r="C185" s="118"/>
      <c r="D185" s="118"/>
      <c r="E185" s="118"/>
      <c r="H185" s="118"/>
      <c r="I185" s="118"/>
      <c r="J185" s="118"/>
    </row>
    <row r="186" spans="1:13" x14ac:dyDescent="0.25">
      <c r="F186" s="118"/>
      <c r="G186" s="118"/>
      <c r="H186" s="118"/>
      <c r="I186" s="118"/>
      <c r="J186" s="118"/>
    </row>
    <row r="187" spans="1:13" x14ac:dyDescent="0.25">
      <c r="A187" s="1" t="s">
        <v>663</v>
      </c>
      <c r="B187"/>
      <c r="C187" s="118"/>
      <c r="D187" s="118"/>
      <c r="E187" s="118"/>
      <c r="F187" s="118"/>
      <c r="G187" s="118"/>
      <c r="H187" s="118"/>
      <c r="I187" s="118"/>
      <c r="J187" s="118"/>
    </row>
    <row r="188" spans="1:13" x14ac:dyDescent="0.25">
      <c r="A188" s="1" t="s">
        <v>664</v>
      </c>
      <c r="B188" s="118"/>
      <c r="C188" s="118"/>
      <c r="D188" s="118"/>
      <c r="E188" s="118"/>
      <c r="F188" s="118"/>
      <c r="G188" s="118"/>
      <c r="H188" s="118"/>
      <c r="I188" s="118"/>
      <c r="J188" s="118"/>
    </row>
    <row r="189" spans="1:13" x14ac:dyDescent="0.25">
      <c r="A189" s="1" t="s">
        <v>665</v>
      </c>
    </row>
    <row r="190" spans="1:13" x14ac:dyDescent="0.25">
      <c r="A190" s="251" t="s">
        <v>666</v>
      </c>
      <c r="B190" s="251"/>
      <c r="C190" s="121" t="s">
        <v>667</v>
      </c>
      <c r="D190" s="121" t="s">
        <v>668</v>
      </c>
      <c r="E190" s="121" t="s">
        <v>670</v>
      </c>
      <c r="F190" s="121" t="s">
        <v>671</v>
      </c>
      <c r="G190" s="121" t="s">
        <v>672</v>
      </c>
      <c r="H190" s="121" t="s">
        <v>673</v>
      </c>
      <c r="I190" s="121" t="s">
        <v>674</v>
      </c>
      <c r="J190" s="121" t="s">
        <v>675</v>
      </c>
      <c r="K190" s="121" t="s">
        <v>676</v>
      </c>
      <c r="L190" s="121" t="s">
        <v>677</v>
      </c>
    </row>
    <row r="191" spans="1:13" x14ac:dyDescent="0.25">
      <c r="A191" s="251" t="s">
        <v>678</v>
      </c>
      <c r="B191" s="251"/>
      <c r="C191" s="121">
        <v>5.2</v>
      </c>
      <c r="D191" s="121">
        <v>6.5</v>
      </c>
      <c r="E191" s="121">
        <v>7.7</v>
      </c>
      <c r="F191" s="121">
        <v>11.9</v>
      </c>
      <c r="G191" s="121">
        <v>14.3</v>
      </c>
      <c r="H191" s="121">
        <v>17.7</v>
      </c>
      <c r="I191" s="121">
        <v>26.8</v>
      </c>
      <c r="J191" s="121">
        <v>29.8</v>
      </c>
      <c r="K191" s="121">
        <v>35.700000000000003</v>
      </c>
      <c r="L191" s="121">
        <v>41.6</v>
      </c>
    </row>
    <row r="192" spans="1:13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</row>
    <row r="193" spans="1:12" x14ac:dyDescent="0.25">
      <c r="A193" s="1" t="s">
        <v>631</v>
      </c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</row>
    <row r="194" spans="1:12" x14ac:dyDescent="0.25">
      <c r="A194" s="1" t="s">
        <v>679</v>
      </c>
      <c r="B194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</row>
    <row r="195" spans="1:12" x14ac:dyDescent="0.25">
      <c r="A195" s="1" t="s">
        <v>1208</v>
      </c>
      <c r="B195" s="118"/>
      <c r="C195" s="118"/>
      <c r="D195" s="118"/>
      <c r="E195" s="118"/>
      <c r="F195" s="118"/>
      <c r="G195" s="118"/>
      <c r="H195" s="118"/>
      <c r="I195" s="118"/>
      <c r="J195" s="118"/>
    </row>
    <row r="196" spans="1:12" x14ac:dyDescent="0.25">
      <c r="A196" s="1" t="s">
        <v>681</v>
      </c>
      <c r="B196" s="118"/>
      <c r="C196" s="118"/>
      <c r="D196" s="118"/>
      <c r="E196" s="118"/>
      <c r="F196" s="118"/>
      <c r="G196" s="118"/>
      <c r="H196" s="118"/>
      <c r="I196" s="118"/>
      <c r="J196" s="118"/>
    </row>
    <row r="197" spans="1:12" x14ac:dyDescent="0.25">
      <c r="A197" s="1" t="s">
        <v>599</v>
      </c>
      <c r="B197" s="118"/>
      <c r="C197" s="118"/>
      <c r="D197" s="118"/>
      <c r="E197" s="118"/>
      <c r="F197" s="118"/>
      <c r="G197" s="118"/>
      <c r="H197" s="118"/>
      <c r="I197" s="118"/>
      <c r="J197" s="118"/>
    </row>
    <row r="198" spans="1:12" x14ac:dyDescent="0.25">
      <c r="A198" s="1" t="s">
        <v>682</v>
      </c>
      <c r="B198" s="118"/>
      <c r="C198" s="118"/>
      <c r="D198" s="118"/>
      <c r="E198" s="118"/>
      <c r="F198" s="118"/>
      <c r="G198" s="118"/>
      <c r="H198" s="118"/>
      <c r="I198" s="118"/>
      <c r="J198" s="118"/>
    </row>
    <row r="199" spans="1:12" x14ac:dyDescent="0.25">
      <c r="A199" s="1" t="s">
        <v>683</v>
      </c>
      <c r="B199" s="118"/>
      <c r="C199" s="118"/>
      <c r="D199" s="118"/>
      <c r="E199" s="118"/>
      <c r="F199" s="118"/>
      <c r="G199" s="118"/>
      <c r="H199" s="118"/>
      <c r="I199" s="118"/>
      <c r="J199" s="118"/>
    </row>
    <row r="200" spans="1:12" x14ac:dyDescent="0.25">
      <c r="A200" s="1" t="s">
        <v>340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2" x14ac:dyDescent="0.25">
      <c r="A201" s="1" t="s">
        <v>684</v>
      </c>
      <c r="B201" s="118"/>
      <c r="C201" s="118"/>
      <c r="D201" s="118"/>
      <c r="E201" s="118"/>
      <c r="F201" s="118"/>
      <c r="G201" s="118"/>
      <c r="H201" s="118"/>
      <c r="I201" s="118"/>
      <c r="J201" s="118"/>
    </row>
    <row r="202" spans="1:12" x14ac:dyDescent="0.25">
      <c r="A202" s="1" t="s">
        <v>685</v>
      </c>
      <c r="B202" s="118"/>
      <c r="C202" s="118"/>
      <c r="D202" s="118"/>
      <c r="E202" s="118"/>
      <c r="F202" s="118"/>
      <c r="G202" s="118"/>
      <c r="H202" s="118"/>
      <c r="I202" s="118"/>
      <c r="J202" s="118"/>
    </row>
    <row r="203" spans="1:12" x14ac:dyDescent="0.25">
      <c r="A203" s="1" t="s">
        <v>686</v>
      </c>
      <c r="B203" s="118"/>
      <c r="C203" s="118"/>
      <c r="D203" s="118"/>
      <c r="E203" s="118"/>
      <c r="F203" s="118"/>
      <c r="G203" s="118"/>
      <c r="H203" s="118"/>
      <c r="I203" s="118"/>
      <c r="J203" s="118"/>
    </row>
    <row r="204" spans="1:12" x14ac:dyDescent="0.25">
      <c r="B204" s="118"/>
      <c r="C204" s="118"/>
      <c r="D204" s="118"/>
      <c r="E204" s="118"/>
      <c r="F204" s="118"/>
      <c r="G204" s="118"/>
      <c r="H204" s="118"/>
      <c r="I204" s="118"/>
      <c r="J204" s="118"/>
    </row>
    <row r="205" spans="1:12" x14ac:dyDescent="0.25">
      <c r="B205" s="118"/>
      <c r="C205" s="118"/>
      <c r="D205" s="118"/>
      <c r="E205" s="118"/>
      <c r="F205" s="118"/>
      <c r="G205" s="118"/>
      <c r="H205" s="118"/>
      <c r="I205" s="118"/>
      <c r="J205" s="118"/>
    </row>
    <row r="206" spans="1:12" x14ac:dyDescent="0.25">
      <c r="A206" s="1" t="s">
        <v>687</v>
      </c>
      <c r="B206" s="118"/>
      <c r="C206" s="118"/>
      <c r="D206" s="118"/>
      <c r="E206" s="118"/>
      <c r="F206" s="118"/>
      <c r="G206" s="118"/>
      <c r="H206" s="118"/>
      <c r="I206" s="118"/>
      <c r="J206" s="118"/>
    </row>
    <row r="207" spans="1:12" x14ac:dyDescent="0.25">
      <c r="B207" s="118"/>
      <c r="C207" s="118"/>
      <c r="D207" s="118"/>
      <c r="E207" s="118"/>
      <c r="F207" s="118"/>
      <c r="G207" s="118"/>
      <c r="H207" s="118"/>
      <c r="I207" s="118"/>
      <c r="J207" s="118"/>
    </row>
    <row r="208" spans="1:12" x14ac:dyDescent="0.25">
      <c r="A208" s="122" t="s">
        <v>24</v>
      </c>
      <c r="B208" s="19">
        <f>B141</f>
        <v>151.95692725177858</v>
      </c>
      <c r="C208" s="118" t="s">
        <v>57</v>
      </c>
      <c r="D208" s="118"/>
      <c r="E208" s="118"/>
      <c r="F208" s="118"/>
      <c r="G208" s="118"/>
      <c r="H208" s="118"/>
      <c r="I208" s="118"/>
      <c r="J208" s="118"/>
    </row>
    <row r="209" spans="1:10" x14ac:dyDescent="0.25">
      <c r="A209" s="122" t="s">
        <v>26</v>
      </c>
      <c r="B209" s="19">
        <f>B140</f>
        <v>0.54200000000000004</v>
      </c>
      <c r="C209" s="118" t="s">
        <v>48</v>
      </c>
      <c r="D209" s="118"/>
      <c r="E209" s="118"/>
      <c r="F209" s="118"/>
      <c r="G209" s="118"/>
      <c r="H209" s="118"/>
      <c r="I209" s="118"/>
      <c r="J209" s="118"/>
    </row>
    <row r="210" spans="1:10" x14ac:dyDescent="0.25">
      <c r="A210" s="122" t="s">
        <v>688</v>
      </c>
      <c r="B210" s="19">
        <f>0.277*B208/B209</f>
        <v>77.660643632366543</v>
      </c>
      <c r="C210" s="118" t="s">
        <v>203</v>
      </c>
      <c r="D210" s="118"/>
      <c r="E210" s="118"/>
      <c r="F210" s="118"/>
      <c r="G210" s="118"/>
      <c r="H210" s="118"/>
      <c r="I210" s="118"/>
      <c r="J210" s="118"/>
    </row>
    <row r="211" spans="1:10" x14ac:dyDescent="0.25">
      <c r="B211" s="118"/>
      <c r="C211" s="118"/>
      <c r="D211" s="118"/>
      <c r="E211" s="118"/>
      <c r="F211" s="118"/>
      <c r="G211" s="118"/>
      <c r="H211" s="118"/>
      <c r="I211" s="118"/>
      <c r="J211" s="118"/>
    </row>
    <row r="212" spans="1:10" x14ac:dyDescent="0.25">
      <c r="B212" s="118"/>
      <c r="C212" s="118"/>
      <c r="D212" s="118"/>
      <c r="E212" s="118"/>
      <c r="F212" s="118"/>
      <c r="G212" s="118"/>
      <c r="H212" s="118"/>
      <c r="I212" s="118"/>
      <c r="J212" s="118"/>
    </row>
    <row r="213" spans="1:10" x14ac:dyDescent="0.25">
      <c r="A213" s="122" t="s">
        <v>689</v>
      </c>
      <c r="B213" s="18">
        <v>102</v>
      </c>
      <c r="C213" s="118" t="s">
        <v>52</v>
      </c>
      <c r="D213" s="118"/>
      <c r="E213" s="118"/>
      <c r="F213" s="118"/>
      <c r="G213" s="118"/>
      <c r="H213" s="118"/>
      <c r="I213" s="118"/>
      <c r="J213" s="118"/>
    </row>
    <row r="214" spans="1:10" x14ac:dyDescent="0.25">
      <c r="A214" s="122" t="s">
        <v>26</v>
      </c>
      <c r="B214" s="19">
        <f>B209</f>
        <v>0.54200000000000004</v>
      </c>
      <c r="C214" s="118" t="s">
        <v>48</v>
      </c>
      <c r="D214" s="118"/>
      <c r="E214" s="118"/>
      <c r="F214" s="118"/>
      <c r="G214" s="118"/>
      <c r="H214" s="118"/>
    </row>
    <row r="215" spans="1:10" x14ac:dyDescent="0.25">
      <c r="A215" s="122" t="s">
        <v>690</v>
      </c>
      <c r="B215" s="34">
        <f>(B214*60)/(B213*3.1415/1000)</f>
        <v>101.48767449045512</v>
      </c>
      <c r="C215" s="118" t="s">
        <v>347</v>
      </c>
      <c r="D215" s="118"/>
      <c r="F215" s="118"/>
      <c r="G215" s="122" t="s">
        <v>691</v>
      </c>
      <c r="H215" s="123">
        <f>B210+B218</f>
        <v>85.360643632366546</v>
      </c>
    </row>
    <row r="216" spans="1:10" x14ac:dyDescent="0.25">
      <c r="D216" s="118"/>
      <c r="F216" s="118"/>
      <c r="G216" s="118"/>
    </row>
    <row r="217" spans="1:10" x14ac:dyDescent="0.25">
      <c r="A217" s="4" t="s">
        <v>692</v>
      </c>
      <c r="B217" s="18">
        <v>9.11</v>
      </c>
      <c r="C217" s="118" t="s">
        <v>46</v>
      </c>
      <c r="D217" s="118"/>
      <c r="F217" s="118"/>
      <c r="G217" s="118"/>
    </row>
    <row r="218" spans="1:10" x14ac:dyDescent="0.25">
      <c r="A218" s="4" t="s">
        <v>693</v>
      </c>
      <c r="B218" s="18">
        <v>7.7</v>
      </c>
      <c r="C218" s="118" t="s">
        <v>203</v>
      </c>
      <c r="D218" s="118"/>
      <c r="F218" s="118" t="s">
        <v>694</v>
      </c>
    </row>
    <row r="219" spans="1:10" x14ac:dyDescent="0.25">
      <c r="A219" s="4" t="s">
        <v>695</v>
      </c>
      <c r="B219" s="18">
        <v>3.5</v>
      </c>
      <c r="C219" s="118" t="s">
        <v>133</v>
      </c>
      <c r="D219" s="118"/>
    </row>
    <row r="220" spans="1:10" x14ac:dyDescent="0.25">
      <c r="A220" s="4" t="s">
        <v>696</v>
      </c>
      <c r="B220" s="18">
        <v>0.35</v>
      </c>
      <c r="C220" s="118" t="s">
        <v>58</v>
      </c>
      <c r="D220" s="118"/>
      <c r="F220" s="4" t="s">
        <v>697</v>
      </c>
      <c r="G220" s="18">
        <v>15</v>
      </c>
      <c r="H220" s="1" t="s">
        <v>698</v>
      </c>
    </row>
    <row r="221" spans="1:10" x14ac:dyDescent="0.25">
      <c r="A221" s="4" t="s">
        <v>699</v>
      </c>
      <c r="B221" s="18">
        <v>35</v>
      </c>
      <c r="C221" s="118" t="s">
        <v>172</v>
      </c>
      <c r="D221" s="118"/>
      <c r="F221" s="4" t="s">
        <v>313</v>
      </c>
      <c r="G221" s="18">
        <v>48</v>
      </c>
      <c r="H221" s="1" t="s">
        <v>700</v>
      </c>
    </row>
    <row r="222" spans="1:10" x14ac:dyDescent="0.25">
      <c r="A222" s="4" t="s">
        <v>701</v>
      </c>
      <c r="B222" s="18">
        <v>0.6</v>
      </c>
      <c r="C222" s="118" t="s">
        <v>46</v>
      </c>
      <c r="D222" s="118"/>
      <c r="F222" s="4" t="s">
        <v>702</v>
      </c>
      <c r="G222" s="19">
        <f>G220*G221</f>
        <v>720</v>
      </c>
      <c r="H222" s="1" t="s">
        <v>703</v>
      </c>
    </row>
    <row r="223" spans="1:10" x14ac:dyDescent="0.25">
      <c r="A223" s="4" t="s">
        <v>704</v>
      </c>
      <c r="B223" s="19">
        <f>(B222/2+(1-B222)/2*POWER(SIN(B221),2))*B210*B220+B218*B220/6+B219/2</f>
        <v>11.3502175824233</v>
      </c>
      <c r="C223" s="118" t="s">
        <v>133</v>
      </c>
      <c r="D223" s="118"/>
      <c r="I223" s="118"/>
      <c r="J223" s="118"/>
    </row>
    <row r="224" spans="1:10" x14ac:dyDescent="0.25">
      <c r="D224" s="118"/>
      <c r="I224" s="118"/>
      <c r="J224" s="118"/>
    </row>
    <row r="225" spans="1:10" x14ac:dyDescent="0.25">
      <c r="A225" s="118" t="s">
        <v>116</v>
      </c>
      <c r="B225" s="118"/>
      <c r="C225" s="118"/>
      <c r="D225" s="118"/>
      <c r="E225" s="118"/>
      <c r="F225" s="118"/>
      <c r="G225" s="118"/>
      <c r="H225" s="118"/>
      <c r="I225" s="118"/>
      <c r="J225" s="118"/>
    </row>
    <row r="226" spans="1:10" x14ac:dyDescent="0.25">
      <c r="A226" s="1" t="s">
        <v>705</v>
      </c>
      <c r="B226" s="19">
        <f>B223*B217</f>
        <v>103.40048217587625</v>
      </c>
      <c r="C226" s="118" t="s">
        <v>133</v>
      </c>
      <c r="D226" s="118" t="s">
        <v>1209</v>
      </c>
      <c r="E226" s="118"/>
      <c r="F226" s="118"/>
      <c r="G226" s="118" t="s">
        <v>707</v>
      </c>
      <c r="H226" s="118"/>
      <c r="I226" s="118"/>
      <c r="J226" s="118"/>
    </row>
    <row r="227" spans="1:10" x14ac:dyDescent="0.25">
      <c r="B227"/>
      <c r="C227" s="118"/>
      <c r="D227" s="118"/>
      <c r="E227" s="118"/>
      <c r="F227" s="118"/>
      <c r="G227" s="118"/>
      <c r="H227" s="118"/>
      <c r="I227" s="118"/>
      <c r="J227" s="118"/>
    </row>
    <row r="228" spans="1:10" x14ac:dyDescent="0.25">
      <c r="A228" s="4"/>
    </row>
    <row r="229" spans="1:10" x14ac:dyDescent="0.25">
      <c r="A229" s="4"/>
    </row>
    <row r="230" spans="1:10" ht="13.8" x14ac:dyDescent="0.25">
      <c r="A230" s="58" t="s">
        <v>1210</v>
      </c>
    </row>
    <row r="231" spans="1:10" ht="13.8" x14ac:dyDescent="0.25">
      <c r="A231" s="58"/>
    </row>
    <row r="233" spans="1:10" x14ac:dyDescent="0.25">
      <c r="B233" s="1" t="s">
        <v>709</v>
      </c>
    </row>
    <row r="234" spans="1:10" x14ac:dyDescent="0.25">
      <c r="B234" s="1" t="s">
        <v>710</v>
      </c>
    </row>
    <row r="236" spans="1:10" x14ac:dyDescent="0.25">
      <c r="A236" s="1" t="s">
        <v>711</v>
      </c>
    </row>
    <row r="237" spans="1:10" x14ac:dyDescent="0.25">
      <c r="A237" s="1" t="s">
        <v>712</v>
      </c>
    </row>
    <row r="238" spans="1:10" x14ac:dyDescent="0.25">
      <c r="A238" s="1" t="s">
        <v>681</v>
      </c>
    </row>
    <row r="239" spans="1:10" x14ac:dyDescent="0.25">
      <c r="A239" s="1" t="s">
        <v>663</v>
      </c>
    </row>
    <row r="240" spans="1:10" x14ac:dyDescent="0.25">
      <c r="A240" s="1" t="s">
        <v>664</v>
      </c>
    </row>
    <row r="244" spans="1:10" x14ac:dyDescent="0.25">
      <c r="A244" s="122" t="s">
        <v>713</v>
      </c>
      <c r="B244" s="18">
        <v>1.05</v>
      </c>
      <c r="C244" s="118" t="s">
        <v>46</v>
      </c>
    </row>
    <row r="245" spans="1:10" x14ac:dyDescent="0.25">
      <c r="A245" s="122" t="s">
        <v>714</v>
      </c>
      <c r="B245" s="19">
        <f>B220</f>
        <v>0.35</v>
      </c>
      <c r="C245" s="118" t="s">
        <v>58</v>
      </c>
    </row>
    <row r="246" spans="1:10" x14ac:dyDescent="0.25">
      <c r="A246" s="122" t="s">
        <v>715</v>
      </c>
      <c r="B246" s="19">
        <f>B218</f>
        <v>7.7</v>
      </c>
      <c r="C246" s="118" t="s">
        <v>203</v>
      </c>
      <c r="D246" s="118"/>
      <c r="E246" s="118"/>
      <c r="F246" s="118"/>
      <c r="G246" s="118"/>
      <c r="H246" s="118"/>
      <c r="I246" s="118"/>
      <c r="J246" s="118"/>
    </row>
    <row r="247" spans="1:10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</row>
    <row r="248" spans="1:10" x14ac:dyDescent="0.25">
      <c r="A248" s="118" t="s">
        <v>116</v>
      </c>
      <c r="B248" s="118"/>
      <c r="C248" s="118"/>
      <c r="D248" s="118"/>
      <c r="E248" s="118"/>
      <c r="F248" s="118"/>
      <c r="G248" s="118"/>
      <c r="H248" s="118"/>
      <c r="I248" s="118"/>
      <c r="J248" s="118"/>
    </row>
    <row r="249" spans="1:10" x14ac:dyDescent="0.25">
      <c r="A249" s="122" t="s">
        <v>716</v>
      </c>
      <c r="B249" s="19">
        <f>0.00068*(B210+B246)+(B244/B245)</f>
        <v>3.0580452376700098</v>
      </c>
      <c r="C249" s="118" t="s">
        <v>133</v>
      </c>
      <c r="D249" s="118"/>
      <c r="E249" s="118"/>
      <c r="F249" s="118"/>
      <c r="G249" s="118"/>
      <c r="H249" s="118"/>
      <c r="I249" s="118"/>
      <c r="J249" s="118"/>
    </row>
    <row r="250" spans="1:10" x14ac:dyDescent="0.25">
      <c r="A250" s="122"/>
      <c r="B250"/>
      <c r="C250" s="118"/>
      <c r="D250" s="118"/>
      <c r="E250" s="118"/>
      <c r="F250" s="118"/>
      <c r="G250" s="118"/>
      <c r="H250" s="118"/>
      <c r="I250" s="118"/>
      <c r="J250" s="118"/>
    </row>
    <row r="252" spans="1:10" x14ac:dyDescent="0.25">
      <c r="B252" s="118"/>
      <c r="C252" s="118"/>
      <c r="D252" s="118"/>
      <c r="E252" s="118"/>
      <c r="F252" s="118"/>
      <c r="G252" s="118"/>
      <c r="H252" s="118"/>
      <c r="I252" s="118"/>
      <c r="J252" s="118"/>
    </row>
    <row r="253" spans="1:10" ht="13.8" x14ac:dyDescent="0.25">
      <c r="A253" s="58" t="s">
        <v>1211</v>
      </c>
      <c r="B253" s="118"/>
      <c r="C253" s="118"/>
      <c r="D253" s="118"/>
      <c r="E253" s="118"/>
      <c r="F253" s="118"/>
      <c r="G253" s="118"/>
      <c r="H253" s="118"/>
      <c r="I253" s="118"/>
      <c r="J253" s="118"/>
    </row>
    <row r="255" spans="1:10" x14ac:dyDescent="0.25">
      <c r="B255" s="1" t="s">
        <v>718</v>
      </c>
    </row>
    <row r="257" spans="1:3" x14ac:dyDescent="0.25">
      <c r="A257" s="1" t="s">
        <v>719</v>
      </c>
    </row>
    <row r="258" spans="1:3" x14ac:dyDescent="0.25">
      <c r="A258" s="1" t="s">
        <v>720</v>
      </c>
    </row>
    <row r="259" spans="1:3" x14ac:dyDescent="0.25">
      <c r="A259" s="1" t="s">
        <v>1212</v>
      </c>
    </row>
    <row r="260" spans="1:3" x14ac:dyDescent="0.25">
      <c r="A260" s="1" t="s">
        <v>722</v>
      </c>
    </row>
    <row r="261" spans="1:3" x14ac:dyDescent="0.25">
      <c r="A261" s="1" t="s">
        <v>723</v>
      </c>
    </row>
    <row r="262" spans="1:3" x14ac:dyDescent="0.25">
      <c r="A262" s="1" t="s">
        <v>724</v>
      </c>
    </row>
    <row r="264" spans="1:3" x14ac:dyDescent="0.25">
      <c r="A264" s="1" t="s">
        <v>344</v>
      </c>
    </row>
    <row r="265" spans="1:3" x14ac:dyDescent="0.25">
      <c r="A265" s="4" t="s">
        <v>725</v>
      </c>
      <c r="B265" s="18">
        <f>22.7*2</f>
        <v>45.4</v>
      </c>
      <c r="C265" s="1" t="s">
        <v>46</v>
      </c>
    </row>
    <row r="266" spans="1:3" x14ac:dyDescent="0.25">
      <c r="A266" s="4" t="s">
        <v>726</v>
      </c>
      <c r="B266" s="18">
        <v>0</v>
      </c>
      <c r="C266" s="1" t="s">
        <v>46</v>
      </c>
    </row>
    <row r="267" spans="1:3" x14ac:dyDescent="0.25">
      <c r="A267" s="4" t="s">
        <v>727</v>
      </c>
      <c r="B267" s="18">
        <v>0</v>
      </c>
      <c r="C267" s="1" t="s">
        <v>728</v>
      </c>
    </row>
    <row r="268" spans="1:3" x14ac:dyDescent="0.25">
      <c r="A268" s="4" t="s">
        <v>729</v>
      </c>
      <c r="B268" s="18">
        <v>0</v>
      </c>
      <c r="C268" s="1" t="s">
        <v>46</v>
      </c>
    </row>
    <row r="269" spans="1:3" x14ac:dyDescent="0.25">
      <c r="A269" s="4" t="s">
        <v>730</v>
      </c>
      <c r="B269" s="19">
        <f>B164</f>
        <v>30</v>
      </c>
      <c r="C269" s="1" t="s">
        <v>731</v>
      </c>
    </row>
    <row r="270" spans="1:3" x14ac:dyDescent="0.25">
      <c r="A270" s="4" t="s">
        <v>635</v>
      </c>
      <c r="B270" s="19">
        <f>B145</f>
        <v>22.877959602906664</v>
      </c>
      <c r="C270" s="1" t="s">
        <v>133</v>
      </c>
    </row>
    <row r="271" spans="1:3" x14ac:dyDescent="0.25">
      <c r="A271" s="4" t="s">
        <v>654</v>
      </c>
      <c r="B271" s="19">
        <f>B169</f>
        <v>0</v>
      </c>
      <c r="C271" s="1" t="s">
        <v>133</v>
      </c>
    </row>
    <row r="273" spans="1:3" x14ac:dyDescent="0.25">
      <c r="A273" s="4" t="s">
        <v>55</v>
      </c>
    </row>
    <row r="274" spans="1:3" x14ac:dyDescent="0.25">
      <c r="A274" s="4" t="s">
        <v>732</v>
      </c>
      <c r="B274" s="19">
        <f>B265+B266+B267+B268+B269+B270+B271</f>
        <v>98.277959602906662</v>
      </c>
      <c r="C274" s="1" t="s">
        <v>133</v>
      </c>
    </row>
    <row r="276" spans="1:3" x14ac:dyDescent="0.25">
      <c r="A276" s="3" t="s">
        <v>1213</v>
      </c>
    </row>
    <row r="277" spans="1:3" x14ac:dyDescent="0.25">
      <c r="A277" s="3"/>
    </row>
    <row r="278" spans="1:3" x14ac:dyDescent="0.25">
      <c r="B278" s="1" t="s">
        <v>1214</v>
      </c>
    </row>
    <row r="280" spans="1:3" x14ac:dyDescent="0.25">
      <c r="A280" s="1" t="s">
        <v>23</v>
      </c>
    </row>
    <row r="281" spans="1:3" x14ac:dyDescent="0.25">
      <c r="B281" s="1" t="s">
        <v>735</v>
      </c>
    </row>
    <row r="282" spans="1:3" x14ac:dyDescent="0.25">
      <c r="B282" s="1" t="s">
        <v>736</v>
      </c>
    </row>
    <row r="283" spans="1:3" x14ac:dyDescent="0.25">
      <c r="B283" s="1" t="s">
        <v>737</v>
      </c>
    </row>
    <row r="284" spans="1:3" x14ac:dyDescent="0.25">
      <c r="B284" s="1" t="s">
        <v>738</v>
      </c>
    </row>
    <row r="285" spans="1:3" x14ac:dyDescent="0.25">
      <c r="B285" s="1" t="s">
        <v>739</v>
      </c>
    </row>
    <row r="286" spans="1:3" x14ac:dyDescent="0.25">
      <c r="B286" s="1" t="s">
        <v>740</v>
      </c>
    </row>
    <row r="287" spans="1:3" x14ac:dyDescent="0.25">
      <c r="B287" s="1" t="s">
        <v>1215</v>
      </c>
    </row>
    <row r="288" spans="1:3" x14ac:dyDescent="0.25">
      <c r="A288" s="1" t="s">
        <v>91</v>
      </c>
    </row>
    <row r="289" spans="1:7" x14ac:dyDescent="0.25">
      <c r="A289" s="4" t="s">
        <v>742</v>
      </c>
      <c r="B289" s="18">
        <v>2.2999999999999998</v>
      </c>
      <c r="C289" s="1" t="s">
        <v>58</v>
      </c>
      <c r="D289" s="43">
        <f>DEGREES(ASIN(B290/B289))</f>
        <v>0</v>
      </c>
      <c r="E289" s="38" t="s">
        <v>172</v>
      </c>
    </row>
    <row r="290" spans="1:7" x14ac:dyDescent="0.25">
      <c r="A290" s="4" t="s">
        <v>743</v>
      </c>
      <c r="B290" s="18">
        <v>0</v>
      </c>
      <c r="C290" s="1" t="s">
        <v>58</v>
      </c>
    </row>
    <row r="291" spans="1:7" x14ac:dyDescent="0.25">
      <c r="A291" s="4" t="s">
        <v>744</v>
      </c>
      <c r="B291" s="19">
        <f>B210</f>
        <v>77.660643632366543</v>
      </c>
      <c r="C291" s="1" t="s">
        <v>203</v>
      </c>
      <c r="D291" s="241" t="s">
        <v>691</v>
      </c>
      <c r="E291" s="241"/>
      <c r="F291" s="19">
        <f>B291+B292</f>
        <v>85.360643632366546</v>
      </c>
      <c r="G291" s="1" t="s">
        <v>203</v>
      </c>
    </row>
    <row r="292" spans="1:7" x14ac:dyDescent="0.25">
      <c r="A292" s="4" t="s">
        <v>715</v>
      </c>
      <c r="B292" s="19">
        <f>B246</f>
        <v>7.7</v>
      </c>
      <c r="C292" s="1" t="s">
        <v>203</v>
      </c>
    </row>
    <row r="293" spans="1:7" x14ac:dyDescent="0.25">
      <c r="A293" s="4" t="s">
        <v>745</v>
      </c>
      <c r="B293" s="19">
        <f>B249</f>
        <v>3.0580452376700098</v>
      </c>
      <c r="C293" s="1" t="s">
        <v>203</v>
      </c>
    </row>
    <row r="294" spans="1:7" x14ac:dyDescent="0.25">
      <c r="A294" s="4" t="s">
        <v>746</v>
      </c>
      <c r="B294" s="18">
        <v>0.02</v>
      </c>
      <c r="C294" s="1" t="s">
        <v>133</v>
      </c>
    </row>
    <row r="295" spans="1:7" x14ac:dyDescent="0.25">
      <c r="A295" s="4" t="s">
        <v>732</v>
      </c>
      <c r="B295" s="19">
        <f>B274</f>
        <v>98.277959602906662</v>
      </c>
      <c r="C295" s="1" t="s">
        <v>133</v>
      </c>
    </row>
    <row r="297" spans="1:7" x14ac:dyDescent="0.25">
      <c r="A297" s="4" t="s">
        <v>55</v>
      </c>
    </row>
    <row r="298" spans="1:7" x14ac:dyDescent="0.25">
      <c r="A298" s="4" t="s">
        <v>747</v>
      </c>
      <c r="B298" s="19">
        <f>B289*(B293+B294*(B291+B292)+0.015*B292)+B290*B291+B295</f>
        <v>109.50370325663654</v>
      </c>
      <c r="C298" s="1" t="s">
        <v>748</v>
      </c>
    </row>
    <row r="300" spans="1:7" x14ac:dyDescent="0.25">
      <c r="A300" s="3" t="s">
        <v>1216</v>
      </c>
    </row>
    <row r="302" spans="1:7" x14ac:dyDescent="0.25">
      <c r="B302" s="1" t="s">
        <v>750</v>
      </c>
    </row>
    <row r="303" spans="1:7" x14ac:dyDescent="0.25">
      <c r="B303" s="42" t="s">
        <v>751</v>
      </c>
    </row>
    <row r="304" spans="1:7" x14ac:dyDescent="0.25">
      <c r="A304" s="42" t="s">
        <v>91</v>
      </c>
    </row>
    <row r="305" spans="1:9" x14ac:dyDescent="0.25">
      <c r="A305" s="4" t="s">
        <v>326</v>
      </c>
      <c r="B305" s="18">
        <v>0.95</v>
      </c>
      <c r="C305" s="1" t="s">
        <v>212</v>
      </c>
    </row>
    <row r="306" spans="1:9" x14ac:dyDescent="0.25">
      <c r="A306" s="4" t="s">
        <v>141</v>
      </c>
      <c r="B306" s="19">
        <f>B298</f>
        <v>109.50370325663654</v>
      </c>
      <c r="C306" s="1" t="s">
        <v>133</v>
      </c>
    </row>
    <row r="307" spans="1:9" x14ac:dyDescent="0.25">
      <c r="A307" s="4" t="s">
        <v>26</v>
      </c>
      <c r="B307" s="19">
        <f>B140</f>
        <v>0.54200000000000004</v>
      </c>
      <c r="C307" s="1" t="s">
        <v>48</v>
      </c>
    </row>
    <row r="308" spans="1:9" x14ac:dyDescent="0.25">
      <c r="A308" s="42"/>
    </row>
    <row r="309" spans="1:9" x14ac:dyDescent="0.25">
      <c r="A309" s="4" t="s">
        <v>116</v>
      </c>
    </row>
    <row r="310" spans="1:9" x14ac:dyDescent="0.25">
      <c r="A310" s="4" t="s">
        <v>752</v>
      </c>
      <c r="B310" s="19">
        <f>B306*B307/(75*B305)</f>
        <v>0.83299659179083518</v>
      </c>
      <c r="C310" s="1" t="s">
        <v>249</v>
      </c>
      <c r="E310" s="1" t="s">
        <v>753</v>
      </c>
      <c r="G310" s="4" t="s">
        <v>754</v>
      </c>
      <c r="H310" s="19">
        <f>(9.8*B298*B472)/C478</f>
        <v>6.3479033606470141</v>
      </c>
      <c r="I310" s="1" t="s">
        <v>755</v>
      </c>
    </row>
    <row r="311" spans="1:9" x14ac:dyDescent="0.25">
      <c r="A311" s="4" t="s">
        <v>756</v>
      </c>
      <c r="B311" s="18">
        <v>2</v>
      </c>
      <c r="C311" s="1" t="s">
        <v>330</v>
      </c>
    </row>
    <row r="312" spans="1:9" x14ac:dyDescent="0.25">
      <c r="A312" s="4" t="s">
        <v>331</v>
      </c>
      <c r="B312" s="19">
        <f>B311/B310</f>
        <v>2.4009702076934771</v>
      </c>
      <c r="C312" s="1" t="s">
        <v>332</v>
      </c>
    </row>
    <row r="313" spans="1:9" x14ac:dyDescent="0.25">
      <c r="A313" s="4" t="s">
        <v>757</v>
      </c>
      <c r="B313" s="17">
        <f>B311*0.75</f>
        <v>1.5</v>
      </c>
      <c r="C313" s="1" t="s">
        <v>333</v>
      </c>
    </row>
    <row r="314" spans="1:9" x14ac:dyDescent="0.25">
      <c r="A314" s="42"/>
    </row>
    <row r="315" spans="1:9" x14ac:dyDescent="0.25">
      <c r="A315" s="3" t="s">
        <v>1217</v>
      </c>
    </row>
    <row r="316" spans="1:9" x14ac:dyDescent="0.25">
      <c r="A316" s="3"/>
    </row>
    <row r="317" spans="1:9" x14ac:dyDescent="0.25">
      <c r="A317" s="3" t="s">
        <v>1218</v>
      </c>
    </row>
    <row r="319" spans="1:9" x14ac:dyDescent="0.25">
      <c r="B319" s="1" t="s">
        <v>760</v>
      </c>
    </row>
    <row r="320" spans="1:9" x14ac:dyDescent="0.25">
      <c r="B320" s="1" t="s">
        <v>761</v>
      </c>
    </row>
    <row r="321" spans="1:3" x14ac:dyDescent="0.25">
      <c r="B321" s="1" t="s">
        <v>762</v>
      </c>
    </row>
    <row r="323" spans="1:3" x14ac:dyDescent="0.25">
      <c r="A323" s="1" t="s">
        <v>763</v>
      </c>
    </row>
    <row r="325" spans="1:3" x14ac:dyDescent="0.25">
      <c r="A325" s="1" t="s">
        <v>764</v>
      </c>
    </row>
    <row r="326" spans="1:3" x14ac:dyDescent="0.25">
      <c r="A326" s="4" t="s">
        <v>744</v>
      </c>
      <c r="B326" s="19">
        <f>B210</f>
        <v>77.660643632366543</v>
      </c>
      <c r="C326" s="1" t="s">
        <v>203</v>
      </c>
    </row>
    <row r="327" spans="1:3" x14ac:dyDescent="0.25">
      <c r="A327" s="4" t="s">
        <v>715</v>
      </c>
      <c r="B327" s="19">
        <f>B246</f>
        <v>7.7</v>
      </c>
      <c r="C327" s="1" t="s">
        <v>203</v>
      </c>
    </row>
    <row r="328" spans="1:3" x14ac:dyDescent="0.25">
      <c r="A328" s="4" t="s">
        <v>714</v>
      </c>
      <c r="B328" s="19">
        <f>B245</f>
        <v>0.35</v>
      </c>
      <c r="C328" s="1" t="s">
        <v>58</v>
      </c>
    </row>
    <row r="330" spans="1:3" x14ac:dyDescent="0.25">
      <c r="A330" s="4" t="s">
        <v>116</v>
      </c>
    </row>
    <row r="331" spans="1:3" x14ac:dyDescent="0.25">
      <c r="A331" s="4" t="s">
        <v>765</v>
      </c>
      <c r="B331" s="19">
        <f>6.25*(B326+B327)*B328</f>
        <v>186.72640794580184</v>
      </c>
      <c r="C331" s="1" t="s">
        <v>133</v>
      </c>
    </row>
    <row r="333" spans="1:3" x14ac:dyDescent="0.25">
      <c r="A333" s="3" t="s">
        <v>1219</v>
      </c>
    </row>
    <row r="335" spans="1:3" x14ac:dyDescent="0.25">
      <c r="B335" s="1" t="s">
        <v>767</v>
      </c>
    </row>
    <row r="337" spans="1:3" x14ac:dyDescent="0.25">
      <c r="B337" s="1" t="s">
        <v>768</v>
      </c>
    </row>
    <row r="339" spans="1:3" x14ac:dyDescent="0.25">
      <c r="A339" s="4" t="s">
        <v>207</v>
      </c>
    </row>
    <row r="340" spans="1:3" x14ac:dyDescent="0.25">
      <c r="A340" s="4" t="s">
        <v>276</v>
      </c>
      <c r="B340" s="19">
        <f>B289</f>
        <v>2.2999999999999998</v>
      </c>
      <c r="C340" s="1" t="s">
        <v>58</v>
      </c>
    </row>
    <row r="341" spans="1:3" x14ac:dyDescent="0.25">
      <c r="A341" s="4" t="s">
        <v>715</v>
      </c>
      <c r="B341" s="19">
        <f>B246</f>
        <v>7.7</v>
      </c>
      <c r="C341" s="1" t="s">
        <v>203</v>
      </c>
    </row>
    <row r="343" spans="1:3" x14ac:dyDescent="0.25">
      <c r="A343" s="4" t="s">
        <v>55</v>
      </c>
    </row>
    <row r="344" spans="1:3" x14ac:dyDescent="0.25">
      <c r="A344" s="4" t="s">
        <v>769</v>
      </c>
      <c r="B344" s="19">
        <f>0.015*B340*B341</f>
        <v>0.26565</v>
      </c>
      <c r="C344" s="1" t="s">
        <v>133</v>
      </c>
    </row>
    <row r="346" spans="1:3" x14ac:dyDescent="0.25">
      <c r="A346" s="3" t="s">
        <v>1220</v>
      </c>
    </row>
    <row r="348" spans="1:3" x14ac:dyDescent="0.25">
      <c r="B348" s="1" t="s">
        <v>162</v>
      </c>
    </row>
    <row r="349" spans="1:3" x14ac:dyDescent="0.25">
      <c r="B349" s="51" t="s">
        <v>163</v>
      </c>
    </row>
    <row r="350" spans="1:3" x14ac:dyDescent="0.25">
      <c r="B350" s="1" t="s">
        <v>164</v>
      </c>
    </row>
    <row r="352" spans="1:3" x14ac:dyDescent="0.25">
      <c r="B352" s="1" t="s">
        <v>165</v>
      </c>
    </row>
    <row r="353" spans="1:3" x14ac:dyDescent="0.25">
      <c r="B353" s="1" t="s">
        <v>166</v>
      </c>
    </row>
    <row r="354" spans="1:3" x14ac:dyDescent="0.25">
      <c r="B354" s="1" t="s">
        <v>167</v>
      </c>
    </row>
    <row r="356" spans="1:3" x14ac:dyDescent="0.25">
      <c r="B356" s="1" t="s">
        <v>168</v>
      </c>
    </row>
    <row r="357" spans="1:3" x14ac:dyDescent="0.25">
      <c r="B357" s="1" t="s">
        <v>169</v>
      </c>
    </row>
    <row r="358" spans="1:3" x14ac:dyDescent="0.25">
      <c r="A358" s="1" t="s">
        <v>43</v>
      </c>
    </row>
    <row r="359" spans="1:3" x14ac:dyDescent="0.25">
      <c r="A359" s="4" t="s">
        <v>170</v>
      </c>
      <c r="B359" s="18">
        <v>0.35</v>
      </c>
      <c r="C359" s="1" t="s">
        <v>46</v>
      </c>
    </row>
    <row r="360" spans="1:3" x14ac:dyDescent="0.25">
      <c r="A360" s="4" t="s">
        <v>171</v>
      </c>
      <c r="B360" s="18">
        <v>180</v>
      </c>
      <c r="C360" s="1" t="s">
        <v>172</v>
      </c>
    </row>
    <row r="362" spans="1:3" x14ac:dyDescent="0.25">
      <c r="A362" s="4" t="s">
        <v>116</v>
      </c>
    </row>
    <row r="363" spans="1:3" x14ac:dyDescent="0.25">
      <c r="A363" s="4" t="s">
        <v>173</v>
      </c>
      <c r="B363" s="19">
        <f>1/(POWER(2.71828,(0.0174*B359*B360)))</f>
        <v>0.33413864657348746</v>
      </c>
    </row>
    <row r="365" spans="1:3" x14ac:dyDescent="0.25">
      <c r="A365" s="3" t="s">
        <v>1221</v>
      </c>
    </row>
    <row r="367" spans="1:3" x14ac:dyDescent="0.25">
      <c r="A367" s="1" t="s">
        <v>772</v>
      </c>
    </row>
    <row r="369" spans="2:2" x14ac:dyDescent="0.25">
      <c r="B369" s="1" t="s">
        <v>773</v>
      </c>
    </row>
    <row r="370" spans="2:2" x14ac:dyDescent="0.25">
      <c r="B370" s="1" t="s">
        <v>774</v>
      </c>
    </row>
    <row r="372" spans="2:2" x14ac:dyDescent="0.25">
      <c r="B372" s="1" t="s">
        <v>775</v>
      </c>
    </row>
    <row r="373" spans="2:2" x14ac:dyDescent="0.25">
      <c r="B373" s="1" t="s">
        <v>776</v>
      </c>
    </row>
    <row r="375" spans="2:2" x14ac:dyDescent="0.25">
      <c r="B375" s="1" t="s">
        <v>777</v>
      </c>
    </row>
    <row r="376" spans="2:2" x14ac:dyDescent="0.25">
      <c r="B376" s="1" t="s">
        <v>778</v>
      </c>
    </row>
    <row r="378" spans="2:2" x14ac:dyDescent="0.25">
      <c r="B378" s="1" t="s">
        <v>779</v>
      </c>
    </row>
    <row r="380" spans="2:2" x14ac:dyDescent="0.25">
      <c r="B380" s="1" t="s">
        <v>780</v>
      </c>
    </row>
    <row r="381" spans="2:2" x14ac:dyDescent="0.25">
      <c r="B381" s="1" t="s">
        <v>781</v>
      </c>
    </row>
    <row r="382" spans="2:2" x14ac:dyDescent="0.25">
      <c r="B382" s="1" t="s">
        <v>782</v>
      </c>
    </row>
    <row r="383" spans="2:2" x14ac:dyDescent="0.25">
      <c r="B383" s="1" t="s">
        <v>783</v>
      </c>
    </row>
    <row r="384" spans="2:2" x14ac:dyDescent="0.25">
      <c r="B384" s="1" t="s">
        <v>784</v>
      </c>
    </row>
    <row r="386" spans="1:5" x14ac:dyDescent="0.25">
      <c r="A386" s="1" t="s">
        <v>91</v>
      </c>
    </row>
    <row r="387" spans="1:5" x14ac:dyDescent="0.25">
      <c r="A387" s="4" t="s">
        <v>173</v>
      </c>
      <c r="B387" s="19">
        <f>B363</f>
        <v>0.33413864657348746</v>
      </c>
      <c r="C387" s="1" t="s">
        <v>46</v>
      </c>
    </row>
    <row r="388" spans="1:5" x14ac:dyDescent="0.25">
      <c r="A388" s="4" t="s">
        <v>141</v>
      </c>
      <c r="B388" s="19">
        <f>B298</f>
        <v>109.50370325663654</v>
      </c>
      <c r="C388" s="1" t="s">
        <v>133</v>
      </c>
    </row>
    <row r="389" spans="1:5" x14ac:dyDescent="0.25">
      <c r="A389" s="4" t="s">
        <v>785</v>
      </c>
      <c r="B389" s="19">
        <f>B331</f>
        <v>186.72640794580184</v>
      </c>
      <c r="C389" s="1" t="s">
        <v>133</v>
      </c>
    </row>
    <row r="390" spans="1:5" x14ac:dyDescent="0.25">
      <c r="A390" s="4" t="s">
        <v>111</v>
      </c>
      <c r="B390" s="19">
        <f>B290</f>
        <v>0</v>
      </c>
      <c r="C390" s="1" t="s">
        <v>58</v>
      </c>
    </row>
    <row r="391" spans="1:5" x14ac:dyDescent="0.25">
      <c r="A391" s="4" t="s">
        <v>715</v>
      </c>
      <c r="B391" s="19">
        <f>B246</f>
        <v>7.7</v>
      </c>
      <c r="C391" s="1" t="s">
        <v>203</v>
      </c>
    </row>
    <row r="392" spans="1:5" x14ac:dyDescent="0.25">
      <c r="A392" s="4" t="s">
        <v>769</v>
      </c>
      <c r="B392" s="19">
        <f>B344</f>
        <v>0.26565</v>
      </c>
      <c r="C392" s="1" t="s">
        <v>133</v>
      </c>
    </row>
    <row r="394" spans="1:5" x14ac:dyDescent="0.25">
      <c r="A394" s="4" t="s">
        <v>176</v>
      </c>
    </row>
    <row r="395" spans="1:5" x14ac:dyDescent="0.25">
      <c r="A395" s="4" t="s">
        <v>197</v>
      </c>
      <c r="B395" s="19">
        <f>(1+B387)*B388</f>
        <v>146.09312245759386</v>
      </c>
      <c r="C395" s="1" t="s">
        <v>133</v>
      </c>
    </row>
    <row r="396" spans="1:5" x14ac:dyDescent="0.25">
      <c r="A396" s="4" t="s">
        <v>197</v>
      </c>
      <c r="B396" s="126">
        <f>B388+B389+B390*B391-B392</f>
        <v>295.96446120243837</v>
      </c>
      <c r="C396" s="1" t="s">
        <v>791</v>
      </c>
      <c r="E396" s="1" t="s">
        <v>133</v>
      </c>
    </row>
    <row r="397" spans="1:5" x14ac:dyDescent="0.25">
      <c r="A397" s="4"/>
    </row>
    <row r="398" spans="1:5" x14ac:dyDescent="0.25">
      <c r="A398" s="4" t="s">
        <v>176</v>
      </c>
    </row>
    <row r="399" spans="1:5" x14ac:dyDescent="0.25">
      <c r="A399" s="4" t="s">
        <v>792</v>
      </c>
      <c r="B399" s="19">
        <f>B387*B388</f>
        <v>36.589419200957323</v>
      </c>
      <c r="C399" s="1" t="s">
        <v>133</v>
      </c>
    </row>
    <row r="400" spans="1:5" x14ac:dyDescent="0.25">
      <c r="A400" s="4" t="s">
        <v>792</v>
      </c>
      <c r="B400" s="19">
        <f>B389+B392-B390*B391</f>
        <v>186.99205794580183</v>
      </c>
      <c r="C400" s="1" t="s">
        <v>133</v>
      </c>
    </row>
    <row r="402" spans="1:4" x14ac:dyDescent="0.25">
      <c r="A402" s="4" t="s">
        <v>176</v>
      </c>
    </row>
    <row r="403" spans="1:4" x14ac:dyDescent="0.25">
      <c r="A403" s="4" t="s">
        <v>793</v>
      </c>
      <c r="B403" s="19">
        <f>B387*B388+B392-B390*B391</f>
        <v>36.855069200957324</v>
      </c>
      <c r="C403" s="1" t="s">
        <v>133</v>
      </c>
    </row>
    <row r="404" spans="1:4" x14ac:dyDescent="0.25">
      <c r="A404" s="4" t="s">
        <v>793</v>
      </c>
      <c r="B404" s="19">
        <f>B387*B388+B392-B390*B391</f>
        <v>36.855069200957324</v>
      </c>
      <c r="C404" s="1" t="s">
        <v>133</v>
      </c>
    </row>
    <row r="405" spans="1:4" x14ac:dyDescent="0.25">
      <c r="A405" s="4"/>
      <c r="B405"/>
    </row>
    <row r="406" spans="1:4" x14ac:dyDescent="0.25">
      <c r="A406" s="4" t="s">
        <v>176</v>
      </c>
      <c r="B406"/>
    </row>
    <row r="407" spans="1:4" x14ac:dyDescent="0.25">
      <c r="A407" s="4" t="s">
        <v>177</v>
      </c>
      <c r="B407" s="19">
        <f>2*B387*B388</f>
        <v>73.178838401914646</v>
      </c>
      <c r="C407" s="1" t="s">
        <v>133</v>
      </c>
      <c r="D407" s="1" t="s">
        <v>804</v>
      </c>
    </row>
    <row r="408" spans="1:4" x14ac:dyDescent="0.25">
      <c r="A408" s="4"/>
      <c r="B408"/>
    </row>
    <row r="409" spans="1:4" x14ac:dyDescent="0.25">
      <c r="A409" s="4" t="s">
        <v>178</v>
      </c>
      <c r="B409" s="44">
        <f>B289*1.5%</f>
        <v>3.4499999999999996E-2</v>
      </c>
      <c r="C409" s="1" t="s">
        <v>58</v>
      </c>
    </row>
    <row r="410" spans="1:4" x14ac:dyDescent="0.25">
      <c r="A410" s="4"/>
      <c r="B410"/>
    </row>
    <row r="412" spans="1:4" x14ac:dyDescent="0.25">
      <c r="A412" s="3" t="s">
        <v>806</v>
      </c>
    </row>
    <row r="413" spans="1:4" x14ac:dyDescent="0.25">
      <c r="A413" s="3"/>
    </row>
    <row r="414" spans="1:4" x14ac:dyDescent="0.25">
      <c r="A414" s="3" t="s">
        <v>807</v>
      </c>
    </row>
    <row r="415" spans="1:4" x14ac:dyDescent="0.25">
      <c r="A415" s="3"/>
    </row>
    <row r="416" spans="1:4" x14ac:dyDescent="0.25">
      <c r="A416" s="3"/>
      <c r="B416" s="1" t="s">
        <v>808</v>
      </c>
    </row>
    <row r="417" spans="1:3" x14ac:dyDescent="0.25">
      <c r="A417" s="3"/>
      <c r="B417" s="42" t="s">
        <v>183</v>
      </c>
    </row>
    <row r="418" spans="1:3" x14ac:dyDescent="0.25">
      <c r="A418" s="3"/>
      <c r="B418" s="42"/>
    </row>
    <row r="419" spans="1:3" x14ac:dyDescent="0.25">
      <c r="A419" s="3"/>
      <c r="B419" s="1" t="s">
        <v>809</v>
      </c>
    </row>
    <row r="420" spans="1:3" x14ac:dyDescent="0.25">
      <c r="A420" s="3"/>
      <c r="B420" s="1" t="s">
        <v>184</v>
      </c>
    </row>
    <row r="421" spans="1:3" x14ac:dyDescent="0.25">
      <c r="A421" s="52" t="s">
        <v>185</v>
      </c>
    </row>
    <row r="422" spans="1:3" x14ac:dyDescent="0.25">
      <c r="A422" s="53" t="s">
        <v>186</v>
      </c>
      <c r="B422" s="1" t="s">
        <v>187</v>
      </c>
    </row>
    <row r="423" spans="1:3" x14ac:dyDescent="0.25">
      <c r="A423" s="4" t="s">
        <v>188</v>
      </c>
      <c r="B423" s="1" t="s">
        <v>189</v>
      </c>
    </row>
    <row r="424" spans="1:3" x14ac:dyDescent="0.25">
      <c r="A424" s="4" t="s">
        <v>190</v>
      </c>
      <c r="B424" s="1" t="s">
        <v>191</v>
      </c>
    </row>
    <row r="425" spans="1:3" x14ac:dyDescent="0.25">
      <c r="A425" s="4" t="s">
        <v>197</v>
      </c>
      <c r="B425" s="1" t="s">
        <v>192</v>
      </c>
    </row>
    <row r="426" spans="1:3" x14ac:dyDescent="0.25">
      <c r="A426" s="4" t="s">
        <v>70</v>
      </c>
      <c r="B426" s="1" t="s">
        <v>193</v>
      </c>
    </row>
    <row r="427" spans="1:3" x14ac:dyDescent="0.25">
      <c r="A427" s="4" t="s">
        <v>194</v>
      </c>
      <c r="B427" s="1" t="s">
        <v>195</v>
      </c>
    </row>
    <row r="428" spans="1:3" x14ac:dyDescent="0.25">
      <c r="A428" s="4" t="s">
        <v>810</v>
      </c>
      <c r="B428" s="1" t="s">
        <v>811</v>
      </c>
    </row>
    <row r="429" spans="1:3" x14ac:dyDescent="0.25">
      <c r="A429" s="52" t="s">
        <v>43</v>
      </c>
    </row>
    <row r="430" spans="1:3" x14ac:dyDescent="0.25">
      <c r="A430" s="4" t="s">
        <v>190</v>
      </c>
      <c r="B430" s="19">
        <f>B99/10</f>
        <v>76.2</v>
      </c>
      <c r="C430" s="1" t="s">
        <v>196</v>
      </c>
    </row>
    <row r="431" spans="1:3" x14ac:dyDescent="0.25">
      <c r="A431" s="4" t="s">
        <v>197</v>
      </c>
      <c r="B431" s="19">
        <f>B396</f>
        <v>295.96446120243837</v>
      </c>
      <c r="C431" s="1" t="s">
        <v>133</v>
      </c>
    </row>
    <row r="432" spans="1:3" x14ac:dyDescent="0.25">
      <c r="A432" s="4" t="s">
        <v>188</v>
      </c>
      <c r="B432" s="19">
        <f>B431/B430</f>
        <v>3.8840480472760941</v>
      </c>
      <c r="C432" s="1" t="s">
        <v>198</v>
      </c>
    </row>
    <row r="433" spans="1:9" x14ac:dyDescent="0.25">
      <c r="A433" s="4" t="s">
        <v>70</v>
      </c>
      <c r="B433" s="18">
        <v>12</v>
      </c>
      <c r="C433" s="1" t="s">
        <v>71</v>
      </c>
      <c r="E433" s="241" t="s">
        <v>1222</v>
      </c>
      <c r="F433" s="241"/>
      <c r="G433" s="241"/>
    </row>
    <row r="434" spans="1:9" x14ac:dyDescent="0.25">
      <c r="A434" s="4"/>
    </row>
    <row r="435" spans="1:9" x14ac:dyDescent="0.25">
      <c r="A435" s="52" t="s">
        <v>55</v>
      </c>
    </row>
    <row r="436" spans="1:9" x14ac:dyDescent="0.25">
      <c r="A436" s="4" t="s">
        <v>186</v>
      </c>
      <c r="B436" s="19">
        <f>B432/B433</f>
        <v>0.32367067060634119</v>
      </c>
      <c r="C436" s="1" t="s">
        <v>81</v>
      </c>
      <c r="E436" s="1" t="s">
        <v>813</v>
      </c>
      <c r="H436" s="19">
        <f>B289/B121/60</f>
        <v>7.072570725707257E-2</v>
      </c>
    </row>
    <row r="437" spans="1:9" x14ac:dyDescent="0.25">
      <c r="A437" s="38" t="s">
        <v>199</v>
      </c>
      <c r="E437" s="1" t="s">
        <v>814</v>
      </c>
      <c r="H437" s="18">
        <v>5</v>
      </c>
      <c r="I437" s="1" t="s">
        <v>52</v>
      </c>
    </row>
    <row r="438" spans="1:9" x14ac:dyDescent="0.25">
      <c r="A438" s="4" t="s">
        <v>200</v>
      </c>
      <c r="B438" s="18">
        <v>2</v>
      </c>
      <c r="C438" s="1" t="s">
        <v>81</v>
      </c>
    </row>
    <row r="439" spans="1:9" x14ac:dyDescent="0.25">
      <c r="A439" s="4"/>
    </row>
    <row r="440" spans="1:9" x14ac:dyDescent="0.25">
      <c r="A440" s="4" t="s">
        <v>107</v>
      </c>
      <c r="B440" s="19">
        <f>B289*2+B472*3.1415+1.5</f>
        <v>7.1963834999999996</v>
      </c>
      <c r="C440" s="1" t="s">
        <v>58</v>
      </c>
    </row>
    <row r="441" spans="1:9" x14ac:dyDescent="0.25">
      <c r="A441" s="4"/>
    </row>
    <row r="442" spans="1:9" x14ac:dyDescent="0.25">
      <c r="A442" s="3" t="s">
        <v>815</v>
      </c>
    </row>
    <row r="443" spans="1:9" x14ac:dyDescent="0.25">
      <c r="A443" s="4"/>
    </row>
    <row r="444" spans="1:9" x14ac:dyDescent="0.25">
      <c r="B444" s="1" t="s">
        <v>205</v>
      </c>
    </row>
    <row r="445" spans="1:9" x14ac:dyDescent="0.25">
      <c r="B445" s="1" t="s">
        <v>206</v>
      </c>
    </row>
    <row r="446" spans="1:9" x14ac:dyDescent="0.25">
      <c r="A446" s="1" t="s">
        <v>207</v>
      </c>
    </row>
    <row r="447" spans="1:9" x14ac:dyDescent="0.25">
      <c r="A447" s="4" t="s">
        <v>197</v>
      </c>
      <c r="B447" s="19">
        <f>B431</f>
        <v>295.96446120243837</v>
      </c>
      <c r="C447" s="1" t="s">
        <v>133</v>
      </c>
    </row>
    <row r="448" spans="1:9" x14ac:dyDescent="0.25">
      <c r="A448" s="4" t="s">
        <v>190</v>
      </c>
      <c r="B448" s="19">
        <v>120</v>
      </c>
      <c r="C448" s="1" t="s">
        <v>196</v>
      </c>
    </row>
    <row r="449" spans="1:8" x14ac:dyDescent="0.25">
      <c r="A449" s="4" t="s">
        <v>208</v>
      </c>
      <c r="B449" s="19">
        <f>B438</f>
        <v>2</v>
      </c>
      <c r="C449" s="1" t="s">
        <v>46</v>
      </c>
    </row>
    <row r="450" spans="1:8" x14ac:dyDescent="0.25">
      <c r="A450" s="4" t="s">
        <v>209</v>
      </c>
      <c r="B450" s="19">
        <f>B433</f>
        <v>12</v>
      </c>
      <c r="C450" s="1" t="s">
        <v>210</v>
      </c>
      <c r="E450" s="1" t="s">
        <v>1223</v>
      </c>
      <c r="G450" s="19">
        <f>B438*B433*B430*9.8/1000</f>
        <v>17.922240000000002</v>
      </c>
      <c r="H450" s="1" t="s">
        <v>817</v>
      </c>
    </row>
    <row r="452" spans="1:8" x14ac:dyDescent="0.25">
      <c r="A452" s="4" t="s">
        <v>211</v>
      </c>
      <c r="B452" s="19">
        <f>B447*100/(B448*B449*B450)</f>
        <v>10.276543791751331</v>
      </c>
      <c r="C452" s="32" t="s">
        <v>212</v>
      </c>
      <c r="D452" s="1" t="s">
        <v>818</v>
      </c>
      <c r="F452" s="19">
        <f>B438*B433*B430/B447</f>
        <v>6.1791202652169419</v>
      </c>
    </row>
    <row r="453" spans="1:8" x14ac:dyDescent="0.25">
      <c r="A453" s="3"/>
    </row>
    <row r="454" spans="1:8" x14ac:dyDescent="0.25">
      <c r="A454" s="3" t="s">
        <v>819</v>
      </c>
    </row>
    <row r="455" spans="1:8" x14ac:dyDescent="0.25">
      <c r="A455" s="3"/>
    </row>
    <row r="456" spans="1:8" x14ac:dyDescent="0.25">
      <c r="A456" s="3" t="s">
        <v>820</v>
      </c>
    </row>
    <row r="457" spans="1:8" x14ac:dyDescent="0.25">
      <c r="A457" s="3"/>
    </row>
    <row r="458" spans="1:8" x14ac:dyDescent="0.25">
      <c r="B458" s="52" t="s">
        <v>335</v>
      </c>
    </row>
    <row r="459" spans="1:8" x14ac:dyDescent="0.25">
      <c r="B459" s="52" t="s">
        <v>336</v>
      </c>
    </row>
    <row r="460" spans="1:8" x14ac:dyDescent="0.25">
      <c r="A460" s="52"/>
    </row>
    <row r="461" spans="1:8" x14ac:dyDescent="0.25">
      <c r="B461" s="52" t="s">
        <v>337</v>
      </c>
    </row>
    <row r="462" spans="1:8" x14ac:dyDescent="0.25">
      <c r="B462" s="52" t="s">
        <v>338</v>
      </c>
    </row>
    <row r="463" spans="1:8" x14ac:dyDescent="0.25">
      <c r="A463" s="52" t="s">
        <v>23</v>
      </c>
    </row>
    <row r="464" spans="1:8" x14ac:dyDescent="0.25">
      <c r="B464" s="1" t="s">
        <v>339</v>
      </c>
    </row>
    <row r="465" spans="1:18" x14ac:dyDescent="0.25">
      <c r="B465" s="1" t="s">
        <v>340</v>
      </c>
      <c r="C465" s="130"/>
    </row>
    <row r="466" spans="1:18" x14ac:dyDescent="0.25">
      <c r="B466" s="1" t="s">
        <v>341</v>
      </c>
    </row>
    <row r="467" spans="1:18" x14ac:dyDescent="0.25">
      <c r="B467" s="1" t="s">
        <v>342</v>
      </c>
      <c r="C467" s="130"/>
    </row>
    <row r="468" spans="1:18" x14ac:dyDescent="0.25">
      <c r="B468" s="1" t="s">
        <v>343</v>
      </c>
      <c r="C468" s="130"/>
    </row>
    <row r="469" spans="1:18" x14ac:dyDescent="0.25">
      <c r="B469" s="130"/>
    </row>
    <row r="470" spans="1:18" x14ac:dyDescent="0.25">
      <c r="A470" s="1" t="s">
        <v>344</v>
      </c>
      <c r="B470" s="130"/>
      <c r="D470" s="38"/>
    </row>
    <row r="471" spans="1:18" x14ac:dyDescent="0.25">
      <c r="A471" s="4" t="s">
        <v>345</v>
      </c>
      <c r="B471" s="44">
        <f>(POWER(((6.56-((100-B452)/40))*(2*POWER(B438,1/2)+0.0122*B433)),2))*1.05/1000</f>
        <v>0.17316474466510909</v>
      </c>
      <c r="C471" s="1" t="s">
        <v>58</v>
      </c>
      <c r="D471" s="38"/>
    </row>
    <row r="472" spans="1:18" x14ac:dyDescent="0.25">
      <c r="A472" s="4" t="s">
        <v>114</v>
      </c>
      <c r="B472" s="131">
        <f>0.323+0.026</f>
        <v>0.34900000000000003</v>
      </c>
      <c r="C472" s="1" t="s">
        <v>58</v>
      </c>
      <c r="D472" s="1">
        <f>B472/B471</f>
        <v>2.0154217919758808</v>
      </c>
      <c r="F472" s="1" t="s">
        <v>821</v>
      </c>
      <c r="H472" s="18">
        <v>5</v>
      </c>
    </row>
    <row r="473" spans="1:18" x14ac:dyDescent="0.25">
      <c r="A473" s="4" t="s">
        <v>26</v>
      </c>
      <c r="B473" s="17">
        <f>B121</f>
        <v>0.54200000000000004</v>
      </c>
      <c r="C473" s="38" t="s">
        <v>48</v>
      </c>
      <c r="F473" s="1" t="s">
        <v>822</v>
      </c>
      <c r="H473" s="18">
        <v>5</v>
      </c>
    </row>
    <row r="474" spans="1:18" x14ac:dyDescent="0.25">
      <c r="A474" s="4" t="s">
        <v>346</v>
      </c>
      <c r="B474" s="18">
        <v>1750</v>
      </c>
      <c r="C474" s="38" t="s">
        <v>347</v>
      </c>
    </row>
    <row r="475" spans="1:18" x14ac:dyDescent="0.25">
      <c r="A475" s="4" t="s">
        <v>348</v>
      </c>
      <c r="B475" s="65">
        <f>B473*60/B472/3.1415</f>
        <v>29.661154149072839</v>
      </c>
      <c r="C475" s="38" t="s">
        <v>347</v>
      </c>
    </row>
    <row r="476" spans="1:18" x14ac:dyDescent="0.25">
      <c r="B476" s="130"/>
      <c r="D476" s="38"/>
    </row>
    <row r="477" spans="1:18" x14ac:dyDescent="0.25">
      <c r="A477" s="1" t="s">
        <v>349</v>
      </c>
    </row>
    <row r="478" spans="1:18" x14ac:dyDescent="0.25">
      <c r="A478" s="1" t="s">
        <v>350</v>
      </c>
      <c r="B478" s="66">
        <v>1</v>
      </c>
      <c r="C478" s="65">
        <f>B474/B475</f>
        <v>58.999727091020908</v>
      </c>
      <c r="F478" s="1" t="s">
        <v>824</v>
      </c>
      <c r="I478" s="252" t="s">
        <v>1389</v>
      </c>
      <c r="J478" s="253"/>
      <c r="K478" s="253"/>
      <c r="L478" s="253"/>
      <c r="M478" s="253"/>
      <c r="N478" s="253"/>
      <c r="O478" s="254"/>
    </row>
    <row r="480" spans="1:18" x14ac:dyDescent="0.25">
      <c r="A480" s="3" t="s">
        <v>825</v>
      </c>
      <c r="I480" s="255" t="s">
        <v>1390</v>
      </c>
      <c r="J480" s="256"/>
      <c r="K480" s="256"/>
      <c r="L480" s="256"/>
      <c r="M480" s="256"/>
      <c r="N480" s="256"/>
      <c r="O480" s="256"/>
      <c r="P480" s="256"/>
      <c r="Q480" s="256"/>
      <c r="R480" s="257"/>
    </row>
    <row r="482" spans="1:2" x14ac:dyDescent="0.25">
      <c r="A482" s="1" t="s">
        <v>826</v>
      </c>
    </row>
    <row r="484" spans="1:2" x14ac:dyDescent="0.25">
      <c r="B484" s="1" t="s">
        <v>827</v>
      </c>
    </row>
    <row r="486" spans="1:2" ht="15" x14ac:dyDescent="0.25">
      <c r="B486" s="1" t="s">
        <v>216</v>
      </c>
    </row>
    <row r="487" spans="1:2" x14ac:dyDescent="0.25">
      <c r="B487" s="4">
        <v>2</v>
      </c>
    </row>
    <row r="489" spans="1:2" ht="15" x14ac:dyDescent="0.25">
      <c r="B489" s="1" t="s">
        <v>217</v>
      </c>
    </row>
    <row r="490" spans="1:2" x14ac:dyDescent="0.25">
      <c r="B490" s="1" t="s">
        <v>218</v>
      </c>
    </row>
    <row r="492" spans="1:2" ht="17.399999999999999" x14ac:dyDescent="0.25">
      <c r="B492" s="1" t="s">
        <v>219</v>
      </c>
    </row>
    <row r="495" spans="1:2" ht="15" x14ac:dyDescent="0.25">
      <c r="B495" s="1" t="s">
        <v>220</v>
      </c>
    </row>
    <row r="496" spans="1:2" x14ac:dyDescent="0.25">
      <c r="B496" s="1" t="s">
        <v>221</v>
      </c>
    </row>
    <row r="499" spans="1:2" x14ac:dyDescent="0.25">
      <c r="B499" s="1" t="s">
        <v>828</v>
      </c>
    </row>
    <row r="501" spans="1:2" x14ac:dyDescent="0.25">
      <c r="B501" s="1" t="s">
        <v>829</v>
      </c>
    </row>
    <row r="503" spans="1:2" ht="15" x14ac:dyDescent="0.25">
      <c r="B503" s="1" t="s">
        <v>224</v>
      </c>
    </row>
    <row r="504" spans="1:2" x14ac:dyDescent="0.25">
      <c r="B504" s="4">
        <v>2</v>
      </c>
    </row>
    <row r="506" spans="1:2" ht="15" x14ac:dyDescent="0.25">
      <c r="B506" s="1" t="s">
        <v>225</v>
      </c>
    </row>
    <row r="507" spans="1:2" x14ac:dyDescent="0.25">
      <c r="B507" s="1" t="s">
        <v>221</v>
      </c>
    </row>
    <row r="509" spans="1:2" x14ac:dyDescent="0.25">
      <c r="A509" s="1" t="s">
        <v>23</v>
      </c>
    </row>
    <row r="510" spans="1:2" x14ac:dyDescent="0.25">
      <c r="B510" s="38" t="s">
        <v>830</v>
      </c>
    </row>
    <row r="511" spans="1:2" x14ac:dyDescent="0.25">
      <c r="B511" s="1" t="s">
        <v>226</v>
      </c>
    </row>
    <row r="512" spans="1:2" x14ac:dyDescent="0.25">
      <c r="B512" s="1" t="s">
        <v>227</v>
      </c>
    </row>
    <row r="513" spans="1:16" x14ac:dyDescent="0.25">
      <c r="B513" s="1" t="s">
        <v>831</v>
      </c>
    </row>
    <row r="514" spans="1:16" x14ac:dyDescent="0.25">
      <c r="B514" s="1" t="s">
        <v>229</v>
      </c>
    </row>
    <row r="515" spans="1:16" ht="15.6" x14ac:dyDescent="0.25">
      <c r="B515" s="52" t="s">
        <v>832</v>
      </c>
    </row>
    <row r="516" spans="1:16" x14ac:dyDescent="0.25">
      <c r="B516" s="1" t="s">
        <v>231</v>
      </c>
    </row>
    <row r="517" spans="1:16" x14ac:dyDescent="0.25">
      <c r="B517" s="1" t="s">
        <v>232</v>
      </c>
    </row>
    <row r="518" spans="1:16" x14ac:dyDescent="0.25">
      <c r="B518" s="1" t="s">
        <v>233</v>
      </c>
    </row>
    <row r="519" spans="1:16" x14ac:dyDescent="0.25">
      <c r="B519" s="1" t="s">
        <v>234</v>
      </c>
    </row>
    <row r="520" spans="1:16" x14ac:dyDescent="0.25">
      <c r="B520" s="1" t="s">
        <v>235</v>
      </c>
    </row>
    <row r="521" spans="1:16" x14ac:dyDescent="0.25">
      <c r="B521" s="1" t="s">
        <v>236</v>
      </c>
    </row>
    <row r="522" spans="1:16" x14ac:dyDescent="0.25">
      <c r="B522" s="1" t="s">
        <v>833</v>
      </c>
    </row>
    <row r="523" spans="1:16" x14ac:dyDescent="0.25">
      <c r="B523" s="1" t="s">
        <v>834</v>
      </c>
    </row>
    <row r="524" spans="1:16" x14ac:dyDescent="0.25">
      <c r="B524" s="1" t="s">
        <v>239</v>
      </c>
    </row>
    <row r="526" spans="1:16" x14ac:dyDescent="0.25">
      <c r="A526" s="3" t="s">
        <v>835</v>
      </c>
    </row>
    <row r="527" spans="1:16" ht="15.6" x14ac:dyDescent="0.3">
      <c r="A527" s="1" t="s">
        <v>243</v>
      </c>
    </row>
    <row r="528" spans="1:16" ht="13.8" x14ac:dyDescent="0.25">
      <c r="K528" s="9" t="s">
        <v>241</v>
      </c>
      <c r="L528" s="9"/>
      <c r="N528" s="58" t="s">
        <v>285</v>
      </c>
      <c r="P528" s="58" t="s">
        <v>286</v>
      </c>
    </row>
    <row r="529" spans="1:19" x14ac:dyDescent="0.25">
      <c r="A529" s="4" t="s">
        <v>276</v>
      </c>
      <c r="B529" s="19">
        <f>IF(B98=24,105,IF(B98=54,195,IF(B98=30,112,IF(B98=36,137,IF(B98=42,157,IF(B98=48,178,0))))))</f>
        <v>112</v>
      </c>
      <c r="C529" s="1" t="s">
        <v>196</v>
      </c>
      <c r="K529" s="9" t="s">
        <v>244</v>
      </c>
      <c r="L529" s="9" t="s">
        <v>245</v>
      </c>
    </row>
    <row r="530" spans="1:19" x14ac:dyDescent="0.25">
      <c r="A530" s="4" t="s">
        <v>246</v>
      </c>
      <c r="B530" s="18">
        <v>120</v>
      </c>
      <c r="C530" s="1" t="s">
        <v>133</v>
      </c>
      <c r="K530" s="9">
        <v>20</v>
      </c>
      <c r="L530" s="9">
        <v>67</v>
      </c>
    </row>
    <row r="531" spans="1:19" ht="15" x14ac:dyDescent="0.25">
      <c r="A531" s="4" t="s">
        <v>247</v>
      </c>
      <c r="B531" s="19">
        <f>(B529-(25.4*B164+105)/10)/2</f>
        <v>12.649999999999999</v>
      </c>
      <c r="C531" s="1" t="s">
        <v>196</v>
      </c>
      <c r="K531" s="9">
        <v>25</v>
      </c>
      <c r="L531" s="9">
        <v>77</v>
      </c>
      <c r="P531" s="1" t="s">
        <v>288</v>
      </c>
    </row>
    <row r="532" spans="1:19" x14ac:dyDescent="0.25">
      <c r="A532" s="4" t="s">
        <v>248</v>
      </c>
      <c r="B532" s="19">
        <f>POWER(((B396+B400)*(B396+B400)+(B530)*(B530)),1/2)</f>
        <v>497.64143656631381</v>
      </c>
      <c r="C532" s="1" t="s">
        <v>68</v>
      </c>
      <c r="K532" s="9">
        <v>30</v>
      </c>
      <c r="L532" s="9">
        <v>82</v>
      </c>
      <c r="P532" s="1" t="s">
        <v>289</v>
      </c>
    </row>
    <row r="533" spans="1:19" x14ac:dyDescent="0.25">
      <c r="A533" s="4" t="s">
        <v>147</v>
      </c>
      <c r="B533" s="19">
        <f>B310</f>
        <v>0.83299659179083518</v>
      </c>
      <c r="C533" s="1" t="s">
        <v>249</v>
      </c>
      <c r="K533" s="9">
        <v>35</v>
      </c>
      <c r="L533" s="9">
        <v>85</v>
      </c>
    </row>
    <row r="534" spans="1:19" x14ac:dyDescent="0.25">
      <c r="A534" s="4" t="s">
        <v>114</v>
      </c>
      <c r="B534" s="17">
        <f>B472*100</f>
        <v>34.900000000000006</v>
      </c>
      <c r="C534" s="1" t="s">
        <v>196</v>
      </c>
      <c r="K534" s="9">
        <v>40</v>
      </c>
      <c r="L534" s="9">
        <v>85</v>
      </c>
      <c r="O534" s="4" t="s">
        <v>290</v>
      </c>
      <c r="P534" s="1" t="s">
        <v>291</v>
      </c>
    </row>
    <row r="535" spans="1:19" x14ac:dyDescent="0.25">
      <c r="A535" s="4" t="s">
        <v>30</v>
      </c>
      <c r="B535" s="17">
        <f>B121</f>
        <v>0.54200000000000004</v>
      </c>
      <c r="C535" s="1" t="s">
        <v>48</v>
      </c>
      <c r="K535" s="9">
        <v>45</v>
      </c>
      <c r="L535" s="9">
        <v>90</v>
      </c>
      <c r="O535" s="4" t="s">
        <v>294</v>
      </c>
      <c r="P535" s="1" t="s">
        <v>295</v>
      </c>
    </row>
    <row r="536" spans="1:19" x14ac:dyDescent="0.25">
      <c r="A536" s="4" t="s">
        <v>250</v>
      </c>
      <c r="B536" s="18">
        <v>2</v>
      </c>
      <c r="C536" s="1" t="s">
        <v>46</v>
      </c>
      <c r="K536" s="9">
        <v>50</v>
      </c>
      <c r="L536" s="9">
        <v>95</v>
      </c>
      <c r="O536" s="4" t="s">
        <v>296</v>
      </c>
      <c r="P536" s="1" t="s">
        <v>297</v>
      </c>
    </row>
    <row r="537" spans="1:19" x14ac:dyDescent="0.25">
      <c r="A537" s="4" t="s">
        <v>251</v>
      </c>
      <c r="B537" s="18">
        <v>1.5</v>
      </c>
      <c r="C537" s="1" t="s">
        <v>46</v>
      </c>
      <c r="K537" s="9">
        <v>55</v>
      </c>
      <c r="L537" s="9">
        <v>105</v>
      </c>
      <c r="O537" s="4" t="s">
        <v>298</v>
      </c>
      <c r="P537" s="1" t="s">
        <v>299</v>
      </c>
    </row>
    <row r="538" spans="1:19" x14ac:dyDescent="0.25">
      <c r="A538" s="4" t="s">
        <v>252</v>
      </c>
      <c r="B538" s="19">
        <f>B531*B532/2</f>
        <v>3147.5820862819346</v>
      </c>
      <c r="C538" s="1" t="s">
        <v>253</v>
      </c>
      <c r="K538" s="9">
        <v>60</v>
      </c>
      <c r="L538" s="9">
        <v>110</v>
      </c>
      <c r="O538" s="4" t="s">
        <v>114</v>
      </c>
      <c r="P538" s="1" t="s">
        <v>301</v>
      </c>
    </row>
    <row r="539" spans="1:19" x14ac:dyDescent="0.25">
      <c r="A539" s="4" t="s">
        <v>254</v>
      </c>
      <c r="B539" s="19">
        <f>B533*38*B534/B535</f>
        <v>2038.2289299501952</v>
      </c>
      <c r="C539" s="1" t="s">
        <v>253</v>
      </c>
      <c r="K539" s="9">
        <v>65</v>
      </c>
      <c r="L539" s="9">
        <v>115</v>
      </c>
      <c r="O539" s="4"/>
    </row>
    <row r="540" spans="1:19" x14ac:dyDescent="0.25">
      <c r="A540" s="4" t="s">
        <v>255</v>
      </c>
      <c r="B540" s="19">
        <f>POWER((POWER(B537*B538,2)+POWER(B536*B539,2)),0.5)</f>
        <v>6237.6977251851731</v>
      </c>
      <c r="C540" s="1" t="s">
        <v>253</v>
      </c>
      <c r="K540" s="9">
        <v>70</v>
      </c>
      <c r="L540" s="9">
        <v>120</v>
      </c>
      <c r="O540" s="4" t="s">
        <v>294</v>
      </c>
      <c r="P540" s="43">
        <f>B532/B430</f>
        <v>6.5307275139936189</v>
      </c>
      <c r="Q540" s="1" t="s">
        <v>198</v>
      </c>
      <c r="S540" s="1" t="s">
        <v>302</v>
      </c>
    </row>
    <row r="541" spans="1:19" x14ac:dyDescent="0.25">
      <c r="K541" s="9">
        <v>75</v>
      </c>
      <c r="L541" s="9">
        <v>125</v>
      </c>
      <c r="O541" s="4" t="s">
        <v>296</v>
      </c>
      <c r="P541" s="50">
        <v>2.92E-2</v>
      </c>
      <c r="Q541" s="1" t="s">
        <v>303</v>
      </c>
    </row>
    <row r="542" spans="1:19" x14ac:dyDescent="0.25">
      <c r="A542" s="1" t="s">
        <v>838</v>
      </c>
      <c r="D542" s="1" t="s">
        <v>257</v>
      </c>
      <c r="K542" s="9">
        <v>80</v>
      </c>
      <c r="L542" s="9">
        <v>140</v>
      </c>
      <c r="O542" s="4" t="s">
        <v>298</v>
      </c>
      <c r="P542" s="50">
        <v>560</v>
      </c>
      <c r="Q542" s="38" t="s">
        <v>305</v>
      </c>
    </row>
    <row r="543" spans="1:19" x14ac:dyDescent="0.25">
      <c r="A543" s="4" t="s">
        <v>258</v>
      </c>
      <c r="B543" s="19">
        <f>10*POWER(((16*B540)/(3.1415*560)),1/3)</f>
        <v>38.424339036045666</v>
      </c>
      <c r="C543" s="1" t="s">
        <v>52</v>
      </c>
      <c r="D543" s="4" t="s">
        <v>258</v>
      </c>
      <c r="E543" s="19">
        <f>B593</f>
        <v>65.943116642330779</v>
      </c>
      <c r="F543" s="1" t="s">
        <v>52</v>
      </c>
      <c r="H543" s="4" t="s">
        <v>259</v>
      </c>
      <c r="I543" s="19" cm="1">
        <f t="array" ref="I543">SUMPRODUCT(LARGE((K530:K558&gt;E543)*(K530:K558),COUNTIF(K530:K558,"&gt;"&amp;E543)))-5</f>
        <v>65</v>
      </c>
      <c r="J543" s="1" t="s">
        <v>52</v>
      </c>
      <c r="K543" s="9">
        <v>85</v>
      </c>
      <c r="L543" s="9">
        <v>145</v>
      </c>
      <c r="O543" s="4" t="s">
        <v>306</v>
      </c>
      <c r="P543" s="17">
        <f>B534</f>
        <v>34.900000000000006</v>
      </c>
      <c r="Q543" s="1" t="s">
        <v>307</v>
      </c>
    </row>
    <row r="544" spans="1:19" x14ac:dyDescent="0.25">
      <c r="A544" s="1" t="s">
        <v>199</v>
      </c>
      <c r="K544" s="9">
        <v>90</v>
      </c>
      <c r="L544" s="9">
        <v>160</v>
      </c>
    </row>
    <row r="545" spans="1:18" x14ac:dyDescent="0.25">
      <c r="A545" s="4" t="s">
        <v>261</v>
      </c>
      <c r="B545" s="18">
        <v>76.2</v>
      </c>
      <c r="C545" s="1" t="s">
        <v>52</v>
      </c>
      <c r="D545" s="1" t="s">
        <v>839</v>
      </c>
      <c r="E545" s="43">
        <f>8000*((E547/1000)*(3.1415*(B545/1000)^2)/4)</f>
        <v>60.559891783200001</v>
      </c>
      <c r="F545" s="1" t="s">
        <v>68</v>
      </c>
      <c r="K545" s="9">
        <v>100</v>
      </c>
      <c r="L545" s="9">
        <v>175</v>
      </c>
      <c r="O545" s="4" t="s">
        <v>290</v>
      </c>
      <c r="P545" s="17">
        <f>10*(P541*(3*P540*P543)/P542)^0.5</f>
        <v>1.8882153982418093</v>
      </c>
      <c r="Q545" s="1" t="s">
        <v>52</v>
      </c>
    </row>
    <row r="546" spans="1:18" x14ac:dyDescent="0.25">
      <c r="K546" s="9">
        <v>110</v>
      </c>
      <c r="L546" s="9">
        <v>185</v>
      </c>
      <c r="O546" s="4" t="s">
        <v>290</v>
      </c>
      <c r="P546" s="18">
        <v>6</v>
      </c>
      <c r="Q546" s="1" t="s">
        <v>52</v>
      </c>
    </row>
    <row r="547" spans="1:18" x14ac:dyDescent="0.25">
      <c r="A547" s="3" t="s">
        <v>840</v>
      </c>
      <c r="E547" s="1">
        <f>B529*10+L542+50+350</f>
        <v>1660</v>
      </c>
      <c r="F547" s="1" t="s">
        <v>52</v>
      </c>
      <c r="K547" s="9">
        <v>115</v>
      </c>
      <c r="L547" s="9">
        <v>190</v>
      </c>
    </row>
    <row r="548" spans="1:18" ht="15.6" x14ac:dyDescent="0.3">
      <c r="A548" s="1" t="s">
        <v>243</v>
      </c>
      <c r="I548"/>
      <c r="K548" s="9">
        <v>125</v>
      </c>
      <c r="L548" s="9">
        <v>205</v>
      </c>
      <c r="Q548" s="62"/>
      <c r="R548" s="38" t="s">
        <v>1299</v>
      </c>
    </row>
    <row r="549" spans="1:18" x14ac:dyDescent="0.25">
      <c r="A549" s="4" t="s">
        <v>247</v>
      </c>
      <c r="B549" s="18">
        <v>20</v>
      </c>
      <c r="C549" s="1" t="s">
        <v>196</v>
      </c>
      <c r="K549" s="9">
        <v>135</v>
      </c>
      <c r="L549" s="9">
        <v>180</v>
      </c>
      <c r="P549" s="1" t="s">
        <v>1300</v>
      </c>
    </row>
    <row r="550" spans="1:18" x14ac:dyDescent="0.25">
      <c r="A550" s="4" t="s">
        <v>263</v>
      </c>
      <c r="B550" s="19">
        <f>POWER(((2*B403)^2+(B530)^2),1/2)</f>
        <v>140.83033942737413</v>
      </c>
      <c r="C550" s="1" t="s">
        <v>68</v>
      </c>
      <c r="K550" s="9">
        <v>140</v>
      </c>
      <c r="L550" s="9">
        <v>190</v>
      </c>
      <c r="P550" s="1" t="s">
        <v>311</v>
      </c>
    </row>
    <row r="551" spans="1:18" x14ac:dyDescent="0.25">
      <c r="A551" s="4" t="s">
        <v>251</v>
      </c>
      <c r="B551" s="18">
        <v>2</v>
      </c>
      <c r="C551" s="1" t="s">
        <v>46</v>
      </c>
      <c r="K551" s="9">
        <v>150</v>
      </c>
      <c r="L551" s="9">
        <v>205</v>
      </c>
    </row>
    <row r="552" spans="1:18" x14ac:dyDescent="0.25">
      <c r="A552" s="4"/>
      <c r="K552" s="9">
        <v>160</v>
      </c>
      <c r="L552" s="9">
        <v>210</v>
      </c>
      <c r="O552" s="4" t="s">
        <v>290</v>
      </c>
      <c r="P552" s="1" t="s">
        <v>312</v>
      </c>
    </row>
    <row r="553" spans="1:18" x14ac:dyDescent="0.25">
      <c r="A553" s="1" t="s">
        <v>838</v>
      </c>
      <c r="D553" s="1" t="s">
        <v>257</v>
      </c>
      <c r="K553" s="9">
        <v>170</v>
      </c>
      <c r="L553" s="9">
        <v>220</v>
      </c>
      <c r="O553" s="4" t="s">
        <v>294</v>
      </c>
      <c r="P553" s="1" t="s">
        <v>295</v>
      </c>
    </row>
    <row r="554" spans="1:18" x14ac:dyDescent="0.25">
      <c r="A554" s="4" t="s">
        <v>258</v>
      </c>
      <c r="B554" s="19">
        <f>10*POWER((32*B549*B550*B551)/(3.1415*560*2),1/3)</f>
        <v>37.140724365461935</v>
      </c>
      <c r="C554" s="1" t="s">
        <v>52</v>
      </c>
      <c r="D554" s="4" t="s">
        <v>258</v>
      </c>
      <c r="E554" s="19">
        <f>B610</f>
        <v>48.096601681229501</v>
      </c>
      <c r="F554" s="1" t="s">
        <v>52</v>
      </c>
      <c r="H554" s="4" t="s">
        <v>259</v>
      </c>
      <c r="I554" s="19" cm="1">
        <f t="array" ref="I554">SUMPRODUCT(LARGE((K530:K558&gt;B556)*(K530:K558),COUNTIF(K530:K558,"&gt;"&amp;B556)))-10</f>
        <v>55</v>
      </c>
      <c r="J554" s="1" t="s">
        <v>52</v>
      </c>
      <c r="K554" s="9">
        <v>180</v>
      </c>
      <c r="L554" s="9">
        <v>235</v>
      </c>
      <c r="O554" s="4" t="s">
        <v>313</v>
      </c>
      <c r="P554" s="1" t="s">
        <v>314</v>
      </c>
    </row>
    <row r="555" spans="1:18" x14ac:dyDescent="0.25">
      <c r="A555" s="1" t="s">
        <v>265</v>
      </c>
      <c r="K555" s="9">
        <v>200</v>
      </c>
      <c r="L555" s="9">
        <v>255</v>
      </c>
      <c r="O555" s="4" t="s">
        <v>278</v>
      </c>
      <c r="P555" s="1" t="s">
        <v>315</v>
      </c>
    </row>
    <row r="556" spans="1:18" ht="15.6" x14ac:dyDescent="0.25">
      <c r="A556" s="4" t="s">
        <v>266</v>
      </c>
      <c r="B556" s="18">
        <f>2.5*25.4</f>
        <v>63.5</v>
      </c>
      <c r="C556" s="1" t="s">
        <v>52</v>
      </c>
      <c r="D556" s="1" t="s">
        <v>839</v>
      </c>
      <c r="E556" s="43">
        <f>8000*((G556/1000)*(3.1415*(B556/1000)^2)/4)</f>
        <v>31.921629705000004</v>
      </c>
      <c r="F556" s="1" t="s">
        <v>68</v>
      </c>
      <c r="G556" s="1">
        <f>B529*10+L535+50</f>
        <v>1260</v>
      </c>
      <c r="H556" s="1" t="s">
        <v>52</v>
      </c>
      <c r="K556" s="9">
        <v>220</v>
      </c>
      <c r="L556" s="9">
        <v>265</v>
      </c>
      <c r="O556" s="4" t="s">
        <v>317</v>
      </c>
      <c r="P556" s="52" t="s">
        <v>283</v>
      </c>
    </row>
    <row r="557" spans="1:18" x14ac:dyDescent="0.25">
      <c r="K557" s="9">
        <v>240</v>
      </c>
      <c r="L557" s="9">
        <v>285</v>
      </c>
    </row>
    <row r="558" spans="1:18" x14ac:dyDescent="0.25">
      <c r="A558" s="4" t="s">
        <v>842</v>
      </c>
      <c r="B558" s="43">
        <f>B556*0.7</f>
        <v>44.449999999999996</v>
      </c>
      <c r="D558" s="1" t="s">
        <v>843</v>
      </c>
      <c r="E558" s="43">
        <f>8000*((L544*1.5/1000)+B529/100)*(3.1415*(B558/1000)^2)/4</f>
        <v>16.882995266199998</v>
      </c>
      <c r="F558" s="1" t="s">
        <v>68</v>
      </c>
      <c r="K558" s="9">
        <v>260</v>
      </c>
      <c r="L558" s="9">
        <v>295</v>
      </c>
    </row>
    <row r="559" spans="1:18" x14ac:dyDescent="0.25">
      <c r="A559" s="3"/>
      <c r="O559" s="4" t="s">
        <v>290</v>
      </c>
      <c r="P559" s="17">
        <f>P546/10</f>
        <v>0.6</v>
      </c>
      <c r="Q559" s="1" t="s">
        <v>307</v>
      </c>
    </row>
    <row r="560" spans="1:18" x14ac:dyDescent="0.25">
      <c r="O560" s="4" t="s">
        <v>313</v>
      </c>
      <c r="P560" s="43">
        <f>B430</f>
        <v>76.2</v>
      </c>
      <c r="Q560" s="1" t="s">
        <v>307</v>
      </c>
    </row>
    <row r="561" spans="1:26" x14ac:dyDescent="0.25">
      <c r="A561" s="3" t="s">
        <v>1224</v>
      </c>
      <c r="O561" s="4" t="s">
        <v>321</v>
      </c>
      <c r="P561" s="43">
        <f>B534/2</f>
        <v>17.450000000000003</v>
      </c>
      <c r="Q561" s="1" t="s">
        <v>307</v>
      </c>
    </row>
    <row r="563" spans="1:26" ht="14.4" x14ac:dyDescent="0.3">
      <c r="A563" s="1" t="s">
        <v>270</v>
      </c>
      <c r="N563" s="3"/>
      <c r="O563" s="4" t="s">
        <v>324</v>
      </c>
      <c r="P563" s="44">
        <f>(B586*P560*P561*(P559^3)/P540)^0.25</f>
        <v>98.031460107301157</v>
      </c>
      <c r="Q563" s="3"/>
      <c r="R563" s="4" t="s">
        <v>278</v>
      </c>
      <c r="S563" s="60">
        <f>B584</f>
        <v>86.7</v>
      </c>
      <c r="T563" s="1" t="s">
        <v>196</v>
      </c>
      <c r="U563" s="3"/>
      <c r="V563" s="3"/>
      <c r="W563" s="3"/>
      <c r="X563" s="3"/>
      <c r="Y563" s="3"/>
      <c r="Z563" s="3"/>
    </row>
    <row r="564" spans="1:26" x14ac:dyDescent="0.25">
      <c r="A564" s="4" t="s">
        <v>271</v>
      </c>
      <c r="B564" s="1" t="s">
        <v>272</v>
      </c>
    </row>
    <row r="565" spans="1:26" x14ac:dyDescent="0.25">
      <c r="A565" s="4" t="s">
        <v>248</v>
      </c>
      <c r="B565" s="1" t="s">
        <v>273</v>
      </c>
      <c r="P565" s="1" t="s">
        <v>1302</v>
      </c>
    </row>
    <row r="566" spans="1:26" x14ac:dyDescent="0.25">
      <c r="A566" s="4" t="s">
        <v>274</v>
      </c>
      <c r="B566" s="1" t="s">
        <v>275</v>
      </c>
    </row>
    <row r="567" spans="1:26" x14ac:dyDescent="0.25">
      <c r="A567" s="4" t="s">
        <v>276</v>
      </c>
      <c r="B567" s="1" t="s">
        <v>277</v>
      </c>
    </row>
    <row r="568" spans="1:26" x14ac:dyDescent="0.25">
      <c r="A568" s="4" t="s">
        <v>278</v>
      </c>
      <c r="B568" s="1" t="s">
        <v>279</v>
      </c>
    </row>
    <row r="569" spans="1:26" x14ac:dyDescent="0.25">
      <c r="A569" s="4" t="s">
        <v>280</v>
      </c>
      <c r="B569" s="1" t="s">
        <v>281</v>
      </c>
      <c r="D569" s="137"/>
    </row>
    <row r="570" spans="1:26" ht="15.6" x14ac:dyDescent="0.25">
      <c r="A570" s="4" t="s">
        <v>282</v>
      </c>
      <c r="B570" s="137" t="s">
        <v>283</v>
      </c>
    </row>
    <row r="571" spans="1:26" x14ac:dyDescent="0.25">
      <c r="A571" s="4" t="s">
        <v>847</v>
      </c>
      <c r="B571" s="137" t="s">
        <v>848</v>
      </c>
    </row>
    <row r="572" spans="1:26" x14ac:dyDescent="0.25">
      <c r="A572" s="4" t="s">
        <v>849</v>
      </c>
      <c r="B572" s="137" t="s">
        <v>850</v>
      </c>
    </row>
    <row r="573" spans="1:26" x14ac:dyDescent="0.25">
      <c r="A573" s="4" t="s">
        <v>851</v>
      </c>
      <c r="B573" s="137" t="s">
        <v>852</v>
      </c>
    </row>
    <row r="574" spans="1:26" x14ac:dyDescent="0.25">
      <c r="A574" s="4"/>
    </row>
    <row r="575" spans="1:26" x14ac:dyDescent="0.25">
      <c r="A575" s="1" t="s">
        <v>855</v>
      </c>
      <c r="I575" s="1" t="s">
        <v>856</v>
      </c>
      <c r="N575" s="249" t="s">
        <v>857</v>
      </c>
      <c r="O575" s="250"/>
    </row>
    <row r="576" spans="1:26" x14ac:dyDescent="0.25">
      <c r="H576" s="4" t="s">
        <v>858</v>
      </c>
      <c r="I576" s="44">
        <f>VLOOKUP(B98,N577:O586,2,0)/1000</f>
        <v>0.87</v>
      </c>
      <c r="J576" s="1" t="s">
        <v>859</v>
      </c>
      <c r="N576" s="9" t="s">
        <v>860</v>
      </c>
      <c r="O576" s="9" t="s">
        <v>861</v>
      </c>
    </row>
    <row r="577" spans="1:15" x14ac:dyDescent="0.25">
      <c r="A577" s="4" t="s">
        <v>487</v>
      </c>
      <c r="B577" s="17">
        <f>B472*100</f>
        <v>34.900000000000006</v>
      </c>
      <c r="C577" s="1" t="s">
        <v>196</v>
      </c>
      <c r="H577" s="4" t="s">
        <v>487</v>
      </c>
      <c r="I577" s="19">
        <f>B472</f>
        <v>0.34900000000000003</v>
      </c>
      <c r="J577" s="1" t="s">
        <v>862</v>
      </c>
      <c r="N577" s="9">
        <v>16</v>
      </c>
      <c r="O577" s="9">
        <v>510</v>
      </c>
    </row>
    <row r="578" spans="1:15" x14ac:dyDescent="0.25">
      <c r="A578" s="4" t="s">
        <v>851</v>
      </c>
      <c r="B578" s="35">
        <v>0.63500000000000001</v>
      </c>
      <c r="C578" s="1" t="s">
        <v>196</v>
      </c>
      <c r="H578" s="4" t="s">
        <v>868</v>
      </c>
      <c r="I578" s="19">
        <f>B578/100</f>
        <v>6.3499999999999997E-3</v>
      </c>
      <c r="J578" s="1" t="s">
        <v>899</v>
      </c>
      <c r="N578" s="9">
        <v>20</v>
      </c>
      <c r="O578" s="9">
        <v>610</v>
      </c>
    </row>
    <row r="579" spans="1:15" x14ac:dyDescent="0.25">
      <c r="A579" s="4" t="s">
        <v>847</v>
      </c>
      <c r="B579" s="17">
        <f>B580+B578*2</f>
        <v>10.414</v>
      </c>
      <c r="C579" s="1" t="s">
        <v>196</v>
      </c>
      <c r="H579" s="4" t="s">
        <v>870</v>
      </c>
      <c r="I579" s="44">
        <f>(I576-2*I584)</f>
        <v>0.78998999999999997</v>
      </c>
      <c r="J579" s="1" t="s">
        <v>871</v>
      </c>
      <c r="N579" s="9">
        <v>24</v>
      </c>
      <c r="O579" s="9">
        <v>710</v>
      </c>
    </row>
    <row r="580" spans="1:15" x14ac:dyDescent="0.25">
      <c r="A580" s="4" t="s">
        <v>849</v>
      </c>
      <c r="B580" s="19">
        <f>B545*1.2/10</f>
        <v>9.1440000000000001</v>
      </c>
      <c r="C580" s="1" t="s">
        <v>196</v>
      </c>
      <c r="H580" s="4" t="s">
        <v>866</v>
      </c>
      <c r="I580" s="131">
        <v>8.0000000000000002E-3</v>
      </c>
      <c r="J580" s="1" t="s">
        <v>1225</v>
      </c>
      <c r="N580" s="9">
        <v>30</v>
      </c>
      <c r="O580" s="9">
        <v>870</v>
      </c>
    </row>
    <row r="581" spans="1:15" x14ac:dyDescent="0.25">
      <c r="A581" s="4" t="s">
        <v>248</v>
      </c>
      <c r="B581" s="19">
        <f>B532</f>
        <v>497.64143656631381</v>
      </c>
      <c r="C581" s="1" t="s">
        <v>133</v>
      </c>
      <c r="H581" s="4" t="s">
        <v>1226</v>
      </c>
      <c r="I581" s="44">
        <f>I577-I580*2</f>
        <v>0.33300000000000002</v>
      </c>
      <c r="J581" s="1" t="s">
        <v>873</v>
      </c>
      <c r="N581" s="9">
        <v>36</v>
      </c>
      <c r="O581" s="9">
        <v>1020</v>
      </c>
    </row>
    <row r="582" spans="1:15" x14ac:dyDescent="0.25">
      <c r="A582" s="4" t="s">
        <v>274</v>
      </c>
      <c r="B582" s="18">
        <v>1.5</v>
      </c>
      <c r="C582" s="1" t="s">
        <v>287</v>
      </c>
      <c r="H582" s="4" t="s">
        <v>847</v>
      </c>
      <c r="I582" s="44">
        <f>B579/100</f>
        <v>0.10414</v>
      </c>
      <c r="J582" s="1" t="s">
        <v>875</v>
      </c>
      <c r="N582" s="9">
        <v>42</v>
      </c>
      <c r="O582" s="9">
        <v>1170</v>
      </c>
    </row>
    <row r="583" spans="1:15" x14ac:dyDescent="0.25">
      <c r="A583" s="4" t="s">
        <v>276</v>
      </c>
      <c r="B583" s="19">
        <f>B529</f>
        <v>112</v>
      </c>
      <c r="C583" s="1" t="s">
        <v>196</v>
      </c>
      <c r="H583" s="4" t="s">
        <v>878</v>
      </c>
      <c r="I583" s="44">
        <f>I582*1.5</f>
        <v>0.15620999999999999</v>
      </c>
      <c r="J583" s="1" t="s">
        <v>879</v>
      </c>
      <c r="N583" s="9">
        <v>48</v>
      </c>
      <c r="O583" s="9">
        <v>1370</v>
      </c>
    </row>
    <row r="584" spans="1:15" x14ac:dyDescent="0.25">
      <c r="A584" s="4" t="s">
        <v>278</v>
      </c>
      <c r="B584" s="43">
        <f>(B164*25.4+105)/10</f>
        <v>86.7</v>
      </c>
      <c r="C584" s="1" t="s">
        <v>196</v>
      </c>
      <c r="H584" s="4" t="s">
        <v>880</v>
      </c>
      <c r="I584" s="44">
        <f>(I583-B545/1000)/2</f>
        <v>4.0004999999999992E-2</v>
      </c>
      <c r="J584" s="1" t="s">
        <v>900</v>
      </c>
      <c r="N584" s="9">
        <v>54</v>
      </c>
      <c r="O584" s="9">
        <v>1530</v>
      </c>
    </row>
    <row r="585" spans="1:15" x14ac:dyDescent="0.25">
      <c r="A585" s="4" t="s">
        <v>280</v>
      </c>
      <c r="B585" s="17">
        <f>B545/10</f>
        <v>7.62</v>
      </c>
      <c r="C585" s="1" t="s">
        <v>196</v>
      </c>
      <c r="H585" s="4" t="s">
        <v>883</v>
      </c>
      <c r="I585" s="44">
        <f>I584*1.2</f>
        <v>4.8005999999999986E-2</v>
      </c>
      <c r="J585" s="1" t="s">
        <v>884</v>
      </c>
      <c r="N585" s="9">
        <v>60</v>
      </c>
      <c r="O585" s="9">
        <v>1680</v>
      </c>
    </row>
    <row r="586" spans="1:15" x14ac:dyDescent="0.25">
      <c r="A586" s="4" t="s">
        <v>282</v>
      </c>
      <c r="B586" s="143">
        <v>2100000</v>
      </c>
      <c r="C586" s="1" t="s">
        <v>292</v>
      </c>
      <c r="E586" s="1" t="s">
        <v>882</v>
      </c>
      <c r="H586" s="4"/>
      <c r="N586" s="9">
        <v>72</v>
      </c>
      <c r="O586" s="9">
        <v>1990</v>
      </c>
    </row>
    <row r="587" spans="1:15" x14ac:dyDescent="0.25">
      <c r="E587" s="4">
        <v>1500</v>
      </c>
      <c r="H587" s="1" t="s">
        <v>885</v>
      </c>
      <c r="I587" s="43">
        <f>8000*(I579)*((3.1415*(I582)^2)/4-(3.1415*(I582-2*I578)^2)/4)</f>
        <v>12.328686700319224</v>
      </c>
      <c r="J587" s="1" t="s">
        <v>68</v>
      </c>
    </row>
    <row r="588" spans="1:15" x14ac:dyDescent="0.25">
      <c r="E588" s="4"/>
      <c r="H588" s="1" t="s">
        <v>888</v>
      </c>
      <c r="I588" s="43">
        <f>8000*(I576)*((3.1415*(I577)^2)/4-(3.1415*(I577-2*I580)^2)/4)</f>
        <v>59.647283520000016</v>
      </c>
      <c r="J588" s="1" t="s">
        <v>68</v>
      </c>
    </row>
    <row r="589" spans="1:15" x14ac:dyDescent="0.25">
      <c r="A589" s="4" t="s">
        <v>886</v>
      </c>
      <c r="B589" s="43">
        <f>PI()*(B577^4+B579^4+B580^4)/64</f>
        <v>73744.035501202467</v>
      </c>
      <c r="C589" s="1" t="s">
        <v>887</v>
      </c>
      <c r="E589" s="4"/>
      <c r="G589" s="1">
        <v>2</v>
      </c>
      <c r="H589" s="1" t="s">
        <v>889</v>
      </c>
      <c r="I589" s="43">
        <f>2*8000*(I585)*((3.1415*(I583)^2)/4-(3.1415*(I583-2*I584)^2)/4)</f>
        <v>11.217385811125437</v>
      </c>
      <c r="J589" s="1" t="s">
        <v>68</v>
      </c>
    </row>
    <row r="590" spans="1:15" x14ac:dyDescent="0.25">
      <c r="E590" s="4"/>
      <c r="G590" s="1">
        <v>3</v>
      </c>
      <c r="H590" s="1" t="s">
        <v>890</v>
      </c>
      <c r="I590" s="43">
        <f>3*8000*(I580)*((3.1415*(I581)^2)/4-(3.1415*(I582)^2)/4)</f>
        <v>15.085813797436803</v>
      </c>
      <c r="J590" s="1" t="s">
        <v>68</v>
      </c>
    </row>
    <row r="591" spans="1:15" x14ac:dyDescent="0.25">
      <c r="A591" s="4" t="s">
        <v>271</v>
      </c>
      <c r="B591" s="61">
        <f>(4*B581*B582*(B583-B584)*(2*B583^2+2*B583*B584-B584^2))/(3*PI()*B586*B585^4)</f>
        <v>4.1877886445403349E-2</v>
      </c>
      <c r="C591" s="1" t="s">
        <v>196</v>
      </c>
      <c r="D591" s="1" t="s">
        <v>300</v>
      </c>
      <c r="E591" s="61">
        <f>B583/1500</f>
        <v>7.4666666666666673E-2</v>
      </c>
      <c r="F591" s="1" t="s">
        <v>196</v>
      </c>
    </row>
    <row r="592" spans="1:15" x14ac:dyDescent="0.25">
      <c r="H592" s="1" t="s">
        <v>891</v>
      </c>
      <c r="I592" s="43">
        <f>SUM(I587:I590)</f>
        <v>98.279169828881479</v>
      </c>
      <c r="J592" s="1" t="s">
        <v>68</v>
      </c>
    </row>
    <row r="593" spans="1:16" x14ac:dyDescent="0.25">
      <c r="A593" s="4" t="s">
        <v>280</v>
      </c>
      <c r="B593" s="19">
        <f>10*((1500*4*B581*B582*(B583-B584)*(2*B583^2+2*B583*B584-B584^2))/(3*PI()*B586*B583))^(1/4)</f>
        <v>65.943116642330779</v>
      </c>
      <c r="C593" s="1" t="s">
        <v>52</v>
      </c>
    </row>
    <row r="595" spans="1:16" x14ac:dyDescent="0.25">
      <c r="A595" s="1" t="s">
        <v>895</v>
      </c>
    </row>
    <row r="596" spans="1:16" x14ac:dyDescent="0.25">
      <c r="I596" s="1" t="s">
        <v>897</v>
      </c>
      <c r="O596" s="1" t="s">
        <v>898</v>
      </c>
    </row>
    <row r="597" spans="1:16" x14ac:dyDescent="0.25">
      <c r="A597" s="4" t="s">
        <v>851</v>
      </c>
      <c r="B597" s="35">
        <v>0.64</v>
      </c>
      <c r="C597" s="1" t="s">
        <v>196</v>
      </c>
      <c r="H597" s="4" t="s">
        <v>858</v>
      </c>
      <c r="I597" s="44">
        <f>I576</f>
        <v>0.87</v>
      </c>
      <c r="J597" s="1" t="s">
        <v>859</v>
      </c>
      <c r="N597" s="4" t="s">
        <v>858</v>
      </c>
      <c r="O597" s="44">
        <f>I597</f>
        <v>0.87</v>
      </c>
      <c r="P597" s="1" t="s">
        <v>859</v>
      </c>
    </row>
    <row r="598" spans="1:16" x14ac:dyDescent="0.25">
      <c r="A598" s="4" t="s">
        <v>847</v>
      </c>
      <c r="B598" s="17">
        <f>B599+B597*2</f>
        <v>8.8999999999999986</v>
      </c>
      <c r="C598" s="1" t="s">
        <v>196</v>
      </c>
      <c r="H598" s="4" t="s">
        <v>487</v>
      </c>
      <c r="I598" s="44">
        <f>B471</f>
        <v>0.17316474466510909</v>
      </c>
      <c r="J598" s="1" t="s">
        <v>862</v>
      </c>
      <c r="N598" s="4" t="s">
        <v>487</v>
      </c>
      <c r="O598" s="44">
        <f>I598*0.7</f>
        <v>0.12121532126557635</v>
      </c>
      <c r="P598" s="1" t="s">
        <v>862</v>
      </c>
    </row>
    <row r="599" spans="1:16" x14ac:dyDescent="0.25">
      <c r="A599" s="4" t="s">
        <v>849</v>
      </c>
      <c r="B599" s="19">
        <f>B604*1.2</f>
        <v>7.6199999999999992</v>
      </c>
      <c r="C599" s="1" t="s">
        <v>196</v>
      </c>
      <c r="H599" s="4" t="s">
        <v>868</v>
      </c>
      <c r="I599" s="19">
        <f>B597/100</f>
        <v>6.4000000000000003E-3</v>
      </c>
      <c r="J599" s="1" t="s">
        <v>899</v>
      </c>
      <c r="N599" s="4" t="s">
        <v>868</v>
      </c>
      <c r="O599" s="131">
        <v>6.3499999999999997E-3</v>
      </c>
      <c r="P599" s="1" t="s">
        <v>899</v>
      </c>
    </row>
    <row r="600" spans="1:16" x14ac:dyDescent="0.25">
      <c r="A600" s="4" t="s">
        <v>248</v>
      </c>
      <c r="B600" s="19">
        <f>B550</f>
        <v>140.83033942737413</v>
      </c>
      <c r="C600" s="1" t="s">
        <v>133</v>
      </c>
      <c r="H600" s="4" t="s">
        <v>870</v>
      </c>
      <c r="I600" s="44">
        <f>(I597-2*I605)</f>
        <v>0.8</v>
      </c>
      <c r="J600" s="1" t="s">
        <v>871</v>
      </c>
      <c r="N600" s="4" t="s">
        <v>870</v>
      </c>
      <c r="O600" s="44">
        <f>(O597-2*O605)</f>
        <v>0.82100000000000006</v>
      </c>
      <c r="P600" s="1" t="s">
        <v>871</v>
      </c>
    </row>
    <row r="601" spans="1:16" x14ac:dyDescent="0.25">
      <c r="A601" s="4" t="s">
        <v>274</v>
      </c>
      <c r="B601" s="18">
        <v>1.5</v>
      </c>
      <c r="C601" s="1" t="s">
        <v>287</v>
      </c>
      <c r="H601" s="4" t="s">
        <v>866</v>
      </c>
      <c r="I601" s="131">
        <v>8.0000000000000002E-3</v>
      </c>
      <c r="J601" s="1" t="s">
        <v>1225</v>
      </c>
      <c r="N601" s="4" t="s">
        <v>866</v>
      </c>
      <c r="O601" s="131">
        <v>8.0000000000000002E-3</v>
      </c>
      <c r="P601" s="1" t="s">
        <v>1225</v>
      </c>
    </row>
    <row r="602" spans="1:16" x14ac:dyDescent="0.25">
      <c r="A602" s="4" t="s">
        <v>276</v>
      </c>
      <c r="B602" s="19">
        <f>B529</f>
        <v>112</v>
      </c>
      <c r="C602" s="1" t="s">
        <v>196</v>
      </c>
      <c r="H602" s="4" t="s">
        <v>1226</v>
      </c>
      <c r="I602" s="44">
        <f>I598-I601*2</f>
        <v>0.1571647446651091</v>
      </c>
      <c r="J602" s="1" t="s">
        <v>873</v>
      </c>
      <c r="N602" s="4" t="s">
        <v>1226</v>
      </c>
      <c r="O602" s="44">
        <f>O598-O601*2</f>
        <v>0.10521532126557635</v>
      </c>
      <c r="P602" s="1" t="s">
        <v>873</v>
      </c>
    </row>
    <row r="603" spans="1:16" x14ac:dyDescent="0.25">
      <c r="A603" s="4" t="s">
        <v>278</v>
      </c>
      <c r="B603" s="19">
        <f>B584</f>
        <v>86.7</v>
      </c>
      <c r="C603" s="1" t="s">
        <v>196</v>
      </c>
      <c r="H603" s="4" t="s">
        <v>847</v>
      </c>
      <c r="I603" s="44">
        <f>B598/100</f>
        <v>8.8999999999999982E-2</v>
      </c>
      <c r="J603" s="1" t="s">
        <v>875</v>
      </c>
      <c r="N603" s="4" t="s">
        <v>847</v>
      </c>
      <c r="O603" s="44">
        <f>0.7*B598/100</f>
        <v>6.2299999999999987E-2</v>
      </c>
      <c r="P603" s="1" t="s">
        <v>875</v>
      </c>
    </row>
    <row r="604" spans="1:16" x14ac:dyDescent="0.25">
      <c r="A604" s="4" t="s">
        <v>280</v>
      </c>
      <c r="B604" s="17">
        <f>B556/10</f>
        <v>6.35</v>
      </c>
      <c r="C604" s="1" t="s">
        <v>196</v>
      </c>
      <c r="H604" s="4" t="s">
        <v>878</v>
      </c>
      <c r="I604" s="44">
        <f>I603*1.5</f>
        <v>0.13349999999999998</v>
      </c>
      <c r="J604" s="1" t="s">
        <v>879</v>
      </c>
      <c r="N604" s="4" t="s">
        <v>878</v>
      </c>
      <c r="O604" s="44">
        <f>O603*1.5</f>
        <v>9.3449999999999978E-2</v>
      </c>
      <c r="P604" s="1" t="s">
        <v>879</v>
      </c>
    </row>
    <row r="605" spans="1:16" x14ac:dyDescent="0.25">
      <c r="A605" s="4" t="s">
        <v>282</v>
      </c>
      <c r="B605" s="143">
        <v>2100000</v>
      </c>
      <c r="C605" s="1" t="s">
        <v>292</v>
      </c>
      <c r="E605" s="1" t="s">
        <v>882</v>
      </c>
      <c r="H605" s="4" t="s">
        <v>880</v>
      </c>
      <c r="I605" s="44">
        <f>(I604-B556/1000)/2</f>
        <v>3.4999999999999989E-2</v>
      </c>
      <c r="J605" s="1" t="s">
        <v>900</v>
      </c>
      <c r="N605" s="4" t="s">
        <v>880</v>
      </c>
      <c r="O605" s="44">
        <f>(O604-B558/1000)/2</f>
        <v>2.4499999999999991E-2</v>
      </c>
      <c r="P605" s="1" t="s">
        <v>900</v>
      </c>
    </row>
    <row r="606" spans="1:16" x14ac:dyDescent="0.25">
      <c r="E606" s="4">
        <v>1500</v>
      </c>
      <c r="H606" s="4" t="s">
        <v>883</v>
      </c>
      <c r="I606" s="44">
        <f>I605*1.2</f>
        <v>4.1999999999999989E-2</v>
      </c>
      <c r="J606" s="1" t="s">
        <v>884</v>
      </c>
      <c r="N606" s="4" t="s">
        <v>883</v>
      </c>
      <c r="O606" s="44">
        <f>O605*1.2</f>
        <v>2.9399999999999989E-2</v>
      </c>
      <c r="P606" s="1" t="s">
        <v>884</v>
      </c>
    </row>
    <row r="607" spans="1:16" x14ac:dyDescent="0.25">
      <c r="H607" s="4"/>
      <c r="N607" s="4"/>
    </row>
    <row r="608" spans="1:16" x14ac:dyDescent="0.25">
      <c r="A608" s="4" t="s">
        <v>271</v>
      </c>
      <c r="B608" s="61">
        <f>4*B600*B601*(B602-B603)*(2*B602*B602+2*B602*B603-B603*B603)/(3*3.1415*B605*(POWER(B604,4)))</f>
        <v>2.4575492992698691E-2</v>
      </c>
      <c r="C608" s="1" t="s">
        <v>196</v>
      </c>
      <c r="D608" s="1" t="s">
        <v>300</v>
      </c>
      <c r="E608" s="61">
        <f>B602/1500</f>
        <v>7.4666666666666673E-2</v>
      </c>
      <c r="F608" s="1" t="s">
        <v>196</v>
      </c>
      <c r="H608" s="1" t="s">
        <v>885</v>
      </c>
      <c r="I608" s="43">
        <f>8000*(I600)*((3.1415*(I603)^2)/4-(3.1415*(I603-2*I599)^2)/4)</f>
        <v>10.628624384000007</v>
      </c>
      <c r="J608" s="1" t="s">
        <v>68</v>
      </c>
      <c r="N608" s="1" t="s">
        <v>885</v>
      </c>
      <c r="O608" s="43">
        <f>8000*(O600)*((3.1415*(O603)^2)/4-(3.1415*(O603-2*O599)^2)/4)</f>
        <v>7.3306759875899994</v>
      </c>
      <c r="P608" s="1" t="s">
        <v>68</v>
      </c>
    </row>
    <row r="609" spans="1:16" x14ac:dyDescent="0.25">
      <c r="H609" s="1" t="s">
        <v>888</v>
      </c>
      <c r="I609" s="43">
        <f>8000*(I597)*((3.1415*(I598)^2)/4-(3.1415*(I598-2*I601)^2)/4)</f>
        <v>28.890405725947698</v>
      </c>
      <c r="J609" s="1" t="s">
        <v>68</v>
      </c>
      <c r="N609" s="1" t="s">
        <v>888</v>
      </c>
      <c r="O609" s="43">
        <f>8000*(O597)*((3.1415*(O598)^2)/4-(3.1415*(O598-2*O601)^2)/4)</f>
        <v>19.803479080163399</v>
      </c>
      <c r="P609" s="1" t="s">
        <v>68</v>
      </c>
    </row>
    <row r="610" spans="1:16" x14ac:dyDescent="0.25">
      <c r="A610" s="4" t="s">
        <v>280</v>
      </c>
      <c r="B610" s="19">
        <f>10*((1500*4*B600*B601*(B602-B603)*(2*B602^2+2*B602*B603-B603^2))/(3*PI()*B605*B602))^(1/4)</f>
        <v>48.096601681229501</v>
      </c>
      <c r="C610" s="1" t="s">
        <v>52</v>
      </c>
      <c r="G610" s="1">
        <v>2</v>
      </c>
      <c r="H610" s="1" t="s">
        <v>889</v>
      </c>
      <c r="I610" s="43">
        <f>2*8000*(I606)*((3.1415*(I604)^2)/4-(3.1415*(I604-2*I605)^2)/4)</f>
        <v>7.2779758799999943</v>
      </c>
      <c r="J610" s="1" t="s">
        <v>68</v>
      </c>
      <c r="M610" s="1">
        <v>2</v>
      </c>
      <c r="N610" s="1" t="s">
        <v>889</v>
      </c>
      <c r="O610" s="43">
        <f>2*8000*(O606)*((3.1415*(O604)^2)/4-(3.1415*(O604-2*O605)^2)/4)</f>
        <v>2.4963457268399973</v>
      </c>
      <c r="P610" s="1" t="s">
        <v>68</v>
      </c>
    </row>
    <row r="611" spans="1:16" x14ac:dyDescent="0.25">
      <c r="A611" s="4"/>
      <c r="G611" s="1">
        <v>3</v>
      </c>
      <c r="H611" s="1" t="s">
        <v>890</v>
      </c>
      <c r="I611" s="43">
        <f>3*8000*(I601)*((3.1415*(I602)^2)/4-(3.1415*(I603)^2)/4)</f>
        <v>2.5302531123641354</v>
      </c>
      <c r="J611" s="1" t="s">
        <v>68</v>
      </c>
      <c r="M611" s="1">
        <v>3</v>
      </c>
      <c r="N611" s="1" t="s">
        <v>890</v>
      </c>
      <c r="O611" s="43">
        <f>3*8000*(O601)*((3.1415*(O602)^2)/4-(3.1415*(O603)^2)/4)</f>
        <v>1.0840397416253493</v>
      </c>
      <c r="P611" s="1" t="s">
        <v>68</v>
      </c>
    </row>
    <row r="613" spans="1:16" x14ac:dyDescent="0.25">
      <c r="A613" s="3" t="s">
        <v>351</v>
      </c>
      <c r="H613" s="1" t="s">
        <v>891</v>
      </c>
      <c r="I613" s="43">
        <f>SUM(I608:I611)</f>
        <v>49.327259102311835</v>
      </c>
      <c r="J613" s="1" t="s">
        <v>68</v>
      </c>
      <c r="N613" s="1" t="s">
        <v>891</v>
      </c>
      <c r="O613" s="43">
        <f>SUM(O608:O611)</f>
        <v>30.714540536218745</v>
      </c>
      <c r="P613" s="1" t="s">
        <v>68</v>
      </c>
    </row>
    <row r="615" spans="1:16" x14ac:dyDescent="0.25">
      <c r="A615" s="3" t="s">
        <v>352</v>
      </c>
    </row>
    <row r="616" spans="1:16" ht="15" x14ac:dyDescent="0.25">
      <c r="A616" s="1" t="s">
        <v>353</v>
      </c>
    </row>
    <row r="617" spans="1:16" x14ac:dyDescent="0.25">
      <c r="A617" s="1" t="s">
        <v>354</v>
      </c>
    </row>
    <row r="618" spans="1:16" x14ac:dyDescent="0.25">
      <c r="A618" s="1" t="s">
        <v>355</v>
      </c>
    </row>
    <row r="619" spans="1:16" x14ac:dyDescent="0.25">
      <c r="B619" s="1" t="s">
        <v>356</v>
      </c>
    </row>
    <row r="620" spans="1:16" x14ac:dyDescent="0.25">
      <c r="B620" s="1" t="s">
        <v>357</v>
      </c>
    </row>
    <row r="621" spans="1:16" x14ac:dyDescent="0.25">
      <c r="B621" s="1" t="s">
        <v>358</v>
      </c>
    </row>
    <row r="622" spans="1:16" x14ac:dyDescent="0.25">
      <c r="B622" s="1" t="s">
        <v>359</v>
      </c>
    </row>
    <row r="623" spans="1:16" x14ac:dyDescent="0.25">
      <c r="B623" s="1" t="s">
        <v>360</v>
      </c>
    </row>
    <row r="624" spans="1:16" x14ac:dyDescent="0.25">
      <c r="B624" s="1" t="s">
        <v>361</v>
      </c>
    </row>
    <row r="625" spans="1:4" x14ac:dyDescent="0.25">
      <c r="A625" s="1" t="s">
        <v>55</v>
      </c>
    </row>
    <row r="627" spans="1:4" x14ac:dyDescent="0.25">
      <c r="A627" s="3" t="s">
        <v>362</v>
      </c>
    </row>
    <row r="629" spans="1:4" x14ac:dyDescent="0.25">
      <c r="A629" s="4" t="s">
        <v>278</v>
      </c>
      <c r="B629" s="54">
        <v>7030</v>
      </c>
      <c r="C629" s="1" t="s">
        <v>46</v>
      </c>
    </row>
    <row r="630" spans="1:4" x14ac:dyDescent="0.25">
      <c r="A630" s="4" t="s">
        <v>363</v>
      </c>
      <c r="B630" s="54">
        <v>1.5</v>
      </c>
      <c r="C630" s="1" t="s">
        <v>46</v>
      </c>
    </row>
    <row r="631" spans="1:4" x14ac:dyDescent="0.25">
      <c r="A631" s="4" t="s">
        <v>364</v>
      </c>
      <c r="B631" s="66">
        <f>B311</f>
        <v>2</v>
      </c>
      <c r="C631" s="1" t="s">
        <v>249</v>
      </c>
    </row>
    <row r="632" spans="1:4" x14ac:dyDescent="0.25">
      <c r="A632" s="4" t="s">
        <v>365</v>
      </c>
      <c r="B632" s="54">
        <v>1800</v>
      </c>
      <c r="C632" s="1" t="s">
        <v>347</v>
      </c>
    </row>
    <row r="634" spans="1:4" x14ac:dyDescent="0.25">
      <c r="A634" s="1" t="s">
        <v>256</v>
      </c>
      <c r="B634" s="4" t="s">
        <v>366</v>
      </c>
      <c r="C634" s="19">
        <f>B629*B630*B631/B632</f>
        <v>11.716666666666667</v>
      </c>
      <c r="D634" s="1" t="s">
        <v>367</v>
      </c>
    </row>
    <row r="636" spans="1:4" x14ac:dyDescent="0.25">
      <c r="A636" s="1" t="s">
        <v>265</v>
      </c>
      <c r="B636" s="1" t="s">
        <v>1046</v>
      </c>
    </row>
    <row r="638" spans="1:4" x14ac:dyDescent="0.25">
      <c r="A638" s="3" t="s">
        <v>369</v>
      </c>
    </row>
    <row r="640" spans="1:4" x14ac:dyDescent="0.25">
      <c r="A640" s="4" t="s">
        <v>278</v>
      </c>
      <c r="B640" s="54">
        <v>7030</v>
      </c>
      <c r="C640" s="1" t="s">
        <v>46</v>
      </c>
    </row>
    <row r="641" spans="1:6" x14ac:dyDescent="0.25">
      <c r="A641" s="4" t="s">
        <v>363</v>
      </c>
      <c r="B641" s="54">
        <v>1.5</v>
      </c>
      <c r="C641" s="1" t="s">
        <v>46</v>
      </c>
    </row>
    <row r="642" spans="1:6" x14ac:dyDescent="0.25">
      <c r="A642" s="4" t="s">
        <v>364</v>
      </c>
      <c r="B642" s="66">
        <f>B631</f>
        <v>2</v>
      </c>
      <c r="C642" s="1" t="s">
        <v>249</v>
      </c>
    </row>
    <row r="643" spans="1:6" x14ac:dyDescent="0.25">
      <c r="A643" s="4" t="s">
        <v>365</v>
      </c>
      <c r="B643" s="68">
        <f>B475</f>
        <v>29.661154149072839</v>
      </c>
      <c r="C643" s="1" t="s">
        <v>347</v>
      </c>
    </row>
    <row r="644" spans="1:6" x14ac:dyDescent="0.25">
      <c r="A644" s="4"/>
      <c r="E644" s="1" t="s">
        <v>1227</v>
      </c>
      <c r="F644" s="42" t="s">
        <v>1228</v>
      </c>
    </row>
    <row r="645" spans="1:6" x14ac:dyDescent="0.25">
      <c r="A645" s="1" t="s">
        <v>256</v>
      </c>
      <c r="B645" s="4" t="s">
        <v>366</v>
      </c>
      <c r="C645" s="19">
        <f>B640*B641*B642/B643</f>
        <v>711.0309967712177</v>
      </c>
      <c r="D645" s="1" t="s">
        <v>367</v>
      </c>
      <c r="E645" s="54">
        <v>4600</v>
      </c>
      <c r="F645" s="36">
        <f>E645/(C645/1.5)</f>
        <v>9.7042182849029199</v>
      </c>
    </row>
    <row r="647" spans="1:6" x14ac:dyDescent="0.25">
      <c r="A647" s="1" t="s">
        <v>265</v>
      </c>
      <c r="B647" s="1" t="s">
        <v>1229</v>
      </c>
    </row>
    <row r="649" spans="1:6" x14ac:dyDescent="0.25">
      <c r="A649" s="3" t="s">
        <v>1230</v>
      </c>
    </row>
    <row r="651" spans="1:6" x14ac:dyDescent="0.25">
      <c r="A651" s="3" t="s">
        <v>352</v>
      </c>
    </row>
    <row r="652" spans="1:6" ht="15" x14ac:dyDescent="0.25">
      <c r="A652" s="1" t="s">
        <v>353</v>
      </c>
    </row>
    <row r="653" spans="1:6" x14ac:dyDescent="0.25">
      <c r="A653" s="1" t="s">
        <v>354</v>
      </c>
    </row>
    <row r="654" spans="1:6" x14ac:dyDescent="0.25">
      <c r="A654" s="1" t="s">
        <v>355</v>
      </c>
    </row>
    <row r="655" spans="1:6" x14ac:dyDescent="0.25">
      <c r="B655" s="1" t="s">
        <v>1050</v>
      </c>
    </row>
    <row r="656" spans="1:6" x14ac:dyDescent="0.25">
      <c r="B656" s="1" t="s">
        <v>357</v>
      </c>
    </row>
    <row r="657" spans="1:4" x14ac:dyDescent="0.25">
      <c r="B657" s="1" t="s">
        <v>358</v>
      </c>
    </row>
    <row r="658" spans="1:4" x14ac:dyDescent="0.25">
      <c r="B658" s="1" t="s">
        <v>359</v>
      </c>
    </row>
    <row r="659" spans="1:4" x14ac:dyDescent="0.25">
      <c r="B659" s="1" t="s">
        <v>360</v>
      </c>
    </row>
    <row r="660" spans="1:4" x14ac:dyDescent="0.25">
      <c r="B660" s="1" t="s">
        <v>361</v>
      </c>
    </row>
    <row r="661" spans="1:4" x14ac:dyDescent="0.25">
      <c r="A661" s="1" t="s">
        <v>55</v>
      </c>
    </row>
    <row r="663" spans="1:4" x14ac:dyDescent="0.25">
      <c r="A663" s="3" t="s">
        <v>1231</v>
      </c>
    </row>
    <row r="665" spans="1:4" x14ac:dyDescent="0.25">
      <c r="A665" s="4" t="s">
        <v>278</v>
      </c>
      <c r="B665" s="54">
        <v>716.2</v>
      </c>
      <c r="C665" s="1" t="s">
        <v>46</v>
      </c>
    </row>
    <row r="666" spans="1:4" x14ac:dyDescent="0.25">
      <c r="A666" s="4" t="s">
        <v>363</v>
      </c>
      <c r="B666" s="54">
        <v>1.5</v>
      </c>
      <c r="C666" s="1" t="s">
        <v>46</v>
      </c>
    </row>
    <row r="667" spans="1:4" x14ac:dyDescent="0.25">
      <c r="A667" s="4" t="s">
        <v>364</v>
      </c>
      <c r="B667" s="66">
        <f>B631</f>
        <v>2</v>
      </c>
      <c r="C667" s="1" t="s">
        <v>249</v>
      </c>
    </row>
    <row r="668" spans="1:4" x14ac:dyDescent="0.25">
      <c r="A668" s="4" t="s">
        <v>365</v>
      </c>
      <c r="B668" s="54">
        <v>1800</v>
      </c>
      <c r="C668" s="1" t="s">
        <v>347</v>
      </c>
    </row>
    <row r="670" spans="1:4" x14ac:dyDescent="0.25">
      <c r="A670" s="1" t="s">
        <v>256</v>
      </c>
      <c r="B670" s="4" t="s">
        <v>366</v>
      </c>
      <c r="C670" s="19">
        <f>B665*B666*B667/B668</f>
        <v>1.1936666666666669</v>
      </c>
      <c r="D670" s="1" t="s">
        <v>367</v>
      </c>
    </row>
    <row r="672" spans="1:4" x14ac:dyDescent="0.25">
      <c r="A672" s="1" t="s">
        <v>265</v>
      </c>
      <c r="B672" s="1" t="s">
        <v>1052</v>
      </c>
    </row>
    <row r="674" spans="1:4" x14ac:dyDescent="0.25">
      <c r="A674" s="3" t="s">
        <v>1232</v>
      </c>
    </row>
    <row r="676" spans="1:4" x14ac:dyDescent="0.25">
      <c r="A676" s="4" t="s">
        <v>278</v>
      </c>
      <c r="B676" s="54">
        <v>716.2</v>
      </c>
      <c r="C676" s="1" t="s">
        <v>46</v>
      </c>
    </row>
    <row r="677" spans="1:4" x14ac:dyDescent="0.25">
      <c r="A677" s="4" t="s">
        <v>363</v>
      </c>
      <c r="B677" s="54">
        <v>1.5</v>
      </c>
      <c r="C677" s="1" t="s">
        <v>46</v>
      </c>
    </row>
    <row r="678" spans="1:4" x14ac:dyDescent="0.25">
      <c r="A678" s="4" t="s">
        <v>364</v>
      </c>
      <c r="B678" s="66">
        <f>B667</f>
        <v>2</v>
      </c>
      <c r="C678" s="1" t="s">
        <v>249</v>
      </c>
    </row>
    <row r="679" spans="1:4" x14ac:dyDescent="0.25">
      <c r="A679" s="4" t="s">
        <v>365</v>
      </c>
      <c r="B679" s="68">
        <f>B643</f>
        <v>29.661154149072839</v>
      </c>
      <c r="C679" s="1" t="s">
        <v>347</v>
      </c>
    </row>
    <row r="680" spans="1:4" x14ac:dyDescent="0.25">
      <c r="A680" s="4"/>
    </row>
    <row r="681" spans="1:4" x14ac:dyDescent="0.25">
      <c r="A681" s="1" t="s">
        <v>256</v>
      </c>
      <c r="B681" s="4" t="s">
        <v>366</v>
      </c>
      <c r="C681" s="19">
        <f>B676*B677*B678/B679</f>
        <v>72.438179215867166</v>
      </c>
      <c r="D681" s="1" t="s">
        <v>367</v>
      </c>
    </row>
    <row r="683" spans="1:4" x14ac:dyDescent="0.25">
      <c r="A683" s="1" t="s">
        <v>265</v>
      </c>
    </row>
    <row r="686" spans="1:4" x14ac:dyDescent="0.25">
      <c r="A686" s="3" t="s">
        <v>375</v>
      </c>
    </row>
    <row r="687" spans="1:4" x14ac:dyDescent="0.25">
      <c r="A687" s="3" t="s">
        <v>376</v>
      </c>
    </row>
    <row r="689" spans="1:7" x14ac:dyDescent="0.25">
      <c r="A689" s="3" t="s">
        <v>377</v>
      </c>
    </row>
    <row r="690" spans="1:7" x14ac:dyDescent="0.25">
      <c r="A690" s="3"/>
    </row>
    <row r="692" spans="1:7" x14ac:dyDescent="0.25">
      <c r="B692" s="1" t="s">
        <v>378</v>
      </c>
      <c r="D692" s="70" t="s">
        <v>379</v>
      </c>
    </row>
    <row r="693" spans="1:7" x14ac:dyDescent="0.25">
      <c r="C693" s="42" t="s">
        <v>380</v>
      </c>
      <c r="D693" s="42" t="s">
        <v>381</v>
      </c>
    </row>
    <row r="695" spans="1:7" x14ac:dyDescent="0.25">
      <c r="A695" s="1" t="s">
        <v>382</v>
      </c>
    </row>
    <row r="697" spans="1:7" x14ac:dyDescent="0.25">
      <c r="B697" s="1" t="s">
        <v>383</v>
      </c>
    </row>
    <row r="698" spans="1:7" x14ac:dyDescent="0.25">
      <c r="C698" s="1" t="s">
        <v>384</v>
      </c>
    </row>
    <row r="699" spans="1:7" x14ac:dyDescent="0.25">
      <c r="G699" s="3"/>
    </row>
    <row r="700" spans="1:7" x14ac:dyDescent="0.25">
      <c r="A700" s="1" t="s">
        <v>385</v>
      </c>
      <c r="G700" s="3"/>
    </row>
    <row r="702" spans="1:7" x14ac:dyDescent="0.25">
      <c r="A702" s="4" t="s">
        <v>386</v>
      </c>
      <c r="B702" s="1" t="s">
        <v>387</v>
      </c>
    </row>
    <row r="703" spans="1:7" x14ac:dyDescent="0.25">
      <c r="A703" s="4" t="s">
        <v>28</v>
      </c>
      <c r="B703" s="1" t="s">
        <v>388</v>
      </c>
    </row>
    <row r="704" spans="1:7" x14ac:dyDescent="0.25">
      <c r="A704" s="4" t="s">
        <v>248</v>
      </c>
      <c r="B704" s="1" t="s">
        <v>389</v>
      </c>
    </row>
    <row r="705" spans="1:4" x14ac:dyDescent="0.25">
      <c r="A705" s="4" t="s">
        <v>278</v>
      </c>
      <c r="B705" s="1" t="s">
        <v>390</v>
      </c>
    </row>
    <row r="707" spans="1:4" x14ac:dyDescent="0.25">
      <c r="A707" s="3" t="s">
        <v>391</v>
      </c>
    </row>
    <row r="708" spans="1:4" x14ac:dyDescent="0.25">
      <c r="B708" s="4" t="s">
        <v>386</v>
      </c>
      <c r="C708" s="18">
        <v>50000</v>
      </c>
      <c r="D708" s="1" t="s">
        <v>392</v>
      </c>
    </row>
    <row r="709" spans="1:4" x14ac:dyDescent="0.25">
      <c r="B709" s="4" t="s">
        <v>28</v>
      </c>
      <c r="C709" s="19">
        <f>B643</f>
        <v>29.661154149072839</v>
      </c>
      <c r="D709" s="1" t="s">
        <v>347</v>
      </c>
    </row>
    <row r="710" spans="1:4" x14ac:dyDescent="0.25">
      <c r="B710" s="4" t="s">
        <v>248</v>
      </c>
      <c r="C710" s="19">
        <f>9.8*B581/2</f>
        <v>2438.4430391749379</v>
      </c>
      <c r="D710" s="1" t="s">
        <v>393</v>
      </c>
    </row>
    <row r="711" spans="1:4" x14ac:dyDescent="0.25">
      <c r="A711" s="4" t="s">
        <v>394</v>
      </c>
      <c r="B711" s="4"/>
    </row>
    <row r="712" spans="1:4" x14ac:dyDescent="0.25">
      <c r="B712" s="4" t="s">
        <v>278</v>
      </c>
      <c r="C712" s="19">
        <f>C710*POWER((C708*C709*60/1000000),1/3)</f>
        <v>10886.352233240026</v>
      </c>
      <c r="D712" s="1" t="s">
        <v>393</v>
      </c>
    </row>
    <row r="713" spans="1:4" x14ac:dyDescent="0.25">
      <c r="B713" s="4"/>
    </row>
    <row r="715" spans="1:4" x14ac:dyDescent="0.25">
      <c r="A715" s="3" t="s">
        <v>395</v>
      </c>
    </row>
    <row r="716" spans="1:4" x14ac:dyDescent="0.25">
      <c r="B716" s="4" t="s">
        <v>386</v>
      </c>
      <c r="C716" s="18">
        <v>50000</v>
      </c>
      <c r="D716" s="1" t="s">
        <v>392</v>
      </c>
    </row>
    <row r="717" spans="1:4" x14ac:dyDescent="0.25">
      <c r="B717" s="4" t="s">
        <v>28</v>
      </c>
      <c r="C717" s="19">
        <f>C709</f>
        <v>29.661154149072839</v>
      </c>
      <c r="D717" s="1" t="s">
        <v>347</v>
      </c>
    </row>
    <row r="718" spans="1:4" x14ac:dyDescent="0.25">
      <c r="B718" s="4" t="s">
        <v>248</v>
      </c>
      <c r="C718" s="19">
        <f>9.8*B600/2</f>
        <v>690.06866319413325</v>
      </c>
      <c r="D718" s="1" t="s">
        <v>393</v>
      </c>
    </row>
    <row r="719" spans="1:4" x14ac:dyDescent="0.25">
      <c r="A719" s="4" t="s">
        <v>394</v>
      </c>
    </row>
    <row r="720" spans="1:4" x14ac:dyDescent="0.25">
      <c r="B720" s="4" t="s">
        <v>278</v>
      </c>
      <c r="C720" s="19">
        <f>C718*POWER((C716*C717*60/1000000),1/3)</f>
        <v>3080.789836778084</v>
      </c>
      <c r="D720" s="1" t="s">
        <v>393</v>
      </c>
    </row>
    <row r="724" spans="1:2" x14ac:dyDescent="0.25">
      <c r="A724" s="18"/>
      <c r="B724" s="1" t="s">
        <v>396</v>
      </c>
    </row>
    <row r="725" spans="1:2" x14ac:dyDescent="0.25">
      <c r="A725" s="19"/>
      <c r="B725" s="1" t="s">
        <v>397</v>
      </c>
    </row>
  </sheetData>
  <mergeCells count="7">
    <mergeCell ref="N575:O575"/>
    <mergeCell ref="A190:B190"/>
    <mergeCell ref="A191:B191"/>
    <mergeCell ref="D291:E291"/>
    <mergeCell ref="E433:G433"/>
    <mergeCell ref="I478:O478"/>
    <mergeCell ref="I480:R480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>
    <oddHeader>&amp;CPLAMIL Planejamento e Montagem Lndustrial Ltda&amp;R&amp;P</oddHeader>
    <oddFooter xml:space="preserve">&amp;CADMINISTRAÇÃO: Av. Winston Churchill, 916   C. C. Claudino Capão Raso - Curitiba – PR
Fone: 41 346-1123  Fax: 41 248-1248     e-mail: plamil@softone.com.br   www.plamil.com.br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741A-150E-4F87-85C2-7506BAEFA54D}">
  <sheetPr>
    <tabColor theme="9" tint="0.59999389629810485"/>
  </sheetPr>
  <dimension ref="A2:Z725"/>
  <sheetViews>
    <sheetView showGridLines="0" topLeftCell="A420" zoomScaleNormal="100" workbookViewId="0">
      <selection activeCell="B440" sqref="B440"/>
    </sheetView>
  </sheetViews>
  <sheetFormatPr defaultColWidth="8.77734375" defaultRowHeight="13.2" x14ac:dyDescent="0.25"/>
  <cols>
    <col min="1" max="1" width="9.77734375" style="1" customWidth="1"/>
    <col min="2" max="2" width="9.44140625" style="1" bestFit="1" customWidth="1"/>
    <col min="3" max="3" width="8.44140625" style="1" customWidth="1"/>
    <col min="4" max="4" width="7.44140625" style="1" customWidth="1"/>
    <col min="5" max="5" width="8.77734375" style="1" customWidth="1"/>
    <col min="6" max="6" width="7.21875" style="1" customWidth="1"/>
    <col min="7" max="7" width="8.21875" style="1" customWidth="1"/>
    <col min="8" max="8" width="9.44140625" style="1" customWidth="1"/>
    <col min="9" max="9" width="8.21875" style="1" customWidth="1"/>
    <col min="10" max="12" width="9.21875" style="1"/>
    <col min="13" max="13" width="15.44140625" style="1" customWidth="1"/>
    <col min="14" max="256" width="9.21875" style="1"/>
    <col min="257" max="257" width="9.77734375" style="1" customWidth="1"/>
    <col min="258" max="258" width="9.44140625" style="1" bestFit="1" customWidth="1"/>
    <col min="259" max="259" width="8.44140625" style="1" customWidth="1"/>
    <col min="260" max="260" width="7.44140625" style="1" customWidth="1"/>
    <col min="261" max="261" width="8.77734375" style="1" customWidth="1"/>
    <col min="262" max="262" width="7.21875" style="1" customWidth="1"/>
    <col min="263" max="263" width="8.21875" style="1" customWidth="1"/>
    <col min="264" max="264" width="9.44140625" style="1" customWidth="1"/>
    <col min="265" max="265" width="8.21875" style="1" customWidth="1"/>
    <col min="266" max="268" width="9.21875" style="1"/>
    <col min="269" max="269" width="15.44140625" style="1" customWidth="1"/>
    <col min="270" max="512" width="9.21875" style="1"/>
    <col min="513" max="513" width="9.77734375" style="1" customWidth="1"/>
    <col min="514" max="514" width="9.44140625" style="1" bestFit="1" customWidth="1"/>
    <col min="515" max="515" width="8.44140625" style="1" customWidth="1"/>
    <col min="516" max="516" width="7.44140625" style="1" customWidth="1"/>
    <col min="517" max="517" width="8.77734375" style="1" customWidth="1"/>
    <col min="518" max="518" width="7.21875" style="1" customWidth="1"/>
    <col min="519" max="519" width="8.21875" style="1" customWidth="1"/>
    <col min="520" max="520" width="9.44140625" style="1" customWidth="1"/>
    <col min="521" max="521" width="8.21875" style="1" customWidth="1"/>
    <col min="522" max="524" width="9.21875" style="1"/>
    <col min="525" max="525" width="15.44140625" style="1" customWidth="1"/>
    <col min="526" max="768" width="9.21875" style="1"/>
    <col min="769" max="769" width="9.77734375" style="1" customWidth="1"/>
    <col min="770" max="770" width="9.44140625" style="1" bestFit="1" customWidth="1"/>
    <col min="771" max="771" width="8.44140625" style="1" customWidth="1"/>
    <col min="772" max="772" width="7.44140625" style="1" customWidth="1"/>
    <col min="773" max="773" width="8.77734375" style="1" customWidth="1"/>
    <col min="774" max="774" width="7.21875" style="1" customWidth="1"/>
    <col min="775" max="775" width="8.21875" style="1" customWidth="1"/>
    <col min="776" max="776" width="9.44140625" style="1" customWidth="1"/>
    <col min="777" max="777" width="8.21875" style="1" customWidth="1"/>
    <col min="778" max="780" width="9.21875" style="1"/>
    <col min="781" max="781" width="15.44140625" style="1" customWidth="1"/>
    <col min="782" max="1024" width="9.21875" style="1"/>
    <col min="1025" max="1025" width="9.77734375" style="1" customWidth="1"/>
    <col min="1026" max="1026" width="9.44140625" style="1" bestFit="1" customWidth="1"/>
    <col min="1027" max="1027" width="8.44140625" style="1" customWidth="1"/>
    <col min="1028" max="1028" width="7.44140625" style="1" customWidth="1"/>
    <col min="1029" max="1029" width="8.77734375" style="1" customWidth="1"/>
    <col min="1030" max="1030" width="7.21875" style="1" customWidth="1"/>
    <col min="1031" max="1031" width="8.21875" style="1" customWidth="1"/>
    <col min="1032" max="1032" width="9.44140625" style="1" customWidth="1"/>
    <col min="1033" max="1033" width="8.21875" style="1" customWidth="1"/>
    <col min="1034" max="1036" width="9.21875" style="1"/>
    <col min="1037" max="1037" width="15.44140625" style="1" customWidth="1"/>
    <col min="1038" max="1280" width="9.21875" style="1"/>
    <col min="1281" max="1281" width="9.77734375" style="1" customWidth="1"/>
    <col min="1282" max="1282" width="9.44140625" style="1" bestFit="1" customWidth="1"/>
    <col min="1283" max="1283" width="8.44140625" style="1" customWidth="1"/>
    <col min="1284" max="1284" width="7.44140625" style="1" customWidth="1"/>
    <col min="1285" max="1285" width="8.77734375" style="1" customWidth="1"/>
    <col min="1286" max="1286" width="7.21875" style="1" customWidth="1"/>
    <col min="1287" max="1287" width="8.21875" style="1" customWidth="1"/>
    <col min="1288" max="1288" width="9.44140625" style="1" customWidth="1"/>
    <col min="1289" max="1289" width="8.21875" style="1" customWidth="1"/>
    <col min="1290" max="1292" width="9.21875" style="1"/>
    <col min="1293" max="1293" width="15.44140625" style="1" customWidth="1"/>
    <col min="1294" max="1536" width="9.21875" style="1"/>
    <col min="1537" max="1537" width="9.77734375" style="1" customWidth="1"/>
    <col min="1538" max="1538" width="9.44140625" style="1" bestFit="1" customWidth="1"/>
    <col min="1539" max="1539" width="8.44140625" style="1" customWidth="1"/>
    <col min="1540" max="1540" width="7.44140625" style="1" customWidth="1"/>
    <col min="1541" max="1541" width="8.77734375" style="1" customWidth="1"/>
    <col min="1542" max="1542" width="7.21875" style="1" customWidth="1"/>
    <col min="1543" max="1543" width="8.21875" style="1" customWidth="1"/>
    <col min="1544" max="1544" width="9.44140625" style="1" customWidth="1"/>
    <col min="1545" max="1545" width="8.21875" style="1" customWidth="1"/>
    <col min="1546" max="1548" width="9.21875" style="1"/>
    <col min="1549" max="1549" width="15.44140625" style="1" customWidth="1"/>
    <col min="1550" max="1792" width="9.21875" style="1"/>
    <col min="1793" max="1793" width="9.77734375" style="1" customWidth="1"/>
    <col min="1794" max="1794" width="9.44140625" style="1" bestFit="1" customWidth="1"/>
    <col min="1795" max="1795" width="8.44140625" style="1" customWidth="1"/>
    <col min="1796" max="1796" width="7.44140625" style="1" customWidth="1"/>
    <col min="1797" max="1797" width="8.77734375" style="1" customWidth="1"/>
    <col min="1798" max="1798" width="7.21875" style="1" customWidth="1"/>
    <col min="1799" max="1799" width="8.21875" style="1" customWidth="1"/>
    <col min="1800" max="1800" width="9.44140625" style="1" customWidth="1"/>
    <col min="1801" max="1801" width="8.21875" style="1" customWidth="1"/>
    <col min="1802" max="1804" width="9.21875" style="1"/>
    <col min="1805" max="1805" width="15.44140625" style="1" customWidth="1"/>
    <col min="1806" max="2048" width="9.21875" style="1"/>
    <col min="2049" max="2049" width="9.77734375" style="1" customWidth="1"/>
    <col min="2050" max="2050" width="9.44140625" style="1" bestFit="1" customWidth="1"/>
    <col min="2051" max="2051" width="8.44140625" style="1" customWidth="1"/>
    <col min="2052" max="2052" width="7.44140625" style="1" customWidth="1"/>
    <col min="2053" max="2053" width="8.77734375" style="1" customWidth="1"/>
    <col min="2054" max="2054" width="7.21875" style="1" customWidth="1"/>
    <col min="2055" max="2055" width="8.21875" style="1" customWidth="1"/>
    <col min="2056" max="2056" width="9.44140625" style="1" customWidth="1"/>
    <col min="2057" max="2057" width="8.21875" style="1" customWidth="1"/>
    <col min="2058" max="2060" width="9.21875" style="1"/>
    <col min="2061" max="2061" width="15.44140625" style="1" customWidth="1"/>
    <col min="2062" max="2304" width="9.21875" style="1"/>
    <col min="2305" max="2305" width="9.77734375" style="1" customWidth="1"/>
    <col min="2306" max="2306" width="9.44140625" style="1" bestFit="1" customWidth="1"/>
    <col min="2307" max="2307" width="8.44140625" style="1" customWidth="1"/>
    <col min="2308" max="2308" width="7.44140625" style="1" customWidth="1"/>
    <col min="2309" max="2309" width="8.77734375" style="1" customWidth="1"/>
    <col min="2310" max="2310" width="7.21875" style="1" customWidth="1"/>
    <col min="2311" max="2311" width="8.21875" style="1" customWidth="1"/>
    <col min="2312" max="2312" width="9.44140625" style="1" customWidth="1"/>
    <col min="2313" max="2313" width="8.21875" style="1" customWidth="1"/>
    <col min="2314" max="2316" width="9.21875" style="1"/>
    <col min="2317" max="2317" width="15.44140625" style="1" customWidth="1"/>
    <col min="2318" max="2560" width="9.21875" style="1"/>
    <col min="2561" max="2561" width="9.77734375" style="1" customWidth="1"/>
    <col min="2562" max="2562" width="9.44140625" style="1" bestFit="1" customWidth="1"/>
    <col min="2563" max="2563" width="8.44140625" style="1" customWidth="1"/>
    <col min="2564" max="2564" width="7.44140625" style="1" customWidth="1"/>
    <col min="2565" max="2565" width="8.77734375" style="1" customWidth="1"/>
    <col min="2566" max="2566" width="7.21875" style="1" customWidth="1"/>
    <col min="2567" max="2567" width="8.21875" style="1" customWidth="1"/>
    <col min="2568" max="2568" width="9.44140625" style="1" customWidth="1"/>
    <col min="2569" max="2569" width="8.21875" style="1" customWidth="1"/>
    <col min="2570" max="2572" width="9.21875" style="1"/>
    <col min="2573" max="2573" width="15.44140625" style="1" customWidth="1"/>
    <col min="2574" max="2816" width="9.21875" style="1"/>
    <col min="2817" max="2817" width="9.77734375" style="1" customWidth="1"/>
    <col min="2818" max="2818" width="9.44140625" style="1" bestFit="1" customWidth="1"/>
    <col min="2819" max="2819" width="8.44140625" style="1" customWidth="1"/>
    <col min="2820" max="2820" width="7.44140625" style="1" customWidth="1"/>
    <col min="2821" max="2821" width="8.77734375" style="1" customWidth="1"/>
    <col min="2822" max="2822" width="7.21875" style="1" customWidth="1"/>
    <col min="2823" max="2823" width="8.21875" style="1" customWidth="1"/>
    <col min="2824" max="2824" width="9.44140625" style="1" customWidth="1"/>
    <col min="2825" max="2825" width="8.21875" style="1" customWidth="1"/>
    <col min="2826" max="2828" width="9.21875" style="1"/>
    <col min="2829" max="2829" width="15.44140625" style="1" customWidth="1"/>
    <col min="2830" max="3072" width="9.21875" style="1"/>
    <col min="3073" max="3073" width="9.77734375" style="1" customWidth="1"/>
    <col min="3074" max="3074" width="9.44140625" style="1" bestFit="1" customWidth="1"/>
    <col min="3075" max="3075" width="8.44140625" style="1" customWidth="1"/>
    <col min="3076" max="3076" width="7.44140625" style="1" customWidth="1"/>
    <col min="3077" max="3077" width="8.77734375" style="1" customWidth="1"/>
    <col min="3078" max="3078" width="7.21875" style="1" customWidth="1"/>
    <col min="3079" max="3079" width="8.21875" style="1" customWidth="1"/>
    <col min="3080" max="3080" width="9.44140625" style="1" customWidth="1"/>
    <col min="3081" max="3081" width="8.21875" style="1" customWidth="1"/>
    <col min="3082" max="3084" width="9.21875" style="1"/>
    <col min="3085" max="3085" width="15.44140625" style="1" customWidth="1"/>
    <col min="3086" max="3328" width="9.21875" style="1"/>
    <col min="3329" max="3329" width="9.77734375" style="1" customWidth="1"/>
    <col min="3330" max="3330" width="9.44140625" style="1" bestFit="1" customWidth="1"/>
    <col min="3331" max="3331" width="8.44140625" style="1" customWidth="1"/>
    <col min="3332" max="3332" width="7.44140625" style="1" customWidth="1"/>
    <col min="3333" max="3333" width="8.77734375" style="1" customWidth="1"/>
    <col min="3334" max="3334" width="7.21875" style="1" customWidth="1"/>
    <col min="3335" max="3335" width="8.21875" style="1" customWidth="1"/>
    <col min="3336" max="3336" width="9.44140625" style="1" customWidth="1"/>
    <col min="3337" max="3337" width="8.21875" style="1" customWidth="1"/>
    <col min="3338" max="3340" width="9.21875" style="1"/>
    <col min="3341" max="3341" width="15.44140625" style="1" customWidth="1"/>
    <col min="3342" max="3584" width="9.21875" style="1"/>
    <col min="3585" max="3585" width="9.77734375" style="1" customWidth="1"/>
    <col min="3586" max="3586" width="9.44140625" style="1" bestFit="1" customWidth="1"/>
    <col min="3587" max="3587" width="8.44140625" style="1" customWidth="1"/>
    <col min="3588" max="3588" width="7.44140625" style="1" customWidth="1"/>
    <col min="3589" max="3589" width="8.77734375" style="1" customWidth="1"/>
    <col min="3590" max="3590" width="7.21875" style="1" customWidth="1"/>
    <col min="3591" max="3591" width="8.21875" style="1" customWidth="1"/>
    <col min="3592" max="3592" width="9.44140625" style="1" customWidth="1"/>
    <col min="3593" max="3593" width="8.21875" style="1" customWidth="1"/>
    <col min="3594" max="3596" width="9.21875" style="1"/>
    <col min="3597" max="3597" width="15.44140625" style="1" customWidth="1"/>
    <col min="3598" max="3840" width="9.21875" style="1"/>
    <col min="3841" max="3841" width="9.77734375" style="1" customWidth="1"/>
    <col min="3842" max="3842" width="9.44140625" style="1" bestFit="1" customWidth="1"/>
    <col min="3843" max="3843" width="8.44140625" style="1" customWidth="1"/>
    <col min="3844" max="3844" width="7.44140625" style="1" customWidth="1"/>
    <col min="3845" max="3845" width="8.77734375" style="1" customWidth="1"/>
    <col min="3846" max="3846" width="7.21875" style="1" customWidth="1"/>
    <col min="3847" max="3847" width="8.21875" style="1" customWidth="1"/>
    <col min="3848" max="3848" width="9.44140625" style="1" customWidth="1"/>
    <col min="3849" max="3849" width="8.21875" style="1" customWidth="1"/>
    <col min="3850" max="3852" width="9.21875" style="1"/>
    <col min="3853" max="3853" width="15.44140625" style="1" customWidth="1"/>
    <col min="3854" max="4096" width="9.21875" style="1"/>
    <col min="4097" max="4097" width="9.77734375" style="1" customWidth="1"/>
    <col min="4098" max="4098" width="9.44140625" style="1" bestFit="1" customWidth="1"/>
    <col min="4099" max="4099" width="8.44140625" style="1" customWidth="1"/>
    <col min="4100" max="4100" width="7.44140625" style="1" customWidth="1"/>
    <col min="4101" max="4101" width="8.77734375" style="1" customWidth="1"/>
    <col min="4102" max="4102" width="7.21875" style="1" customWidth="1"/>
    <col min="4103" max="4103" width="8.21875" style="1" customWidth="1"/>
    <col min="4104" max="4104" width="9.44140625" style="1" customWidth="1"/>
    <col min="4105" max="4105" width="8.21875" style="1" customWidth="1"/>
    <col min="4106" max="4108" width="9.21875" style="1"/>
    <col min="4109" max="4109" width="15.44140625" style="1" customWidth="1"/>
    <col min="4110" max="4352" width="9.21875" style="1"/>
    <col min="4353" max="4353" width="9.77734375" style="1" customWidth="1"/>
    <col min="4354" max="4354" width="9.44140625" style="1" bestFit="1" customWidth="1"/>
    <col min="4355" max="4355" width="8.44140625" style="1" customWidth="1"/>
    <col min="4356" max="4356" width="7.44140625" style="1" customWidth="1"/>
    <col min="4357" max="4357" width="8.77734375" style="1" customWidth="1"/>
    <col min="4358" max="4358" width="7.21875" style="1" customWidth="1"/>
    <col min="4359" max="4359" width="8.21875" style="1" customWidth="1"/>
    <col min="4360" max="4360" width="9.44140625" style="1" customWidth="1"/>
    <col min="4361" max="4361" width="8.21875" style="1" customWidth="1"/>
    <col min="4362" max="4364" width="9.21875" style="1"/>
    <col min="4365" max="4365" width="15.44140625" style="1" customWidth="1"/>
    <col min="4366" max="4608" width="9.21875" style="1"/>
    <col min="4609" max="4609" width="9.77734375" style="1" customWidth="1"/>
    <col min="4610" max="4610" width="9.44140625" style="1" bestFit="1" customWidth="1"/>
    <col min="4611" max="4611" width="8.44140625" style="1" customWidth="1"/>
    <col min="4612" max="4612" width="7.44140625" style="1" customWidth="1"/>
    <col min="4613" max="4613" width="8.77734375" style="1" customWidth="1"/>
    <col min="4614" max="4614" width="7.21875" style="1" customWidth="1"/>
    <col min="4615" max="4615" width="8.21875" style="1" customWidth="1"/>
    <col min="4616" max="4616" width="9.44140625" style="1" customWidth="1"/>
    <col min="4617" max="4617" width="8.21875" style="1" customWidth="1"/>
    <col min="4618" max="4620" width="9.21875" style="1"/>
    <col min="4621" max="4621" width="15.44140625" style="1" customWidth="1"/>
    <col min="4622" max="4864" width="9.21875" style="1"/>
    <col min="4865" max="4865" width="9.77734375" style="1" customWidth="1"/>
    <col min="4866" max="4866" width="9.44140625" style="1" bestFit="1" customWidth="1"/>
    <col min="4867" max="4867" width="8.44140625" style="1" customWidth="1"/>
    <col min="4868" max="4868" width="7.44140625" style="1" customWidth="1"/>
    <col min="4869" max="4869" width="8.77734375" style="1" customWidth="1"/>
    <col min="4870" max="4870" width="7.21875" style="1" customWidth="1"/>
    <col min="4871" max="4871" width="8.21875" style="1" customWidth="1"/>
    <col min="4872" max="4872" width="9.44140625" style="1" customWidth="1"/>
    <col min="4873" max="4873" width="8.21875" style="1" customWidth="1"/>
    <col min="4874" max="4876" width="9.21875" style="1"/>
    <col min="4877" max="4877" width="15.44140625" style="1" customWidth="1"/>
    <col min="4878" max="5120" width="9.21875" style="1"/>
    <col min="5121" max="5121" width="9.77734375" style="1" customWidth="1"/>
    <col min="5122" max="5122" width="9.44140625" style="1" bestFit="1" customWidth="1"/>
    <col min="5123" max="5123" width="8.44140625" style="1" customWidth="1"/>
    <col min="5124" max="5124" width="7.44140625" style="1" customWidth="1"/>
    <col min="5125" max="5125" width="8.77734375" style="1" customWidth="1"/>
    <col min="5126" max="5126" width="7.21875" style="1" customWidth="1"/>
    <col min="5127" max="5127" width="8.21875" style="1" customWidth="1"/>
    <col min="5128" max="5128" width="9.44140625" style="1" customWidth="1"/>
    <col min="5129" max="5129" width="8.21875" style="1" customWidth="1"/>
    <col min="5130" max="5132" width="9.21875" style="1"/>
    <col min="5133" max="5133" width="15.44140625" style="1" customWidth="1"/>
    <col min="5134" max="5376" width="9.21875" style="1"/>
    <col min="5377" max="5377" width="9.77734375" style="1" customWidth="1"/>
    <col min="5378" max="5378" width="9.44140625" style="1" bestFit="1" customWidth="1"/>
    <col min="5379" max="5379" width="8.44140625" style="1" customWidth="1"/>
    <col min="5380" max="5380" width="7.44140625" style="1" customWidth="1"/>
    <col min="5381" max="5381" width="8.77734375" style="1" customWidth="1"/>
    <col min="5382" max="5382" width="7.21875" style="1" customWidth="1"/>
    <col min="5383" max="5383" width="8.21875" style="1" customWidth="1"/>
    <col min="5384" max="5384" width="9.44140625" style="1" customWidth="1"/>
    <col min="5385" max="5385" width="8.21875" style="1" customWidth="1"/>
    <col min="5386" max="5388" width="9.21875" style="1"/>
    <col min="5389" max="5389" width="15.44140625" style="1" customWidth="1"/>
    <col min="5390" max="5632" width="9.21875" style="1"/>
    <col min="5633" max="5633" width="9.77734375" style="1" customWidth="1"/>
    <col min="5634" max="5634" width="9.44140625" style="1" bestFit="1" customWidth="1"/>
    <col min="5635" max="5635" width="8.44140625" style="1" customWidth="1"/>
    <col min="5636" max="5636" width="7.44140625" style="1" customWidth="1"/>
    <col min="5637" max="5637" width="8.77734375" style="1" customWidth="1"/>
    <col min="5638" max="5638" width="7.21875" style="1" customWidth="1"/>
    <col min="5639" max="5639" width="8.21875" style="1" customWidth="1"/>
    <col min="5640" max="5640" width="9.44140625" style="1" customWidth="1"/>
    <col min="5641" max="5641" width="8.21875" style="1" customWidth="1"/>
    <col min="5642" max="5644" width="9.21875" style="1"/>
    <col min="5645" max="5645" width="15.44140625" style="1" customWidth="1"/>
    <col min="5646" max="5888" width="9.21875" style="1"/>
    <col min="5889" max="5889" width="9.77734375" style="1" customWidth="1"/>
    <col min="5890" max="5890" width="9.44140625" style="1" bestFit="1" customWidth="1"/>
    <col min="5891" max="5891" width="8.44140625" style="1" customWidth="1"/>
    <col min="5892" max="5892" width="7.44140625" style="1" customWidth="1"/>
    <col min="5893" max="5893" width="8.77734375" style="1" customWidth="1"/>
    <col min="5894" max="5894" width="7.21875" style="1" customWidth="1"/>
    <col min="5895" max="5895" width="8.21875" style="1" customWidth="1"/>
    <col min="5896" max="5896" width="9.44140625" style="1" customWidth="1"/>
    <col min="5897" max="5897" width="8.21875" style="1" customWidth="1"/>
    <col min="5898" max="5900" width="9.21875" style="1"/>
    <col min="5901" max="5901" width="15.44140625" style="1" customWidth="1"/>
    <col min="5902" max="6144" width="9.21875" style="1"/>
    <col min="6145" max="6145" width="9.77734375" style="1" customWidth="1"/>
    <col min="6146" max="6146" width="9.44140625" style="1" bestFit="1" customWidth="1"/>
    <col min="6147" max="6147" width="8.44140625" style="1" customWidth="1"/>
    <col min="6148" max="6148" width="7.44140625" style="1" customWidth="1"/>
    <col min="6149" max="6149" width="8.77734375" style="1" customWidth="1"/>
    <col min="6150" max="6150" width="7.21875" style="1" customWidth="1"/>
    <col min="6151" max="6151" width="8.21875" style="1" customWidth="1"/>
    <col min="6152" max="6152" width="9.44140625" style="1" customWidth="1"/>
    <col min="6153" max="6153" width="8.21875" style="1" customWidth="1"/>
    <col min="6154" max="6156" width="9.21875" style="1"/>
    <col min="6157" max="6157" width="15.44140625" style="1" customWidth="1"/>
    <col min="6158" max="6400" width="9.21875" style="1"/>
    <col min="6401" max="6401" width="9.77734375" style="1" customWidth="1"/>
    <col min="6402" max="6402" width="9.44140625" style="1" bestFit="1" customWidth="1"/>
    <col min="6403" max="6403" width="8.44140625" style="1" customWidth="1"/>
    <col min="6404" max="6404" width="7.44140625" style="1" customWidth="1"/>
    <col min="6405" max="6405" width="8.77734375" style="1" customWidth="1"/>
    <col min="6406" max="6406" width="7.21875" style="1" customWidth="1"/>
    <col min="6407" max="6407" width="8.21875" style="1" customWidth="1"/>
    <col min="6408" max="6408" width="9.44140625" style="1" customWidth="1"/>
    <col min="6409" max="6409" width="8.21875" style="1" customWidth="1"/>
    <col min="6410" max="6412" width="9.21875" style="1"/>
    <col min="6413" max="6413" width="15.44140625" style="1" customWidth="1"/>
    <col min="6414" max="6656" width="9.21875" style="1"/>
    <col min="6657" max="6657" width="9.77734375" style="1" customWidth="1"/>
    <col min="6658" max="6658" width="9.44140625" style="1" bestFit="1" customWidth="1"/>
    <col min="6659" max="6659" width="8.44140625" style="1" customWidth="1"/>
    <col min="6660" max="6660" width="7.44140625" style="1" customWidth="1"/>
    <col min="6661" max="6661" width="8.77734375" style="1" customWidth="1"/>
    <col min="6662" max="6662" width="7.21875" style="1" customWidth="1"/>
    <col min="6663" max="6663" width="8.21875" style="1" customWidth="1"/>
    <col min="6664" max="6664" width="9.44140625" style="1" customWidth="1"/>
    <col min="6665" max="6665" width="8.21875" style="1" customWidth="1"/>
    <col min="6666" max="6668" width="9.21875" style="1"/>
    <col min="6669" max="6669" width="15.44140625" style="1" customWidth="1"/>
    <col min="6670" max="6912" width="9.21875" style="1"/>
    <col min="6913" max="6913" width="9.77734375" style="1" customWidth="1"/>
    <col min="6914" max="6914" width="9.44140625" style="1" bestFit="1" customWidth="1"/>
    <col min="6915" max="6915" width="8.44140625" style="1" customWidth="1"/>
    <col min="6916" max="6916" width="7.44140625" style="1" customWidth="1"/>
    <col min="6917" max="6917" width="8.77734375" style="1" customWidth="1"/>
    <col min="6918" max="6918" width="7.21875" style="1" customWidth="1"/>
    <col min="6919" max="6919" width="8.21875" style="1" customWidth="1"/>
    <col min="6920" max="6920" width="9.44140625" style="1" customWidth="1"/>
    <col min="6921" max="6921" width="8.21875" style="1" customWidth="1"/>
    <col min="6922" max="6924" width="9.21875" style="1"/>
    <col min="6925" max="6925" width="15.44140625" style="1" customWidth="1"/>
    <col min="6926" max="7168" width="9.21875" style="1"/>
    <col min="7169" max="7169" width="9.77734375" style="1" customWidth="1"/>
    <col min="7170" max="7170" width="9.44140625" style="1" bestFit="1" customWidth="1"/>
    <col min="7171" max="7171" width="8.44140625" style="1" customWidth="1"/>
    <col min="7172" max="7172" width="7.44140625" style="1" customWidth="1"/>
    <col min="7173" max="7173" width="8.77734375" style="1" customWidth="1"/>
    <col min="7174" max="7174" width="7.21875" style="1" customWidth="1"/>
    <col min="7175" max="7175" width="8.21875" style="1" customWidth="1"/>
    <col min="7176" max="7176" width="9.44140625" style="1" customWidth="1"/>
    <col min="7177" max="7177" width="8.21875" style="1" customWidth="1"/>
    <col min="7178" max="7180" width="9.21875" style="1"/>
    <col min="7181" max="7181" width="15.44140625" style="1" customWidth="1"/>
    <col min="7182" max="7424" width="9.21875" style="1"/>
    <col min="7425" max="7425" width="9.77734375" style="1" customWidth="1"/>
    <col min="7426" max="7426" width="9.44140625" style="1" bestFit="1" customWidth="1"/>
    <col min="7427" max="7427" width="8.44140625" style="1" customWidth="1"/>
    <col min="7428" max="7428" width="7.44140625" style="1" customWidth="1"/>
    <col min="7429" max="7429" width="8.77734375" style="1" customWidth="1"/>
    <col min="7430" max="7430" width="7.21875" style="1" customWidth="1"/>
    <col min="7431" max="7431" width="8.21875" style="1" customWidth="1"/>
    <col min="7432" max="7432" width="9.44140625" style="1" customWidth="1"/>
    <col min="7433" max="7433" width="8.21875" style="1" customWidth="1"/>
    <col min="7434" max="7436" width="9.21875" style="1"/>
    <col min="7437" max="7437" width="15.44140625" style="1" customWidth="1"/>
    <col min="7438" max="7680" width="9.21875" style="1"/>
    <col min="7681" max="7681" width="9.77734375" style="1" customWidth="1"/>
    <col min="7682" max="7682" width="9.44140625" style="1" bestFit="1" customWidth="1"/>
    <col min="7683" max="7683" width="8.44140625" style="1" customWidth="1"/>
    <col min="7684" max="7684" width="7.44140625" style="1" customWidth="1"/>
    <col min="7685" max="7685" width="8.77734375" style="1" customWidth="1"/>
    <col min="7686" max="7686" width="7.21875" style="1" customWidth="1"/>
    <col min="7687" max="7687" width="8.21875" style="1" customWidth="1"/>
    <col min="7688" max="7688" width="9.44140625" style="1" customWidth="1"/>
    <col min="7689" max="7689" width="8.21875" style="1" customWidth="1"/>
    <col min="7690" max="7692" width="9.21875" style="1"/>
    <col min="7693" max="7693" width="15.44140625" style="1" customWidth="1"/>
    <col min="7694" max="7936" width="9.21875" style="1"/>
    <col min="7937" max="7937" width="9.77734375" style="1" customWidth="1"/>
    <col min="7938" max="7938" width="9.44140625" style="1" bestFit="1" customWidth="1"/>
    <col min="7939" max="7939" width="8.44140625" style="1" customWidth="1"/>
    <col min="7940" max="7940" width="7.44140625" style="1" customWidth="1"/>
    <col min="7941" max="7941" width="8.77734375" style="1" customWidth="1"/>
    <col min="7942" max="7942" width="7.21875" style="1" customWidth="1"/>
    <col min="7943" max="7943" width="8.21875" style="1" customWidth="1"/>
    <col min="7944" max="7944" width="9.44140625" style="1" customWidth="1"/>
    <col min="7945" max="7945" width="8.21875" style="1" customWidth="1"/>
    <col min="7946" max="7948" width="9.21875" style="1"/>
    <col min="7949" max="7949" width="15.44140625" style="1" customWidth="1"/>
    <col min="7950" max="8192" width="9.21875" style="1"/>
    <col min="8193" max="8193" width="9.77734375" style="1" customWidth="1"/>
    <col min="8194" max="8194" width="9.44140625" style="1" bestFit="1" customWidth="1"/>
    <col min="8195" max="8195" width="8.44140625" style="1" customWidth="1"/>
    <col min="8196" max="8196" width="7.44140625" style="1" customWidth="1"/>
    <col min="8197" max="8197" width="8.77734375" style="1" customWidth="1"/>
    <col min="8198" max="8198" width="7.21875" style="1" customWidth="1"/>
    <col min="8199" max="8199" width="8.21875" style="1" customWidth="1"/>
    <col min="8200" max="8200" width="9.44140625" style="1" customWidth="1"/>
    <col min="8201" max="8201" width="8.21875" style="1" customWidth="1"/>
    <col min="8202" max="8204" width="9.21875" style="1"/>
    <col min="8205" max="8205" width="15.44140625" style="1" customWidth="1"/>
    <col min="8206" max="8448" width="9.21875" style="1"/>
    <col min="8449" max="8449" width="9.77734375" style="1" customWidth="1"/>
    <col min="8450" max="8450" width="9.44140625" style="1" bestFit="1" customWidth="1"/>
    <col min="8451" max="8451" width="8.44140625" style="1" customWidth="1"/>
    <col min="8452" max="8452" width="7.44140625" style="1" customWidth="1"/>
    <col min="8453" max="8453" width="8.77734375" style="1" customWidth="1"/>
    <col min="8454" max="8454" width="7.21875" style="1" customWidth="1"/>
    <col min="8455" max="8455" width="8.21875" style="1" customWidth="1"/>
    <col min="8456" max="8456" width="9.44140625" style="1" customWidth="1"/>
    <col min="8457" max="8457" width="8.21875" style="1" customWidth="1"/>
    <col min="8458" max="8460" width="9.21875" style="1"/>
    <col min="8461" max="8461" width="15.44140625" style="1" customWidth="1"/>
    <col min="8462" max="8704" width="9.21875" style="1"/>
    <col min="8705" max="8705" width="9.77734375" style="1" customWidth="1"/>
    <col min="8706" max="8706" width="9.44140625" style="1" bestFit="1" customWidth="1"/>
    <col min="8707" max="8707" width="8.44140625" style="1" customWidth="1"/>
    <col min="8708" max="8708" width="7.44140625" style="1" customWidth="1"/>
    <col min="8709" max="8709" width="8.77734375" style="1" customWidth="1"/>
    <col min="8710" max="8710" width="7.21875" style="1" customWidth="1"/>
    <col min="8711" max="8711" width="8.21875" style="1" customWidth="1"/>
    <col min="8712" max="8712" width="9.44140625" style="1" customWidth="1"/>
    <col min="8713" max="8713" width="8.21875" style="1" customWidth="1"/>
    <col min="8714" max="8716" width="9.21875" style="1"/>
    <col min="8717" max="8717" width="15.44140625" style="1" customWidth="1"/>
    <col min="8718" max="8960" width="9.21875" style="1"/>
    <col min="8961" max="8961" width="9.77734375" style="1" customWidth="1"/>
    <col min="8962" max="8962" width="9.44140625" style="1" bestFit="1" customWidth="1"/>
    <col min="8963" max="8963" width="8.44140625" style="1" customWidth="1"/>
    <col min="8964" max="8964" width="7.44140625" style="1" customWidth="1"/>
    <col min="8965" max="8965" width="8.77734375" style="1" customWidth="1"/>
    <col min="8966" max="8966" width="7.21875" style="1" customWidth="1"/>
    <col min="8967" max="8967" width="8.21875" style="1" customWidth="1"/>
    <col min="8968" max="8968" width="9.44140625" style="1" customWidth="1"/>
    <col min="8969" max="8969" width="8.21875" style="1" customWidth="1"/>
    <col min="8970" max="8972" width="9.21875" style="1"/>
    <col min="8973" max="8973" width="15.44140625" style="1" customWidth="1"/>
    <col min="8974" max="9216" width="9.21875" style="1"/>
    <col min="9217" max="9217" width="9.77734375" style="1" customWidth="1"/>
    <col min="9218" max="9218" width="9.44140625" style="1" bestFit="1" customWidth="1"/>
    <col min="9219" max="9219" width="8.44140625" style="1" customWidth="1"/>
    <col min="9220" max="9220" width="7.44140625" style="1" customWidth="1"/>
    <col min="9221" max="9221" width="8.77734375" style="1" customWidth="1"/>
    <col min="9222" max="9222" width="7.21875" style="1" customWidth="1"/>
    <col min="9223" max="9223" width="8.21875" style="1" customWidth="1"/>
    <col min="9224" max="9224" width="9.44140625" style="1" customWidth="1"/>
    <col min="9225" max="9225" width="8.21875" style="1" customWidth="1"/>
    <col min="9226" max="9228" width="9.21875" style="1"/>
    <col min="9229" max="9229" width="15.44140625" style="1" customWidth="1"/>
    <col min="9230" max="9472" width="9.21875" style="1"/>
    <col min="9473" max="9473" width="9.77734375" style="1" customWidth="1"/>
    <col min="9474" max="9474" width="9.44140625" style="1" bestFit="1" customWidth="1"/>
    <col min="9475" max="9475" width="8.44140625" style="1" customWidth="1"/>
    <col min="9476" max="9476" width="7.44140625" style="1" customWidth="1"/>
    <col min="9477" max="9477" width="8.77734375" style="1" customWidth="1"/>
    <col min="9478" max="9478" width="7.21875" style="1" customWidth="1"/>
    <col min="9479" max="9479" width="8.21875" style="1" customWidth="1"/>
    <col min="9480" max="9480" width="9.44140625" style="1" customWidth="1"/>
    <col min="9481" max="9481" width="8.21875" style="1" customWidth="1"/>
    <col min="9482" max="9484" width="9.21875" style="1"/>
    <col min="9485" max="9485" width="15.44140625" style="1" customWidth="1"/>
    <col min="9486" max="9728" width="9.21875" style="1"/>
    <col min="9729" max="9729" width="9.77734375" style="1" customWidth="1"/>
    <col min="9730" max="9730" width="9.44140625" style="1" bestFit="1" customWidth="1"/>
    <col min="9731" max="9731" width="8.44140625" style="1" customWidth="1"/>
    <col min="9732" max="9732" width="7.44140625" style="1" customWidth="1"/>
    <col min="9733" max="9733" width="8.77734375" style="1" customWidth="1"/>
    <col min="9734" max="9734" width="7.21875" style="1" customWidth="1"/>
    <col min="9735" max="9735" width="8.21875" style="1" customWidth="1"/>
    <col min="9736" max="9736" width="9.44140625" style="1" customWidth="1"/>
    <col min="9737" max="9737" width="8.21875" style="1" customWidth="1"/>
    <col min="9738" max="9740" width="9.21875" style="1"/>
    <col min="9741" max="9741" width="15.44140625" style="1" customWidth="1"/>
    <col min="9742" max="9984" width="9.21875" style="1"/>
    <col min="9985" max="9985" width="9.77734375" style="1" customWidth="1"/>
    <col min="9986" max="9986" width="9.44140625" style="1" bestFit="1" customWidth="1"/>
    <col min="9987" max="9987" width="8.44140625" style="1" customWidth="1"/>
    <col min="9988" max="9988" width="7.44140625" style="1" customWidth="1"/>
    <col min="9989" max="9989" width="8.77734375" style="1" customWidth="1"/>
    <col min="9990" max="9990" width="7.21875" style="1" customWidth="1"/>
    <col min="9991" max="9991" width="8.21875" style="1" customWidth="1"/>
    <col min="9992" max="9992" width="9.44140625" style="1" customWidth="1"/>
    <col min="9993" max="9993" width="8.21875" style="1" customWidth="1"/>
    <col min="9994" max="9996" width="9.21875" style="1"/>
    <col min="9997" max="9997" width="15.44140625" style="1" customWidth="1"/>
    <col min="9998" max="10240" width="9.21875" style="1"/>
    <col min="10241" max="10241" width="9.77734375" style="1" customWidth="1"/>
    <col min="10242" max="10242" width="9.44140625" style="1" bestFit="1" customWidth="1"/>
    <col min="10243" max="10243" width="8.44140625" style="1" customWidth="1"/>
    <col min="10244" max="10244" width="7.44140625" style="1" customWidth="1"/>
    <col min="10245" max="10245" width="8.77734375" style="1" customWidth="1"/>
    <col min="10246" max="10246" width="7.21875" style="1" customWidth="1"/>
    <col min="10247" max="10247" width="8.21875" style="1" customWidth="1"/>
    <col min="10248" max="10248" width="9.44140625" style="1" customWidth="1"/>
    <col min="10249" max="10249" width="8.21875" style="1" customWidth="1"/>
    <col min="10250" max="10252" width="9.21875" style="1"/>
    <col min="10253" max="10253" width="15.44140625" style="1" customWidth="1"/>
    <col min="10254" max="10496" width="9.21875" style="1"/>
    <col min="10497" max="10497" width="9.77734375" style="1" customWidth="1"/>
    <col min="10498" max="10498" width="9.44140625" style="1" bestFit="1" customWidth="1"/>
    <col min="10499" max="10499" width="8.44140625" style="1" customWidth="1"/>
    <col min="10500" max="10500" width="7.44140625" style="1" customWidth="1"/>
    <col min="10501" max="10501" width="8.77734375" style="1" customWidth="1"/>
    <col min="10502" max="10502" width="7.21875" style="1" customWidth="1"/>
    <col min="10503" max="10503" width="8.21875" style="1" customWidth="1"/>
    <col min="10504" max="10504" width="9.44140625" style="1" customWidth="1"/>
    <col min="10505" max="10505" width="8.21875" style="1" customWidth="1"/>
    <col min="10506" max="10508" width="9.21875" style="1"/>
    <col min="10509" max="10509" width="15.44140625" style="1" customWidth="1"/>
    <col min="10510" max="10752" width="9.21875" style="1"/>
    <col min="10753" max="10753" width="9.77734375" style="1" customWidth="1"/>
    <col min="10754" max="10754" width="9.44140625" style="1" bestFit="1" customWidth="1"/>
    <col min="10755" max="10755" width="8.44140625" style="1" customWidth="1"/>
    <col min="10756" max="10756" width="7.44140625" style="1" customWidth="1"/>
    <col min="10757" max="10757" width="8.77734375" style="1" customWidth="1"/>
    <col min="10758" max="10758" width="7.21875" style="1" customWidth="1"/>
    <col min="10759" max="10759" width="8.21875" style="1" customWidth="1"/>
    <col min="10760" max="10760" width="9.44140625" style="1" customWidth="1"/>
    <col min="10761" max="10761" width="8.21875" style="1" customWidth="1"/>
    <col min="10762" max="10764" width="9.21875" style="1"/>
    <col min="10765" max="10765" width="15.44140625" style="1" customWidth="1"/>
    <col min="10766" max="11008" width="9.21875" style="1"/>
    <col min="11009" max="11009" width="9.77734375" style="1" customWidth="1"/>
    <col min="11010" max="11010" width="9.44140625" style="1" bestFit="1" customWidth="1"/>
    <col min="11011" max="11011" width="8.44140625" style="1" customWidth="1"/>
    <col min="11012" max="11012" width="7.44140625" style="1" customWidth="1"/>
    <col min="11013" max="11013" width="8.77734375" style="1" customWidth="1"/>
    <col min="11014" max="11014" width="7.21875" style="1" customWidth="1"/>
    <col min="11015" max="11015" width="8.21875" style="1" customWidth="1"/>
    <col min="11016" max="11016" width="9.44140625" style="1" customWidth="1"/>
    <col min="11017" max="11017" width="8.21875" style="1" customWidth="1"/>
    <col min="11018" max="11020" width="9.21875" style="1"/>
    <col min="11021" max="11021" width="15.44140625" style="1" customWidth="1"/>
    <col min="11022" max="11264" width="9.21875" style="1"/>
    <col min="11265" max="11265" width="9.77734375" style="1" customWidth="1"/>
    <col min="11266" max="11266" width="9.44140625" style="1" bestFit="1" customWidth="1"/>
    <col min="11267" max="11267" width="8.44140625" style="1" customWidth="1"/>
    <col min="11268" max="11268" width="7.44140625" style="1" customWidth="1"/>
    <col min="11269" max="11269" width="8.77734375" style="1" customWidth="1"/>
    <col min="11270" max="11270" width="7.21875" style="1" customWidth="1"/>
    <col min="11271" max="11271" width="8.21875" style="1" customWidth="1"/>
    <col min="11272" max="11272" width="9.44140625" style="1" customWidth="1"/>
    <col min="11273" max="11273" width="8.21875" style="1" customWidth="1"/>
    <col min="11274" max="11276" width="9.21875" style="1"/>
    <col min="11277" max="11277" width="15.44140625" style="1" customWidth="1"/>
    <col min="11278" max="11520" width="9.21875" style="1"/>
    <col min="11521" max="11521" width="9.77734375" style="1" customWidth="1"/>
    <col min="11522" max="11522" width="9.44140625" style="1" bestFit="1" customWidth="1"/>
    <col min="11523" max="11523" width="8.44140625" style="1" customWidth="1"/>
    <col min="11524" max="11524" width="7.44140625" style="1" customWidth="1"/>
    <col min="11525" max="11525" width="8.77734375" style="1" customWidth="1"/>
    <col min="11526" max="11526" width="7.21875" style="1" customWidth="1"/>
    <col min="11527" max="11527" width="8.21875" style="1" customWidth="1"/>
    <col min="11528" max="11528" width="9.44140625" style="1" customWidth="1"/>
    <col min="11529" max="11529" width="8.21875" style="1" customWidth="1"/>
    <col min="11530" max="11532" width="9.21875" style="1"/>
    <col min="11533" max="11533" width="15.44140625" style="1" customWidth="1"/>
    <col min="11534" max="11776" width="9.21875" style="1"/>
    <col min="11777" max="11777" width="9.77734375" style="1" customWidth="1"/>
    <col min="11778" max="11778" width="9.44140625" style="1" bestFit="1" customWidth="1"/>
    <col min="11779" max="11779" width="8.44140625" style="1" customWidth="1"/>
    <col min="11780" max="11780" width="7.44140625" style="1" customWidth="1"/>
    <col min="11781" max="11781" width="8.77734375" style="1" customWidth="1"/>
    <col min="11782" max="11782" width="7.21875" style="1" customWidth="1"/>
    <col min="11783" max="11783" width="8.21875" style="1" customWidth="1"/>
    <col min="11784" max="11784" width="9.44140625" style="1" customWidth="1"/>
    <col min="11785" max="11785" width="8.21875" style="1" customWidth="1"/>
    <col min="11786" max="11788" width="9.21875" style="1"/>
    <col min="11789" max="11789" width="15.44140625" style="1" customWidth="1"/>
    <col min="11790" max="12032" width="9.21875" style="1"/>
    <col min="12033" max="12033" width="9.77734375" style="1" customWidth="1"/>
    <col min="12034" max="12034" width="9.44140625" style="1" bestFit="1" customWidth="1"/>
    <col min="12035" max="12035" width="8.44140625" style="1" customWidth="1"/>
    <col min="12036" max="12036" width="7.44140625" style="1" customWidth="1"/>
    <col min="12037" max="12037" width="8.77734375" style="1" customWidth="1"/>
    <col min="12038" max="12038" width="7.21875" style="1" customWidth="1"/>
    <col min="12039" max="12039" width="8.21875" style="1" customWidth="1"/>
    <col min="12040" max="12040" width="9.44140625" style="1" customWidth="1"/>
    <col min="12041" max="12041" width="8.21875" style="1" customWidth="1"/>
    <col min="12042" max="12044" width="9.21875" style="1"/>
    <col min="12045" max="12045" width="15.44140625" style="1" customWidth="1"/>
    <col min="12046" max="12288" width="9.21875" style="1"/>
    <col min="12289" max="12289" width="9.77734375" style="1" customWidth="1"/>
    <col min="12290" max="12290" width="9.44140625" style="1" bestFit="1" customWidth="1"/>
    <col min="12291" max="12291" width="8.44140625" style="1" customWidth="1"/>
    <col min="12292" max="12292" width="7.44140625" style="1" customWidth="1"/>
    <col min="12293" max="12293" width="8.77734375" style="1" customWidth="1"/>
    <col min="12294" max="12294" width="7.21875" style="1" customWidth="1"/>
    <col min="12295" max="12295" width="8.21875" style="1" customWidth="1"/>
    <col min="12296" max="12296" width="9.44140625" style="1" customWidth="1"/>
    <col min="12297" max="12297" width="8.21875" style="1" customWidth="1"/>
    <col min="12298" max="12300" width="9.21875" style="1"/>
    <col min="12301" max="12301" width="15.44140625" style="1" customWidth="1"/>
    <col min="12302" max="12544" width="9.21875" style="1"/>
    <col min="12545" max="12545" width="9.77734375" style="1" customWidth="1"/>
    <col min="12546" max="12546" width="9.44140625" style="1" bestFit="1" customWidth="1"/>
    <col min="12547" max="12547" width="8.44140625" style="1" customWidth="1"/>
    <col min="12548" max="12548" width="7.44140625" style="1" customWidth="1"/>
    <col min="12549" max="12549" width="8.77734375" style="1" customWidth="1"/>
    <col min="12550" max="12550" width="7.21875" style="1" customWidth="1"/>
    <col min="12551" max="12551" width="8.21875" style="1" customWidth="1"/>
    <col min="12552" max="12552" width="9.44140625" style="1" customWidth="1"/>
    <col min="12553" max="12553" width="8.21875" style="1" customWidth="1"/>
    <col min="12554" max="12556" width="9.21875" style="1"/>
    <col min="12557" max="12557" width="15.44140625" style="1" customWidth="1"/>
    <col min="12558" max="12800" width="9.21875" style="1"/>
    <col min="12801" max="12801" width="9.77734375" style="1" customWidth="1"/>
    <col min="12802" max="12802" width="9.44140625" style="1" bestFit="1" customWidth="1"/>
    <col min="12803" max="12803" width="8.44140625" style="1" customWidth="1"/>
    <col min="12804" max="12804" width="7.44140625" style="1" customWidth="1"/>
    <col min="12805" max="12805" width="8.77734375" style="1" customWidth="1"/>
    <col min="12806" max="12806" width="7.21875" style="1" customWidth="1"/>
    <col min="12807" max="12807" width="8.21875" style="1" customWidth="1"/>
    <col min="12808" max="12808" width="9.44140625" style="1" customWidth="1"/>
    <col min="12809" max="12809" width="8.21875" style="1" customWidth="1"/>
    <col min="12810" max="12812" width="9.21875" style="1"/>
    <col min="12813" max="12813" width="15.44140625" style="1" customWidth="1"/>
    <col min="12814" max="13056" width="9.21875" style="1"/>
    <col min="13057" max="13057" width="9.77734375" style="1" customWidth="1"/>
    <col min="13058" max="13058" width="9.44140625" style="1" bestFit="1" customWidth="1"/>
    <col min="13059" max="13059" width="8.44140625" style="1" customWidth="1"/>
    <col min="13060" max="13060" width="7.44140625" style="1" customWidth="1"/>
    <col min="13061" max="13061" width="8.77734375" style="1" customWidth="1"/>
    <col min="13062" max="13062" width="7.21875" style="1" customWidth="1"/>
    <col min="13063" max="13063" width="8.21875" style="1" customWidth="1"/>
    <col min="13064" max="13064" width="9.44140625" style="1" customWidth="1"/>
    <col min="13065" max="13065" width="8.21875" style="1" customWidth="1"/>
    <col min="13066" max="13068" width="9.21875" style="1"/>
    <col min="13069" max="13069" width="15.44140625" style="1" customWidth="1"/>
    <col min="13070" max="13312" width="9.21875" style="1"/>
    <col min="13313" max="13313" width="9.77734375" style="1" customWidth="1"/>
    <col min="13314" max="13314" width="9.44140625" style="1" bestFit="1" customWidth="1"/>
    <col min="13315" max="13315" width="8.44140625" style="1" customWidth="1"/>
    <col min="13316" max="13316" width="7.44140625" style="1" customWidth="1"/>
    <col min="13317" max="13317" width="8.77734375" style="1" customWidth="1"/>
    <col min="13318" max="13318" width="7.21875" style="1" customWidth="1"/>
    <col min="13319" max="13319" width="8.21875" style="1" customWidth="1"/>
    <col min="13320" max="13320" width="9.44140625" style="1" customWidth="1"/>
    <col min="13321" max="13321" width="8.21875" style="1" customWidth="1"/>
    <col min="13322" max="13324" width="9.21875" style="1"/>
    <col min="13325" max="13325" width="15.44140625" style="1" customWidth="1"/>
    <col min="13326" max="13568" width="9.21875" style="1"/>
    <col min="13569" max="13569" width="9.77734375" style="1" customWidth="1"/>
    <col min="13570" max="13570" width="9.44140625" style="1" bestFit="1" customWidth="1"/>
    <col min="13571" max="13571" width="8.44140625" style="1" customWidth="1"/>
    <col min="13572" max="13572" width="7.44140625" style="1" customWidth="1"/>
    <col min="13573" max="13573" width="8.77734375" style="1" customWidth="1"/>
    <col min="13574" max="13574" width="7.21875" style="1" customWidth="1"/>
    <col min="13575" max="13575" width="8.21875" style="1" customWidth="1"/>
    <col min="13576" max="13576" width="9.44140625" style="1" customWidth="1"/>
    <col min="13577" max="13577" width="8.21875" style="1" customWidth="1"/>
    <col min="13578" max="13580" width="9.21875" style="1"/>
    <col min="13581" max="13581" width="15.44140625" style="1" customWidth="1"/>
    <col min="13582" max="13824" width="9.21875" style="1"/>
    <col min="13825" max="13825" width="9.77734375" style="1" customWidth="1"/>
    <col min="13826" max="13826" width="9.44140625" style="1" bestFit="1" customWidth="1"/>
    <col min="13827" max="13827" width="8.44140625" style="1" customWidth="1"/>
    <col min="13828" max="13828" width="7.44140625" style="1" customWidth="1"/>
    <col min="13829" max="13829" width="8.77734375" style="1" customWidth="1"/>
    <col min="13830" max="13830" width="7.21875" style="1" customWidth="1"/>
    <col min="13831" max="13831" width="8.21875" style="1" customWidth="1"/>
    <col min="13832" max="13832" width="9.44140625" style="1" customWidth="1"/>
    <col min="13833" max="13833" width="8.21875" style="1" customWidth="1"/>
    <col min="13834" max="13836" width="9.21875" style="1"/>
    <col min="13837" max="13837" width="15.44140625" style="1" customWidth="1"/>
    <col min="13838" max="14080" width="9.21875" style="1"/>
    <col min="14081" max="14081" width="9.77734375" style="1" customWidth="1"/>
    <col min="14082" max="14082" width="9.44140625" style="1" bestFit="1" customWidth="1"/>
    <col min="14083" max="14083" width="8.44140625" style="1" customWidth="1"/>
    <col min="14084" max="14084" width="7.44140625" style="1" customWidth="1"/>
    <col min="14085" max="14085" width="8.77734375" style="1" customWidth="1"/>
    <col min="14086" max="14086" width="7.21875" style="1" customWidth="1"/>
    <col min="14087" max="14087" width="8.21875" style="1" customWidth="1"/>
    <col min="14088" max="14088" width="9.44140625" style="1" customWidth="1"/>
    <col min="14089" max="14089" width="8.21875" style="1" customWidth="1"/>
    <col min="14090" max="14092" width="9.21875" style="1"/>
    <col min="14093" max="14093" width="15.44140625" style="1" customWidth="1"/>
    <col min="14094" max="14336" width="9.21875" style="1"/>
    <col min="14337" max="14337" width="9.77734375" style="1" customWidth="1"/>
    <col min="14338" max="14338" width="9.44140625" style="1" bestFit="1" customWidth="1"/>
    <col min="14339" max="14339" width="8.44140625" style="1" customWidth="1"/>
    <col min="14340" max="14340" width="7.44140625" style="1" customWidth="1"/>
    <col min="14341" max="14341" width="8.77734375" style="1" customWidth="1"/>
    <col min="14342" max="14342" width="7.21875" style="1" customWidth="1"/>
    <col min="14343" max="14343" width="8.21875" style="1" customWidth="1"/>
    <col min="14344" max="14344" width="9.44140625" style="1" customWidth="1"/>
    <col min="14345" max="14345" width="8.21875" style="1" customWidth="1"/>
    <col min="14346" max="14348" width="9.21875" style="1"/>
    <col min="14349" max="14349" width="15.44140625" style="1" customWidth="1"/>
    <col min="14350" max="14592" width="9.21875" style="1"/>
    <col min="14593" max="14593" width="9.77734375" style="1" customWidth="1"/>
    <col min="14594" max="14594" width="9.44140625" style="1" bestFit="1" customWidth="1"/>
    <col min="14595" max="14595" width="8.44140625" style="1" customWidth="1"/>
    <col min="14596" max="14596" width="7.44140625" style="1" customWidth="1"/>
    <col min="14597" max="14597" width="8.77734375" style="1" customWidth="1"/>
    <col min="14598" max="14598" width="7.21875" style="1" customWidth="1"/>
    <col min="14599" max="14599" width="8.21875" style="1" customWidth="1"/>
    <col min="14600" max="14600" width="9.44140625" style="1" customWidth="1"/>
    <col min="14601" max="14601" width="8.21875" style="1" customWidth="1"/>
    <col min="14602" max="14604" width="9.21875" style="1"/>
    <col min="14605" max="14605" width="15.44140625" style="1" customWidth="1"/>
    <col min="14606" max="14848" width="9.21875" style="1"/>
    <col min="14849" max="14849" width="9.77734375" style="1" customWidth="1"/>
    <col min="14850" max="14850" width="9.44140625" style="1" bestFit="1" customWidth="1"/>
    <col min="14851" max="14851" width="8.44140625" style="1" customWidth="1"/>
    <col min="14852" max="14852" width="7.44140625" style="1" customWidth="1"/>
    <col min="14853" max="14853" width="8.77734375" style="1" customWidth="1"/>
    <col min="14854" max="14854" width="7.21875" style="1" customWidth="1"/>
    <col min="14855" max="14855" width="8.21875" style="1" customWidth="1"/>
    <col min="14856" max="14856" width="9.44140625" style="1" customWidth="1"/>
    <col min="14857" max="14857" width="8.21875" style="1" customWidth="1"/>
    <col min="14858" max="14860" width="9.21875" style="1"/>
    <col min="14861" max="14861" width="15.44140625" style="1" customWidth="1"/>
    <col min="14862" max="15104" width="9.21875" style="1"/>
    <col min="15105" max="15105" width="9.77734375" style="1" customWidth="1"/>
    <col min="15106" max="15106" width="9.44140625" style="1" bestFit="1" customWidth="1"/>
    <col min="15107" max="15107" width="8.44140625" style="1" customWidth="1"/>
    <col min="15108" max="15108" width="7.44140625" style="1" customWidth="1"/>
    <col min="15109" max="15109" width="8.77734375" style="1" customWidth="1"/>
    <col min="15110" max="15110" width="7.21875" style="1" customWidth="1"/>
    <col min="15111" max="15111" width="8.21875" style="1" customWidth="1"/>
    <col min="15112" max="15112" width="9.44140625" style="1" customWidth="1"/>
    <col min="15113" max="15113" width="8.21875" style="1" customWidth="1"/>
    <col min="15114" max="15116" width="9.21875" style="1"/>
    <col min="15117" max="15117" width="15.44140625" style="1" customWidth="1"/>
    <col min="15118" max="15360" width="9.21875" style="1"/>
    <col min="15361" max="15361" width="9.77734375" style="1" customWidth="1"/>
    <col min="15362" max="15362" width="9.44140625" style="1" bestFit="1" customWidth="1"/>
    <col min="15363" max="15363" width="8.44140625" style="1" customWidth="1"/>
    <col min="15364" max="15364" width="7.44140625" style="1" customWidth="1"/>
    <col min="15365" max="15365" width="8.77734375" style="1" customWidth="1"/>
    <col min="15366" max="15366" width="7.21875" style="1" customWidth="1"/>
    <col min="15367" max="15367" width="8.21875" style="1" customWidth="1"/>
    <col min="15368" max="15368" width="9.44140625" style="1" customWidth="1"/>
    <col min="15369" max="15369" width="8.21875" style="1" customWidth="1"/>
    <col min="15370" max="15372" width="9.21875" style="1"/>
    <col min="15373" max="15373" width="15.44140625" style="1" customWidth="1"/>
    <col min="15374" max="15616" width="9.21875" style="1"/>
    <col min="15617" max="15617" width="9.77734375" style="1" customWidth="1"/>
    <col min="15618" max="15618" width="9.44140625" style="1" bestFit="1" customWidth="1"/>
    <col min="15619" max="15619" width="8.44140625" style="1" customWidth="1"/>
    <col min="15620" max="15620" width="7.44140625" style="1" customWidth="1"/>
    <col min="15621" max="15621" width="8.77734375" style="1" customWidth="1"/>
    <col min="15622" max="15622" width="7.21875" style="1" customWidth="1"/>
    <col min="15623" max="15623" width="8.21875" style="1" customWidth="1"/>
    <col min="15624" max="15624" width="9.44140625" style="1" customWidth="1"/>
    <col min="15625" max="15625" width="8.21875" style="1" customWidth="1"/>
    <col min="15626" max="15628" width="9.21875" style="1"/>
    <col min="15629" max="15629" width="15.44140625" style="1" customWidth="1"/>
    <col min="15630" max="15872" width="9.21875" style="1"/>
    <col min="15873" max="15873" width="9.77734375" style="1" customWidth="1"/>
    <col min="15874" max="15874" width="9.44140625" style="1" bestFit="1" customWidth="1"/>
    <col min="15875" max="15875" width="8.44140625" style="1" customWidth="1"/>
    <col min="15876" max="15876" width="7.44140625" style="1" customWidth="1"/>
    <col min="15877" max="15877" width="8.77734375" style="1" customWidth="1"/>
    <col min="15878" max="15878" width="7.21875" style="1" customWidth="1"/>
    <col min="15879" max="15879" width="8.21875" style="1" customWidth="1"/>
    <col min="15880" max="15880" width="9.44140625" style="1" customWidth="1"/>
    <col min="15881" max="15881" width="8.21875" style="1" customWidth="1"/>
    <col min="15882" max="15884" width="9.21875" style="1"/>
    <col min="15885" max="15885" width="15.44140625" style="1" customWidth="1"/>
    <col min="15886" max="16128" width="9.21875" style="1"/>
    <col min="16129" max="16129" width="9.77734375" style="1" customWidth="1"/>
    <col min="16130" max="16130" width="9.44140625" style="1" bestFit="1" customWidth="1"/>
    <col min="16131" max="16131" width="8.44140625" style="1" customWidth="1"/>
    <col min="16132" max="16132" width="7.44140625" style="1" customWidth="1"/>
    <col min="16133" max="16133" width="8.77734375" style="1" customWidth="1"/>
    <col min="16134" max="16134" width="7.21875" style="1" customWidth="1"/>
    <col min="16135" max="16135" width="8.21875" style="1" customWidth="1"/>
    <col min="16136" max="16136" width="9.44140625" style="1" customWidth="1"/>
    <col min="16137" max="16137" width="8.21875" style="1" customWidth="1"/>
    <col min="16138" max="16140" width="9.21875" style="1"/>
    <col min="16141" max="16141" width="15.44140625" style="1" customWidth="1"/>
    <col min="16142" max="16384" width="9.21875" style="1"/>
  </cols>
  <sheetData>
    <row r="2" spans="1:10" ht="15.6" x14ac:dyDescent="0.3">
      <c r="A2" s="2" t="s">
        <v>513</v>
      </c>
    </row>
    <row r="3" spans="1:10" ht="15.6" x14ac:dyDescent="0.3">
      <c r="A3" s="2"/>
    </row>
    <row r="4" spans="1:10" x14ac:dyDescent="0.25">
      <c r="A4" s="3" t="s">
        <v>1172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 t="s">
        <v>1173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 t="s">
        <v>1174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 t="s">
        <v>1175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 t="s">
        <v>1176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 t="s">
        <v>1177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 t="s">
        <v>1178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 t="s">
        <v>1179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 t="s">
        <v>1180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 t="s">
        <v>1181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 t="s">
        <v>1182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 t="s">
        <v>1183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 t="s">
        <v>1184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 t="s">
        <v>1185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 t="s">
        <v>533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 t="s">
        <v>534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 t="s">
        <v>535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 t="s">
        <v>536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 t="s">
        <v>537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 t="s">
        <v>538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 t="s">
        <v>1186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 t="s">
        <v>1187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 t="s">
        <v>1188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 t="s">
        <v>351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 t="s">
        <v>1189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 t="s">
        <v>1190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 t="s">
        <v>1191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 t="s">
        <v>1192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 t="s">
        <v>1193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 t="s">
        <v>1194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 t="s">
        <v>1195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 t="s">
        <v>1196</v>
      </c>
      <c r="C42" s="3" t="s">
        <v>1197</v>
      </c>
    </row>
    <row r="43" spans="1:10" x14ac:dyDescent="0.25">
      <c r="A43" s="3"/>
    </row>
    <row r="44" spans="1:10" x14ac:dyDescent="0.25">
      <c r="A44" s="3" t="s">
        <v>1198</v>
      </c>
    </row>
    <row r="45" spans="1:10" x14ac:dyDescent="0.25">
      <c r="A45" s="3"/>
    </row>
    <row r="46" spans="1:10" x14ac:dyDescent="0.25">
      <c r="A46" s="3" t="s">
        <v>1199</v>
      </c>
    </row>
    <row r="48" spans="1:10" x14ac:dyDescent="0.25">
      <c r="A48" s="3" t="s">
        <v>564</v>
      </c>
    </row>
    <row r="50" spans="1:4" x14ac:dyDescent="0.25">
      <c r="A50" s="3" t="s">
        <v>1200</v>
      </c>
    </row>
    <row r="52" spans="1:4" x14ac:dyDescent="0.25">
      <c r="B52" s="1" t="s">
        <v>566</v>
      </c>
    </row>
    <row r="53" spans="1:4" x14ac:dyDescent="0.25">
      <c r="B53" s="46" t="s">
        <v>567</v>
      </c>
    </row>
    <row r="55" spans="1:4" x14ac:dyDescent="0.25">
      <c r="B55" s="1" t="s">
        <v>568</v>
      </c>
    </row>
    <row r="56" spans="1:4" x14ac:dyDescent="0.25">
      <c r="B56" s="1" t="s">
        <v>569</v>
      </c>
    </row>
    <row r="57" spans="1:4" x14ac:dyDescent="0.25">
      <c r="B57" s="1" t="s">
        <v>570</v>
      </c>
    </row>
    <row r="58" spans="1:4" x14ac:dyDescent="0.25">
      <c r="B58" s="1" t="s">
        <v>571</v>
      </c>
    </row>
    <row r="60" spans="1:4" x14ac:dyDescent="0.25">
      <c r="B60" s="1" t="s">
        <v>572</v>
      </c>
    </row>
    <row r="61" spans="1:4" x14ac:dyDescent="0.25">
      <c r="B61" s="1" t="s">
        <v>573</v>
      </c>
    </row>
    <row r="62" spans="1:4" x14ac:dyDescent="0.25">
      <c r="B62" s="1" t="s">
        <v>574</v>
      </c>
    </row>
    <row r="63" spans="1:4" x14ac:dyDescent="0.25">
      <c r="A63" s="1" t="s">
        <v>43</v>
      </c>
    </row>
    <row r="64" spans="1:4" x14ac:dyDescent="0.25">
      <c r="A64" s="4" t="s">
        <v>271</v>
      </c>
      <c r="B64" s="18">
        <v>1</v>
      </c>
      <c r="C64" s="1" t="s">
        <v>46</v>
      </c>
      <c r="D64" s="1" t="s">
        <v>575</v>
      </c>
    </row>
    <row r="65" spans="1:8" x14ac:dyDescent="0.25">
      <c r="A65" s="4" t="s">
        <v>248</v>
      </c>
      <c r="B65" s="18">
        <v>0.05</v>
      </c>
      <c r="C65" s="1" t="s">
        <v>212</v>
      </c>
    </row>
    <row r="66" spans="1:8" x14ac:dyDescent="0.25">
      <c r="A66" s="4" t="s">
        <v>576</v>
      </c>
      <c r="B66" s="18">
        <v>6.5</v>
      </c>
      <c r="C66" s="1" t="s">
        <v>52</v>
      </c>
    </row>
    <row r="68" spans="1:8" x14ac:dyDescent="0.25">
      <c r="A68" s="4" t="s">
        <v>55</v>
      </c>
    </row>
    <row r="69" spans="1:8" x14ac:dyDescent="0.25">
      <c r="A69" s="4" t="s">
        <v>577</v>
      </c>
      <c r="B69" s="19">
        <f>(125+B65)*B66*B64/45</f>
        <v>18.062777777777775</v>
      </c>
      <c r="C69" s="1" t="s">
        <v>52</v>
      </c>
    </row>
    <row r="70" spans="1:8" x14ac:dyDescent="0.25">
      <c r="A70" s="4"/>
    </row>
    <row r="71" spans="1:8" x14ac:dyDescent="0.25">
      <c r="A71" s="3" t="s">
        <v>1201</v>
      </c>
    </row>
    <row r="73" spans="1:8" x14ac:dyDescent="0.25">
      <c r="B73" s="1" t="s">
        <v>579</v>
      </c>
      <c r="F73" s="16" t="s">
        <v>580</v>
      </c>
      <c r="G73" s="1" t="s">
        <v>581</v>
      </c>
      <c r="H73" s="18">
        <v>0.92</v>
      </c>
    </row>
    <row r="74" spans="1:8" x14ac:dyDescent="0.25">
      <c r="B74" s="1" t="s">
        <v>585</v>
      </c>
    </row>
    <row r="76" spans="1:8" x14ac:dyDescent="0.25">
      <c r="B76" s="1" t="s">
        <v>586</v>
      </c>
    </row>
    <row r="77" spans="1:8" x14ac:dyDescent="0.25">
      <c r="B77" s="1" t="s">
        <v>587</v>
      </c>
    </row>
    <row r="79" spans="1:8" x14ac:dyDescent="0.25">
      <c r="B79" s="1" t="s">
        <v>588</v>
      </c>
    </row>
    <row r="81" spans="1:9" x14ac:dyDescent="0.25">
      <c r="B81" s="1" t="s">
        <v>589</v>
      </c>
    </row>
    <row r="83" spans="1:9" x14ac:dyDescent="0.25">
      <c r="B83" s="1" t="s">
        <v>590</v>
      </c>
      <c r="I83" s="1" t="s">
        <v>591</v>
      </c>
    </row>
    <row r="84" spans="1:9" x14ac:dyDescent="0.25">
      <c r="B84" s="1" t="s">
        <v>592</v>
      </c>
    </row>
    <row r="85" spans="1:9" x14ac:dyDescent="0.25">
      <c r="A85" s="1" t="s">
        <v>23</v>
      </c>
    </row>
    <row r="86" spans="1:9" x14ac:dyDescent="0.25">
      <c r="B86" s="1" t="s">
        <v>593</v>
      </c>
    </row>
    <row r="87" spans="1:9" x14ac:dyDescent="0.25">
      <c r="B87" s="1" t="s">
        <v>594</v>
      </c>
    </row>
    <row r="88" spans="1:9" x14ac:dyDescent="0.25">
      <c r="B88" s="1" t="s">
        <v>595</v>
      </c>
    </row>
    <row r="89" spans="1:9" x14ac:dyDescent="0.25">
      <c r="B89" s="1" t="s">
        <v>596</v>
      </c>
    </row>
    <row r="90" spans="1:9" x14ac:dyDescent="0.25">
      <c r="B90" s="1" t="s">
        <v>597</v>
      </c>
    </row>
    <row r="91" spans="1:9" x14ac:dyDescent="0.25">
      <c r="B91" s="1" t="s">
        <v>598</v>
      </c>
    </row>
    <row r="92" spans="1:9" x14ac:dyDescent="0.25">
      <c r="B92" s="1" t="s">
        <v>599</v>
      </c>
    </row>
    <row r="93" spans="1:9" x14ac:dyDescent="0.25">
      <c r="B93" s="1" t="s">
        <v>600</v>
      </c>
    </row>
    <row r="94" spans="1:9" x14ac:dyDescent="0.25">
      <c r="B94" s="1" t="s">
        <v>601</v>
      </c>
    </row>
    <row r="95" spans="1:9" x14ac:dyDescent="0.25">
      <c r="B95" s="1" t="s">
        <v>602</v>
      </c>
    </row>
    <row r="97" spans="1:3" x14ac:dyDescent="0.25">
      <c r="A97" s="1" t="s">
        <v>207</v>
      </c>
    </row>
    <row r="98" spans="1:3" x14ac:dyDescent="0.25">
      <c r="A98" s="4" t="s">
        <v>190</v>
      </c>
      <c r="B98" s="18">
        <v>30</v>
      </c>
      <c r="C98" s="1" t="s">
        <v>603</v>
      </c>
    </row>
    <row r="99" spans="1:3" x14ac:dyDescent="0.25">
      <c r="A99" s="4" t="s">
        <v>313</v>
      </c>
      <c r="B99" s="19">
        <f>B98*25.4</f>
        <v>762</v>
      </c>
      <c r="C99" s="1" t="s">
        <v>52</v>
      </c>
    </row>
    <row r="100" spans="1:3" x14ac:dyDescent="0.25">
      <c r="A100" s="4" t="s">
        <v>604</v>
      </c>
      <c r="B100" s="19">
        <f>B99/1000-2*B106/1000</f>
        <v>0.64440560000000002</v>
      </c>
      <c r="C100" s="1" t="s">
        <v>58</v>
      </c>
    </row>
    <row r="101" spans="1:3" x14ac:dyDescent="0.25">
      <c r="A101" s="4" t="s">
        <v>605</v>
      </c>
      <c r="B101" s="19">
        <f>IF(B98=24,228,IF(B98=30,280,IF(B98=36,332,IF(B98=42,385,IF(B98=48,438,IF(B98=54,491,IF(B98=60,544,IF(B98=72,652,0))))))))</f>
        <v>280</v>
      </c>
      <c r="C101" s="1" t="s">
        <v>52</v>
      </c>
    </row>
    <row r="102" spans="1:3" x14ac:dyDescent="0.25">
      <c r="A102" s="4" t="s">
        <v>606</v>
      </c>
      <c r="B102" s="18">
        <v>0</v>
      </c>
      <c r="C102" s="1" t="s">
        <v>172</v>
      </c>
    </row>
    <row r="103" spans="1:3" x14ac:dyDescent="0.25">
      <c r="A103" s="4" t="s">
        <v>607</v>
      </c>
      <c r="B103" s="19">
        <v>45</v>
      </c>
      <c r="C103" s="1" t="s">
        <v>172</v>
      </c>
    </row>
    <row r="104" spans="1:3" x14ac:dyDescent="0.25">
      <c r="A104" s="4" t="s">
        <v>608</v>
      </c>
      <c r="B104" s="18">
        <v>30</v>
      </c>
      <c r="C104" s="1" t="s">
        <v>172</v>
      </c>
    </row>
    <row r="105" spans="1:3" x14ac:dyDescent="0.25">
      <c r="A105" s="4" t="s">
        <v>609</v>
      </c>
      <c r="B105" s="18">
        <v>15</v>
      </c>
      <c r="C105" s="1" t="s">
        <v>172</v>
      </c>
    </row>
    <row r="106" spans="1:3" x14ac:dyDescent="0.25">
      <c r="A106" s="4" t="s">
        <v>610</v>
      </c>
      <c r="B106" s="19">
        <f>(0.055*B99+22)*H73</f>
        <v>58.797200000000004</v>
      </c>
      <c r="C106" s="1" t="s">
        <v>52</v>
      </c>
    </row>
    <row r="107" spans="1:3" x14ac:dyDescent="0.25">
      <c r="A107" s="4" t="s">
        <v>611</v>
      </c>
      <c r="B107" s="19">
        <f>B101*0.001+0.01</f>
        <v>0.29000000000000004</v>
      </c>
      <c r="C107" s="1" t="s">
        <v>52</v>
      </c>
    </row>
    <row r="108" spans="1:3" x14ac:dyDescent="0.25">
      <c r="A108" s="4" t="s">
        <v>612</v>
      </c>
      <c r="B108" s="19">
        <f>(B100-B107)*COS(B103*PI()/180)+B107</f>
        <v>0.54060260305048713</v>
      </c>
      <c r="C108" s="1" t="s">
        <v>58</v>
      </c>
    </row>
    <row r="110" spans="1:3" x14ac:dyDescent="0.25">
      <c r="A110" s="4" t="s">
        <v>55</v>
      </c>
    </row>
    <row r="111" spans="1:3" x14ac:dyDescent="0.25">
      <c r="A111" s="4" t="s">
        <v>613</v>
      </c>
      <c r="B111" s="19">
        <f>(B107+B108)*(B100-B107)*(SIN(B103*PI()/180))/4+((3.1415*B105)/720-(SIN(2*B105*PI()/180))/8)*POWER(B108/SIN(B105*PI()/180),2)</f>
        <v>6.4898920002980462E-2</v>
      </c>
      <c r="C111" s="1" t="s">
        <v>67</v>
      </c>
    </row>
    <row r="113" spans="1:15" x14ac:dyDescent="0.25">
      <c r="A113" s="3" t="s">
        <v>1202</v>
      </c>
      <c r="G113" s="3" t="s">
        <v>1203</v>
      </c>
      <c r="M113" s="3" t="s">
        <v>1204</v>
      </c>
    </row>
    <row r="115" spans="1:15" x14ac:dyDescent="0.25">
      <c r="B115" s="1" t="s">
        <v>616</v>
      </c>
      <c r="H115" s="1" t="s">
        <v>616</v>
      </c>
      <c r="N115" s="1" t="s">
        <v>616</v>
      </c>
    </row>
    <row r="117" spans="1:15" x14ac:dyDescent="0.25">
      <c r="B117" s="1" t="s">
        <v>617</v>
      </c>
      <c r="H117" s="1" t="s">
        <v>617</v>
      </c>
      <c r="N117" s="1" t="s">
        <v>617</v>
      </c>
    </row>
    <row r="118" spans="1:15" x14ac:dyDescent="0.25">
      <c r="B118" s="1" t="s">
        <v>618</v>
      </c>
      <c r="H118" s="1" t="s">
        <v>618</v>
      </c>
      <c r="N118" s="1" t="s">
        <v>618</v>
      </c>
    </row>
    <row r="119" spans="1:15" x14ac:dyDescent="0.25">
      <c r="B119" s="1" t="s">
        <v>619</v>
      </c>
      <c r="H119" s="1" t="s">
        <v>619</v>
      </c>
      <c r="N119" s="1" t="s">
        <v>619</v>
      </c>
    </row>
    <row r="120" spans="1:15" x14ac:dyDescent="0.25">
      <c r="A120" s="1" t="s">
        <v>91</v>
      </c>
      <c r="G120" s="1" t="s">
        <v>91</v>
      </c>
      <c r="M120" s="1" t="s">
        <v>91</v>
      </c>
    </row>
    <row r="121" spans="1:15" x14ac:dyDescent="0.25">
      <c r="A121" s="4" t="s">
        <v>26</v>
      </c>
      <c r="B121" s="18">
        <v>0.52</v>
      </c>
      <c r="C121" s="1" t="s">
        <v>48</v>
      </c>
      <c r="G121" s="4" t="s">
        <v>26</v>
      </c>
      <c r="H121" s="19">
        <f>B121</f>
        <v>0.52</v>
      </c>
      <c r="I121" s="1" t="s">
        <v>48</v>
      </c>
      <c r="M121" s="4" t="s">
        <v>26</v>
      </c>
      <c r="N121" s="19">
        <f>H121</f>
        <v>0.52</v>
      </c>
      <c r="O121" s="1" t="s">
        <v>48</v>
      </c>
    </row>
    <row r="122" spans="1:15" x14ac:dyDescent="0.25">
      <c r="A122" s="4" t="s">
        <v>620</v>
      </c>
      <c r="B122" s="18">
        <v>90</v>
      </c>
      <c r="C122" s="1" t="s">
        <v>212</v>
      </c>
      <c r="G122" s="4" t="s">
        <v>620</v>
      </c>
      <c r="H122" s="19">
        <v>100</v>
      </c>
      <c r="I122" s="1" t="s">
        <v>212</v>
      </c>
      <c r="M122" s="4" t="s">
        <v>620</v>
      </c>
      <c r="N122" s="19">
        <v>65</v>
      </c>
      <c r="O122" s="1" t="s">
        <v>212</v>
      </c>
    </row>
    <row r="123" spans="1:15" x14ac:dyDescent="0.25">
      <c r="A123" s="4" t="s">
        <v>621</v>
      </c>
      <c r="B123" s="18">
        <v>1</v>
      </c>
      <c r="C123" s="1" t="s">
        <v>51</v>
      </c>
      <c r="G123" s="4" t="s">
        <v>621</v>
      </c>
      <c r="H123" s="18">
        <v>1.2</v>
      </c>
      <c r="I123" s="1" t="s">
        <v>51</v>
      </c>
      <c r="M123" s="4" t="s">
        <v>621</v>
      </c>
      <c r="N123" s="18">
        <v>1</v>
      </c>
      <c r="O123" s="1" t="s">
        <v>51</v>
      </c>
    </row>
    <row r="124" spans="1:15" x14ac:dyDescent="0.25">
      <c r="A124" s="4" t="s">
        <v>622</v>
      </c>
      <c r="B124" s="19">
        <f>B111</f>
        <v>6.4898920002980462E-2</v>
      </c>
      <c r="C124" s="1" t="s">
        <v>67</v>
      </c>
      <c r="G124" s="4" t="s">
        <v>622</v>
      </c>
      <c r="H124" s="19">
        <f>B124</f>
        <v>6.4898920002980462E-2</v>
      </c>
      <c r="I124" s="1" t="s">
        <v>67</v>
      </c>
      <c r="M124" s="4" t="s">
        <v>622</v>
      </c>
      <c r="N124" s="19">
        <f>H124</f>
        <v>6.4898920002980462E-2</v>
      </c>
      <c r="O124" s="1" t="s">
        <v>67</v>
      </c>
    </row>
    <row r="125" spans="1:15" x14ac:dyDescent="0.25">
      <c r="A125" s="1" t="s">
        <v>623</v>
      </c>
      <c r="G125" s="1" t="s">
        <v>623</v>
      </c>
      <c r="M125" s="1" t="s">
        <v>623</v>
      </c>
    </row>
    <row r="126" spans="1:15" x14ac:dyDescent="0.25">
      <c r="A126" s="4" t="s">
        <v>624</v>
      </c>
      <c r="B126" s="17">
        <f>3600*B124*B122%*B123*B121</f>
        <v>109.3417004210215</v>
      </c>
      <c r="C126" s="1" t="s">
        <v>56</v>
      </c>
      <c r="G126" s="4" t="s">
        <v>624</v>
      </c>
      <c r="H126" s="43">
        <f>3600*H124*H122%*H123*H121</f>
        <v>145.7889338946953</v>
      </c>
      <c r="I126" s="1" t="s">
        <v>57</v>
      </c>
      <c r="K126" s="33">
        <f>H126/N126</f>
        <v>1.8461538461538458</v>
      </c>
      <c r="M126" s="4" t="s">
        <v>624</v>
      </c>
      <c r="N126" s="43">
        <f>3600*N124*N122%*N123*N121</f>
        <v>78.969005859626634</v>
      </c>
      <c r="O126" s="1" t="s">
        <v>57</v>
      </c>
    </row>
    <row r="127" spans="1:15" x14ac:dyDescent="0.25">
      <c r="A127" s="3"/>
    </row>
    <row r="128" spans="1:15" x14ac:dyDescent="0.25">
      <c r="A128" s="3"/>
    </row>
    <row r="129" spans="1:3" x14ac:dyDescent="0.25">
      <c r="A129" s="3"/>
    </row>
    <row r="130" spans="1:3" ht="13.8" x14ac:dyDescent="0.25">
      <c r="A130" s="58" t="s">
        <v>1205</v>
      </c>
    </row>
    <row r="132" spans="1:3" x14ac:dyDescent="0.25">
      <c r="B132" s="1" t="s">
        <v>627</v>
      </c>
    </row>
    <row r="133" spans="1:3" x14ac:dyDescent="0.25">
      <c r="B133" s="1" t="s">
        <v>628</v>
      </c>
    </row>
    <row r="135" spans="1:3" x14ac:dyDescent="0.25">
      <c r="B135" s="1" t="s">
        <v>629</v>
      </c>
    </row>
    <row r="136" spans="1:3" x14ac:dyDescent="0.25">
      <c r="B136" s="1" t="s">
        <v>630</v>
      </c>
    </row>
    <row r="137" spans="1:3" x14ac:dyDescent="0.25">
      <c r="B137" s="1" t="s">
        <v>631</v>
      </c>
    </row>
    <row r="138" spans="1:3" x14ac:dyDescent="0.25">
      <c r="B138" s="1" t="s">
        <v>632</v>
      </c>
    </row>
    <row r="139" spans="1:3" x14ac:dyDescent="0.25">
      <c r="A139" s="1" t="s">
        <v>207</v>
      </c>
    </row>
    <row r="140" spans="1:3" x14ac:dyDescent="0.25">
      <c r="A140" s="4" t="s">
        <v>633</v>
      </c>
      <c r="B140" s="19">
        <f>B121</f>
        <v>0.52</v>
      </c>
      <c r="C140" s="1" t="s">
        <v>48</v>
      </c>
    </row>
    <row r="141" spans="1:3" x14ac:dyDescent="0.25">
      <c r="A141" s="4" t="s">
        <v>624</v>
      </c>
      <c r="B141" s="43">
        <f>H126</f>
        <v>145.7889338946953</v>
      </c>
      <c r="C141" s="1" t="s">
        <v>57</v>
      </c>
    </row>
    <row r="142" spans="1:3" x14ac:dyDescent="0.25">
      <c r="A142" s="4" t="s">
        <v>634</v>
      </c>
      <c r="B142" s="18">
        <v>0</v>
      </c>
      <c r="C142" s="1" t="s">
        <v>48</v>
      </c>
    </row>
    <row r="144" spans="1:3" x14ac:dyDescent="0.25">
      <c r="A144" s="1" t="s">
        <v>394</v>
      </c>
    </row>
    <row r="145" spans="1:3" x14ac:dyDescent="0.25">
      <c r="A145" s="4" t="s">
        <v>635</v>
      </c>
      <c r="B145" s="19">
        <f>B141*((B140*B140)-(B142*B142))/(3.6*B140)</f>
        <v>21.058401562567102</v>
      </c>
      <c r="C145" s="1" t="s">
        <v>133</v>
      </c>
    </row>
    <row r="146" spans="1:3" x14ac:dyDescent="0.25">
      <c r="A146" s="3"/>
    </row>
    <row r="147" spans="1:3" x14ac:dyDescent="0.25">
      <c r="A147" s="3"/>
    </row>
    <row r="148" spans="1:3" ht="13.8" x14ac:dyDescent="0.25">
      <c r="A148" s="58" t="s">
        <v>1206</v>
      </c>
    </row>
    <row r="150" spans="1:3" x14ac:dyDescent="0.25">
      <c r="B150" s="1" t="s">
        <v>637</v>
      </c>
    </row>
    <row r="151" spans="1:3" x14ac:dyDescent="0.25">
      <c r="B151" s="1" t="s">
        <v>638</v>
      </c>
    </row>
    <row r="153" spans="1:3" x14ac:dyDescent="0.25">
      <c r="B153" s="1" t="s">
        <v>639</v>
      </c>
    </row>
    <row r="154" spans="1:3" x14ac:dyDescent="0.25">
      <c r="A154" s="4" t="s">
        <v>23</v>
      </c>
    </row>
    <row r="155" spans="1:3" x14ac:dyDescent="0.25">
      <c r="B155" s="1" t="s">
        <v>640</v>
      </c>
    </row>
    <row r="156" spans="1:3" x14ac:dyDescent="0.25">
      <c r="B156" s="1" t="s">
        <v>641</v>
      </c>
    </row>
    <row r="157" spans="1:3" x14ac:dyDescent="0.25">
      <c r="B157" s="1" t="s">
        <v>642</v>
      </c>
    </row>
    <row r="158" spans="1:3" x14ac:dyDescent="0.25">
      <c r="B158" s="1" t="s">
        <v>643</v>
      </c>
    </row>
    <row r="159" spans="1:3" x14ac:dyDescent="0.25">
      <c r="B159" s="52" t="s">
        <v>644</v>
      </c>
    </row>
    <row r="160" spans="1:3" x14ac:dyDescent="0.25">
      <c r="B160" s="1" t="s">
        <v>645</v>
      </c>
    </row>
    <row r="161" spans="1:10" x14ac:dyDescent="0.25">
      <c r="A161" s="1" t="s">
        <v>91</v>
      </c>
    </row>
    <row r="162" spans="1:10" x14ac:dyDescent="0.25">
      <c r="A162" s="4" t="s">
        <v>646</v>
      </c>
      <c r="B162" s="19">
        <f>B165*(1-SIN(B166*PI()/180))/(2.3*(1+SIN(B166*PI()/180)))</f>
        <v>0.17391304347826086</v>
      </c>
      <c r="C162" s="1" t="s">
        <v>46</v>
      </c>
      <c r="D162" s="1" t="s">
        <v>647</v>
      </c>
      <c r="E162" s="9" t="s">
        <v>648</v>
      </c>
      <c r="F162" s="9" t="s">
        <v>649</v>
      </c>
      <c r="G162" s="1" t="s">
        <v>650</v>
      </c>
    </row>
    <row r="163" spans="1:10" x14ac:dyDescent="0.25">
      <c r="A163" s="4" t="s">
        <v>651</v>
      </c>
      <c r="B163" s="18">
        <v>0</v>
      </c>
      <c r="C163" s="1" t="s">
        <v>58</v>
      </c>
      <c r="E163" s="9">
        <v>0</v>
      </c>
      <c r="F163" s="9">
        <v>25</v>
      </c>
    </row>
    <row r="164" spans="1:10" x14ac:dyDescent="0.25">
      <c r="A164" s="4" t="s">
        <v>190</v>
      </c>
      <c r="B164" s="19">
        <f>B98</f>
        <v>30</v>
      </c>
      <c r="C164" s="1" t="s">
        <v>603</v>
      </c>
    </row>
    <row r="165" spans="1:10" x14ac:dyDescent="0.25">
      <c r="A165" s="53" t="s">
        <v>652</v>
      </c>
      <c r="B165" s="19">
        <f>H123</f>
        <v>1.2</v>
      </c>
      <c r="C165" s="1" t="s">
        <v>51</v>
      </c>
    </row>
    <row r="166" spans="1:10" x14ac:dyDescent="0.25">
      <c r="A166" s="4" t="s">
        <v>653</v>
      </c>
      <c r="B166" s="18">
        <v>30</v>
      </c>
      <c r="C166" s="1" t="s">
        <v>172</v>
      </c>
    </row>
    <row r="167" spans="1:10" x14ac:dyDescent="0.25">
      <c r="A167" s="4"/>
    </row>
    <row r="168" spans="1:10" x14ac:dyDescent="0.25">
      <c r="A168" s="38" t="s">
        <v>116</v>
      </c>
    </row>
    <row r="169" spans="1:10" x14ac:dyDescent="0.25">
      <c r="A169" s="4" t="s">
        <v>654</v>
      </c>
      <c r="B169" s="19">
        <f>(0.01488*B162*B163*B164*B164+8.92*B163)+(IF(E163=1,F163,0))*(0.01488*B162*B163*B164+8.92*B163)</f>
        <v>0</v>
      </c>
      <c r="C169" s="1" t="s">
        <v>133</v>
      </c>
      <c r="D169" s="117"/>
    </row>
    <row r="172" spans="1:10" x14ac:dyDescent="0.25">
      <c r="A172" s="4"/>
    </row>
    <row r="173" spans="1:10" ht="13.8" x14ac:dyDescent="0.25">
      <c r="A173" s="58" t="s">
        <v>1207</v>
      </c>
      <c r="B173"/>
      <c r="C173" s="118"/>
      <c r="D173" s="118"/>
      <c r="E173" s="118"/>
      <c r="F173" s="118"/>
      <c r="G173" s="118"/>
      <c r="H173" s="118"/>
      <c r="I173" s="118"/>
      <c r="J173" s="118"/>
    </row>
    <row r="174" spans="1:10" x14ac:dyDescent="0.25">
      <c r="A174" s="122"/>
      <c r="B174"/>
      <c r="C174" s="118"/>
      <c r="D174" s="118"/>
      <c r="E174" s="118"/>
      <c r="F174" s="118"/>
      <c r="G174" s="118"/>
      <c r="H174" s="118"/>
      <c r="I174" s="118"/>
      <c r="J174" s="118"/>
    </row>
    <row r="175" spans="1:10" x14ac:dyDescent="0.25">
      <c r="A175" s="122"/>
      <c r="B175"/>
      <c r="C175" s="1" t="s">
        <v>656</v>
      </c>
      <c r="E175" s="118"/>
      <c r="F175" s="118"/>
      <c r="G175" s="118"/>
      <c r="H175" s="118"/>
      <c r="I175" s="118"/>
      <c r="J175" s="118"/>
    </row>
    <row r="176" spans="1:10" x14ac:dyDescent="0.25">
      <c r="A176" s="122"/>
      <c r="B176"/>
      <c r="C176" s="1" t="s">
        <v>657</v>
      </c>
      <c r="E176" s="118"/>
      <c r="F176" s="118"/>
      <c r="G176" s="118"/>
      <c r="H176" s="118"/>
      <c r="I176" s="118"/>
      <c r="J176" s="118"/>
    </row>
    <row r="177" spans="1:13" x14ac:dyDescent="0.25">
      <c r="A177" s="122"/>
      <c r="B177"/>
      <c r="I177" s="118"/>
      <c r="J177" s="118"/>
    </row>
    <row r="178" spans="1:13" x14ac:dyDescent="0.25">
      <c r="A178" s="122"/>
      <c r="B178"/>
      <c r="C178" s="52" t="s">
        <v>658</v>
      </c>
      <c r="D178" s="118"/>
      <c r="I178" s="118"/>
      <c r="J178" s="118"/>
    </row>
    <row r="179" spans="1:13" x14ac:dyDescent="0.25">
      <c r="A179" s="122"/>
      <c r="B179"/>
      <c r="C179" s="52" t="s">
        <v>659</v>
      </c>
      <c r="D179" s="118"/>
      <c r="E179" s="118"/>
      <c r="F179" s="118"/>
      <c r="G179" s="118"/>
      <c r="H179" s="118"/>
      <c r="I179" s="118"/>
      <c r="J179" s="118"/>
    </row>
    <row r="180" spans="1:13" x14ac:dyDescent="0.25">
      <c r="A180" s="122"/>
      <c r="B180"/>
      <c r="E180" s="118"/>
      <c r="F180" s="118"/>
      <c r="G180" s="118"/>
      <c r="H180" s="118"/>
      <c r="I180" s="118"/>
      <c r="J180" s="118"/>
    </row>
    <row r="181" spans="1:13" ht="15.6" x14ac:dyDescent="0.25">
      <c r="A181" s="122"/>
      <c r="B181"/>
      <c r="C181" s="120" t="s">
        <v>660</v>
      </c>
      <c r="D181" s="118"/>
      <c r="E181" s="118"/>
      <c r="F181" s="118"/>
      <c r="G181" s="118"/>
      <c r="H181" s="118"/>
    </row>
    <row r="182" spans="1:13" x14ac:dyDescent="0.25">
      <c r="A182" s="122"/>
      <c r="B182"/>
      <c r="C182" s="118" t="s">
        <v>661</v>
      </c>
      <c r="D182" s="118"/>
      <c r="E182" s="118"/>
      <c r="F182" s="118"/>
      <c r="G182" s="118"/>
      <c r="H182" s="118"/>
    </row>
    <row r="183" spans="1:13" x14ac:dyDescent="0.25">
      <c r="A183" s="122"/>
      <c r="B183"/>
      <c r="D183" s="118"/>
      <c r="E183" s="118"/>
      <c r="H183" s="118"/>
      <c r="I183" s="118"/>
      <c r="J183" s="118"/>
      <c r="K183" s="118"/>
      <c r="L183" s="118"/>
      <c r="M183" s="118"/>
    </row>
    <row r="184" spans="1:13" x14ac:dyDescent="0.25">
      <c r="A184" s="122"/>
      <c r="B184"/>
      <c r="C184" s="118" t="s">
        <v>662</v>
      </c>
      <c r="H184" s="118"/>
      <c r="I184" s="118"/>
      <c r="J184" s="118"/>
    </row>
    <row r="185" spans="1:13" x14ac:dyDescent="0.25">
      <c r="A185" s="122"/>
      <c r="B185"/>
      <c r="C185" s="118"/>
      <c r="D185" s="118"/>
      <c r="E185" s="118"/>
      <c r="H185" s="118"/>
      <c r="I185" s="118"/>
      <c r="J185" s="118"/>
    </row>
    <row r="186" spans="1:13" x14ac:dyDescent="0.25">
      <c r="F186" s="118"/>
      <c r="G186" s="118"/>
      <c r="H186" s="118"/>
      <c r="I186" s="118"/>
      <c r="J186" s="118"/>
    </row>
    <row r="187" spans="1:13" x14ac:dyDescent="0.25">
      <c r="A187" s="1" t="s">
        <v>663</v>
      </c>
      <c r="B187"/>
      <c r="C187" s="118"/>
      <c r="D187" s="118"/>
      <c r="E187" s="118"/>
      <c r="F187" s="118"/>
      <c r="G187" s="118"/>
      <c r="H187" s="118"/>
      <c r="I187" s="118"/>
      <c r="J187" s="118"/>
    </row>
    <row r="188" spans="1:13" x14ac:dyDescent="0.25">
      <c r="A188" s="1" t="s">
        <v>664</v>
      </c>
      <c r="B188" s="118"/>
      <c r="C188" s="118"/>
      <c r="D188" s="118"/>
      <c r="E188" s="118"/>
      <c r="F188" s="118"/>
      <c r="G188" s="118"/>
      <c r="H188" s="118"/>
      <c r="I188" s="118"/>
      <c r="J188" s="118"/>
    </row>
    <row r="189" spans="1:13" x14ac:dyDescent="0.25">
      <c r="A189" s="1" t="s">
        <v>665</v>
      </c>
    </row>
    <row r="190" spans="1:13" x14ac:dyDescent="0.25">
      <c r="A190" s="251" t="s">
        <v>666</v>
      </c>
      <c r="B190" s="251"/>
      <c r="C190" s="121" t="s">
        <v>667</v>
      </c>
      <c r="D190" s="121" t="s">
        <v>668</v>
      </c>
      <c r="E190" s="121" t="s">
        <v>670</v>
      </c>
      <c r="F190" s="121" t="s">
        <v>671</v>
      </c>
      <c r="G190" s="121" t="s">
        <v>672</v>
      </c>
      <c r="H190" s="121" t="s">
        <v>673</v>
      </c>
      <c r="I190" s="121" t="s">
        <v>674</v>
      </c>
      <c r="J190" s="121" t="s">
        <v>675</v>
      </c>
      <c r="K190" s="121" t="s">
        <v>676</v>
      </c>
      <c r="L190" s="121" t="s">
        <v>677</v>
      </c>
    </row>
    <row r="191" spans="1:13" x14ac:dyDescent="0.25">
      <c r="A191" s="251" t="s">
        <v>678</v>
      </c>
      <c r="B191" s="251"/>
      <c r="C191" s="121">
        <v>5.2</v>
      </c>
      <c r="D191" s="121">
        <v>6.5</v>
      </c>
      <c r="E191" s="121">
        <v>7.7</v>
      </c>
      <c r="F191" s="121">
        <v>11.9</v>
      </c>
      <c r="G191" s="121">
        <v>14.3</v>
      </c>
      <c r="H191" s="121">
        <v>17.7</v>
      </c>
      <c r="I191" s="121">
        <v>26.8</v>
      </c>
      <c r="J191" s="121">
        <v>29.8</v>
      </c>
      <c r="K191" s="121">
        <v>35.700000000000003</v>
      </c>
      <c r="L191" s="121">
        <v>41.6</v>
      </c>
    </row>
    <row r="192" spans="1:13" x14ac:dyDescent="0.25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</row>
    <row r="193" spans="1:12" x14ac:dyDescent="0.25">
      <c r="A193" s="1" t="s">
        <v>631</v>
      </c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</row>
    <row r="194" spans="1:12" x14ac:dyDescent="0.25">
      <c r="A194" s="1" t="s">
        <v>679</v>
      </c>
      <c r="B194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</row>
    <row r="195" spans="1:12" x14ac:dyDescent="0.25">
      <c r="A195" s="1" t="s">
        <v>1208</v>
      </c>
      <c r="B195" s="118"/>
      <c r="C195" s="118"/>
      <c r="D195" s="118"/>
      <c r="E195" s="118"/>
      <c r="F195" s="118"/>
      <c r="G195" s="118"/>
      <c r="H195" s="118"/>
      <c r="I195" s="118"/>
      <c r="J195" s="118"/>
    </row>
    <row r="196" spans="1:12" x14ac:dyDescent="0.25">
      <c r="A196" s="1" t="s">
        <v>681</v>
      </c>
      <c r="B196" s="118"/>
      <c r="C196" s="118"/>
      <c r="D196" s="118"/>
      <c r="E196" s="118"/>
      <c r="F196" s="118"/>
      <c r="G196" s="118"/>
      <c r="H196" s="118"/>
      <c r="I196" s="118"/>
      <c r="J196" s="118"/>
    </row>
    <row r="197" spans="1:12" x14ac:dyDescent="0.25">
      <c r="A197" s="1" t="s">
        <v>599</v>
      </c>
      <c r="B197" s="118"/>
      <c r="C197" s="118"/>
      <c r="D197" s="118"/>
      <c r="E197" s="118"/>
      <c r="F197" s="118"/>
      <c r="G197" s="118"/>
      <c r="H197" s="118"/>
      <c r="I197" s="118"/>
      <c r="J197" s="118"/>
    </row>
    <row r="198" spans="1:12" x14ac:dyDescent="0.25">
      <c r="A198" s="1" t="s">
        <v>682</v>
      </c>
      <c r="B198" s="118"/>
      <c r="C198" s="118"/>
      <c r="D198" s="118"/>
      <c r="E198" s="118"/>
      <c r="F198" s="118"/>
      <c r="G198" s="118"/>
      <c r="H198" s="118"/>
      <c r="I198" s="118"/>
      <c r="J198" s="118"/>
    </row>
    <row r="199" spans="1:12" x14ac:dyDescent="0.25">
      <c r="A199" s="1" t="s">
        <v>683</v>
      </c>
      <c r="B199" s="118"/>
      <c r="C199" s="118"/>
      <c r="D199" s="118"/>
      <c r="E199" s="118"/>
      <c r="F199" s="118"/>
      <c r="G199" s="118"/>
      <c r="H199" s="118"/>
      <c r="I199" s="118"/>
      <c r="J199" s="118"/>
    </row>
    <row r="200" spans="1:12" x14ac:dyDescent="0.25">
      <c r="A200" s="1" t="s">
        <v>340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2" x14ac:dyDescent="0.25">
      <c r="A201" s="1" t="s">
        <v>684</v>
      </c>
      <c r="B201" s="118"/>
      <c r="C201" s="118"/>
      <c r="D201" s="118"/>
      <c r="E201" s="118"/>
      <c r="F201" s="118"/>
      <c r="G201" s="118"/>
      <c r="H201" s="118"/>
      <c r="I201" s="118"/>
      <c r="J201" s="118"/>
    </row>
    <row r="202" spans="1:12" x14ac:dyDescent="0.25">
      <c r="A202" s="1" t="s">
        <v>685</v>
      </c>
      <c r="B202" s="118"/>
      <c r="C202" s="118"/>
      <c r="D202" s="118"/>
      <c r="E202" s="118"/>
      <c r="F202" s="118"/>
      <c r="G202" s="118"/>
      <c r="H202" s="118"/>
      <c r="I202" s="118"/>
      <c r="J202" s="118"/>
    </row>
    <row r="203" spans="1:12" x14ac:dyDescent="0.25">
      <c r="A203" s="1" t="s">
        <v>686</v>
      </c>
      <c r="B203" s="118"/>
      <c r="C203" s="118"/>
      <c r="D203" s="118"/>
      <c r="E203" s="118"/>
      <c r="F203" s="118"/>
      <c r="G203" s="118"/>
      <c r="H203" s="118"/>
      <c r="I203" s="118"/>
      <c r="J203" s="118"/>
    </row>
    <row r="204" spans="1:12" x14ac:dyDescent="0.25">
      <c r="B204" s="118"/>
      <c r="C204" s="118"/>
      <c r="D204" s="118"/>
      <c r="E204" s="118"/>
      <c r="F204" s="118"/>
      <c r="G204" s="118"/>
      <c r="H204" s="118"/>
      <c r="I204" s="118"/>
      <c r="J204" s="118"/>
    </row>
    <row r="205" spans="1:12" x14ac:dyDescent="0.25">
      <c r="B205" s="118"/>
      <c r="C205" s="118"/>
      <c r="D205" s="118"/>
      <c r="E205" s="118"/>
      <c r="F205" s="118"/>
      <c r="G205" s="118"/>
      <c r="H205" s="118"/>
      <c r="I205" s="118"/>
      <c r="J205" s="118"/>
    </row>
    <row r="206" spans="1:12" x14ac:dyDescent="0.25">
      <c r="A206" s="1" t="s">
        <v>687</v>
      </c>
      <c r="B206" s="118"/>
      <c r="C206" s="118"/>
      <c r="D206" s="118"/>
      <c r="E206" s="118"/>
      <c r="F206" s="118"/>
      <c r="G206" s="118"/>
      <c r="H206" s="118"/>
      <c r="I206" s="118"/>
      <c r="J206" s="118"/>
    </row>
    <row r="207" spans="1:12" x14ac:dyDescent="0.25">
      <c r="B207" s="118"/>
      <c r="C207" s="118"/>
      <c r="D207" s="118"/>
      <c r="E207" s="118"/>
      <c r="F207" s="118"/>
      <c r="G207" s="118"/>
      <c r="H207" s="118"/>
      <c r="I207" s="118"/>
      <c r="J207" s="118"/>
    </row>
    <row r="208" spans="1:12" x14ac:dyDescent="0.25">
      <c r="A208" s="122" t="s">
        <v>24</v>
      </c>
      <c r="B208" s="19">
        <f>B141</f>
        <v>145.7889338946953</v>
      </c>
      <c r="C208" s="118" t="s">
        <v>57</v>
      </c>
      <c r="D208" s="118"/>
      <c r="E208" s="118"/>
      <c r="F208" s="118"/>
      <c r="G208" s="118"/>
      <c r="H208" s="118"/>
      <c r="I208" s="118"/>
      <c r="J208" s="118"/>
    </row>
    <row r="209" spans="1:10" x14ac:dyDescent="0.25">
      <c r="A209" s="122" t="s">
        <v>26</v>
      </c>
      <c r="B209" s="19">
        <f>B140</f>
        <v>0.52</v>
      </c>
      <c r="C209" s="118" t="s">
        <v>48</v>
      </c>
      <c r="D209" s="118"/>
      <c r="E209" s="118"/>
      <c r="F209" s="118"/>
      <c r="G209" s="118"/>
      <c r="H209" s="118"/>
      <c r="I209" s="118"/>
      <c r="J209" s="118"/>
    </row>
    <row r="210" spans="1:10" x14ac:dyDescent="0.25">
      <c r="A210" s="122" t="s">
        <v>688</v>
      </c>
      <c r="B210" s="19">
        <f>0.277*B208/B209</f>
        <v>77.660643632366543</v>
      </c>
      <c r="C210" s="118" t="s">
        <v>203</v>
      </c>
      <c r="D210" s="118"/>
      <c r="E210" s="118"/>
      <c r="F210" s="118"/>
      <c r="G210" s="118"/>
      <c r="H210" s="118"/>
      <c r="I210" s="118"/>
      <c r="J210" s="118"/>
    </row>
    <row r="211" spans="1:10" x14ac:dyDescent="0.25">
      <c r="B211" s="118"/>
      <c r="C211" s="118"/>
      <c r="D211" s="118"/>
      <c r="E211" s="118"/>
      <c r="F211" s="118"/>
      <c r="G211" s="118"/>
      <c r="H211" s="118"/>
      <c r="I211" s="118"/>
      <c r="J211" s="118"/>
    </row>
    <row r="212" spans="1:10" x14ac:dyDescent="0.25">
      <c r="B212" s="118"/>
      <c r="C212" s="118"/>
      <c r="D212" s="118"/>
      <c r="E212" s="118"/>
      <c r="F212" s="118"/>
      <c r="G212" s="118"/>
      <c r="H212" s="118"/>
      <c r="I212" s="118"/>
      <c r="J212" s="118"/>
    </row>
    <row r="213" spans="1:10" x14ac:dyDescent="0.25">
      <c r="A213" s="122" t="s">
        <v>689</v>
      </c>
      <c r="B213" s="18">
        <v>102</v>
      </c>
      <c r="C213" s="118" t="s">
        <v>52</v>
      </c>
      <c r="D213" s="118"/>
      <c r="E213" s="118"/>
      <c r="F213" s="118"/>
      <c r="G213" s="118"/>
      <c r="H213" s="118"/>
      <c r="I213" s="118"/>
      <c r="J213" s="118"/>
    </row>
    <row r="214" spans="1:10" x14ac:dyDescent="0.25">
      <c r="A214" s="122" t="s">
        <v>26</v>
      </c>
      <c r="B214" s="19">
        <f>B209</f>
        <v>0.52</v>
      </c>
      <c r="C214" s="118" t="s">
        <v>48</v>
      </c>
      <c r="D214" s="118"/>
      <c r="E214" s="118"/>
      <c r="F214" s="118"/>
      <c r="G214" s="118"/>
      <c r="H214" s="118"/>
    </row>
    <row r="215" spans="1:10" x14ac:dyDescent="0.25">
      <c r="A215" s="122" t="s">
        <v>690</v>
      </c>
      <c r="B215" s="34">
        <f>(B214*60)/(B213*3.1415/1000)</f>
        <v>97.368248588628532</v>
      </c>
      <c r="C215" s="118" t="s">
        <v>347</v>
      </c>
      <c r="D215" s="118"/>
      <c r="F215" s="118"/>
      <c r="G215" s="122" t="s">
        <v>691</v>
      </c>
      <c r="H215" s="123">
        <f>B210+B218</f>
        <v>85.360643632366546</v>
      </c>
    </row>
    <row r="216" spans="1:10" x14ac:dyDescent="0.25">
      <c r="D216" s="118"/>
      <c r="F216" s="118"/>
      <c r="G216" s="118"/>
    </row>
    <row r="217" spans="1:10" x14ac:dyDescent="0.25">
      <c r="A217" s="4" t="s">
        <v>692</v>
      </c>
      <c r="B217" s="18">
        <v>9.11</v>
      </c>
      <c r="C217" s="118" t="s">
        <v>46</v>
      </c>
      <c r="D217" s="118"/>
      <c r="F217" s="118"/>
      <c r="G217" s="118"/>
    </row>
    <row r="218" spans="1:10" x14ac:dyDescent="0.25">
      <c r="A218" s="4" t="s">
        <v>693</v>
      </c>
      <c r="B218" s="18">
        <v>7.7</v>
      </c>
      <c r="C218" s="118" t="s">
        <v>203</v>
      </c>
      <c r="D218" s="118"/>
      <c r="F218" s="118" t="s">
        <v>694</v>
      </c>
    </row>
    <row r="219" spans="1:10" x14ac:dyDescent="0.25">
      <c r="A219" s="4" t="s">
        <v>695</v>
      </c>
      <c r="B219" s="18">
        <v>3.5</v>
      </c>
      <c r="C219" s="118" t="s">
        <v>133</v>
      </c>
      <c r="D219" s="118"/>
    </row>
    <row r="220" spans="1:10" x14ac:dyDescent="0.25">
      <c r="A220" s="4" t="s">
        <v>696</v>
      </c>
      <c r="B220" s="18">
        <v>0.35</v>
      </c>
      <c r="C220" s="118" t="s">
        <v>58</v>
      </c>
      <c r="D220" s="118"/>
      <c r="F220" s="4" t="s">
        <v>697</v>
      </c>
      <c r="G220" s="18">
        <v>15</v>
      </c>
      <c r="H220" s="1" t="s">
        <v>698</v>
      </c>
    </row>
    <row r="221" spans="1:10" x14ac:dyDescent="0.25">
      <c r="A221" s="4" t="s">
        <v>699</v>
      </c>
      <c r="B221" s="18">
        <v>35</v>
      </c>
      <c r="C221" s="118" t="s">
        <v>172</v>
      </c>
      <c r="D221" s="118"/>
      <c r="F221" s="4" t="s">
        <v>313</v>
      </c>
      <c r="G221" s="18">
        <v>48</v>
      </c>
      <c r="H221" s="1" t="s">
        <v>700</v>
      </c>
    </row>
    <row r="222" spans="1:10" x14ac:dyDescent="0.25">
      <c r="A222" s="4" t="s">
        <v>701</v>
      </c>
      <c r="B222" s="18">
        <v>0.6</v>
      </c>
      <c r="C222" s="118" t="s">
        <v>46</v>
      </c>
      <c r="D222" s="118"/>
      <c r="F222" s="4" t="s">
        <v>702</v>
      </c>
      <c r="G222" s="19">
        <f>G220*G221</f>
        <v>720</v>
      </c>
      <c r="H222" s="1" t="s">
        <v>703</v>
      </c>
    </row>
    <row r="223" spans="1:10" x14ac:dyDescent="0.25">
      <c r="A223" s="4" t="s">
        <v>704</v>
      </c>
      <c r="B223" s="19">
        <f>(B222/2+(1-B222)/2*POWER(SIN(B221),2))*B210*B220+B218*B220/6+B219/2</f>
        <v>11.3502175824233</v>
      </c>
      <c r="C223" s="118" t="s">
        <v>133</v>
      </c>
      <c r="D223" s="118"/>
      <c r="I223" s="118"/>
      <c r="J223" s="118"/>
    </row>
    <row r="224" spans="1:10" x14ac:dyDescent="0.25">
      <c r="D224" s="118"/>
      <c r="I224" s="118"/>
      <c r="J224" s="118"/>
    </row>
    <row r="225" spans="1:10" x14ac:dyDescent="0.25">
      <c r="A225" s="118" t="s">
        <v>116</v>
      </c>
      <c r="B225" s="118"/>
      <c r="C225" s="118"/>
      <c r="D225" s="118"/>
      <c r="E225" s="118"/>
      <c r="F225" s="118"/>
      <c r="G225" s="118"/>
      <c r="H225" s="118"/>
      <c r="I225" s="118"/>
      <c r="J225" s="118"/>
    </row>
    <row r="226" spans="1:10" x14ac:dyDescent="0.25">
      <c r="A226" s="1" t="s">
        <v>705</v>
      </c>
      <c r="B226" s="19">
        <f>B223*B217</f>
        <v>103.40048217587625</v>
      </c>
      <c r="C226" s="118" t="s">
        <v>133</v>
      </c>
      <c r="D226" s="118" t="s">
        <v>1209</v>
      </c>
      <c r="E226" s="118"/>
      <c r="F226" s="118"/>
      <c r="G226" s="118" t="s">
        <v>707</v>
      </c>
      <c r="H226" s="118"/>
      <c r="I226" s="118"/>
      <c r="J226" s="118"/>
    </row>
    <row r="227" spans="1:10" x14ac:dyDescent="0.25">
      <c r="B227"/>
      <c r="C227" s="118"/>
      <c r="D227" s="118"/>
      <c r="E227" s="118"/>
      <c r="F227" s="118"/>
      <c r="G227" s="118"/>
      <c r="H227" s="118"/>
      <c r="I227" s="118"/>
      <c r="J227" s="118"/>
    </row>
    <row r="228" spans="1:10" x14ac:dyDescent="0.25">
      <c r="A228" s="4"/>
    </row>
    <row r="229" spans="1:10" x14ac:dyDescent="0.25">
      <c r="A229" s="4"/>
    </row>
    <row r="230" spans="1:10" ht="13.8" x14ac:dyDescent="0.25">
      <c r="A230" s="58" t="s">
        <v>1210</v>
      </c>
    </row>
    <row r="231" spans="1:10" ht="13.8" x14ac:dyDescent="0.25">
      <c r="A231" s="58"/>
    </row>
    <row r="233" spans="1:10" x14ac:dyDescent="0.25">
      <c r="B233" s="1" t="s">
        <v>709</v>
      </c>
    </row>
    <row r="234" spans="1:10" x14ac:dyDescent="0.25">
      <c r="B234" s="1" t="s">
        <v>710</v>
      </c>
    </row>
    <row r="236" spans="1:10" x14ac:dyDescent="0.25">
      <c r="A236" s="1" t="s">
        <v>711</v>
      </c>
    </row>
    <row r="237" spans="1:10" x14ac:dyDescent="0.25">
      <c r="A237" s="1" t="s">
        <v>712</v>
      </c>
    </row>
    <row r="238" spans="1:10" x14ac:dyDescent="0.25">
      <c r="A238" s="1" t="s">
        <v>681</v>
      </c>
    </row>
    <row r="239" spans="1:10" x14ac:dyDescent="0.25">
      <c r="A239" s="1" t="s">
        <v>663</v>
      </c>
    </row>
    <row r="240" spans="1:10" x14ac:dyDescent="0.25">
      <c r="A240" s="1" t="s">
        <v>664</v>
      </c>
    </row>
    <row r="244" spans="1:10" x14ac:dyDescent="0.25">
      <c r="A244" s="122" t="s">
        <v>713</v>
      </c>
      <c r="B244" s="18">
        <v>1.05</v>
      </c>
      <c r="C244" s="118" t="s">
        <v>46</v>
      </c>
    </row>
    <row r="245" spans="1:10" x14ac:dyDescent="0.25">
      <c r="A245" s="122" t="s">
        <v>714</v>
      </c>
      <c r="B245" s="19">
        <f>B220</f>
        <v>0.35</v>
      </c>
      <c r="C245" s="118" t="s">
        <v>58</v>
      </c>
    </row>
    <row r="246" spans="1:10" x14ac:dyDescent="0.25">
      <c r="A246" s="122" t="s">
        <v>715</v>
      </c>
      <c r="B246" s="19">
        <f>B218</f>
        <v>7.7</v>
      </c>
      <c r="C246" s="118" t="s">
        <v>203</v>
      </c>
      <c r="D246" s="118"/>
      <c r="E246" s="118"/>
      <c r="F246" s="118"/>
      <c r="G246" s="118"/>
      <c r="H246" s="118"/>
      <c r="I246" s="118"/>
      <c r="J246" s="118"/>
    </row>
    <row r="247" spans="1:10" x14ac:dyDescent="0.25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</row>
    <row r="248" spans="1:10" x14ac:dyDescent="0.25">
      <c r="A248" s="118" t="s">
        <v>116</v>
      </c>
      <c r="B248" s="118"/>
      <c r="C248" s="118"/>
      <c r="D248" s="118"/>
      <c r="E248" s="118"/>
      <c r="F248" s="118"/>
      <c r="G248" s="118"/>
      <c r="H248" s="118"/>
      <c r="I248" s="118"/>
      <c r="J248" s="118"/>
    </row>
    <row r="249" spans="1:10" x14ac:dyDescent="0.25">
      <c r="A249" s="122" t="s">
        <v>716</v>
      </c>
      <c r="B249" s="19">
        <f>0.00068*(B210+B246)+(B244/B245)</f>
        <v>3.0580452376700098</v>
      </c>
      <c r="C249" s="118" t="s">
        <v>133</v>
      </c>
      <c r="D249" s="118"/>
      <c r="E249" s="118"/>
      <c r="F249" s="118"/>
      <c r="G249" s="118"/>
      <c r="H249" s="118"/>
      <c r="I249" s="118"/>
      <c r="J249" s="118"/>
    </row>
    <row r="250" spans="1:10" x14ac:dyDescent="0.25">
      <c r="A250" s="122"/>
      <c r="B250"/>
      <c r="C250" s="118"/>
      <c r="D250" s="118"/>
      <c r="E250" s="118"/>
      <c r="F250" s="118"/>
      <c r="G250" s="118"/>
      <c r="H250" s="118"/>
      <c r="I250" s="118"/>
      <c r="J250" s="118"/>
    </row>
    <row r="252" spans="1:10" x14ac:dyDescent="0.25">
      <c r="B252" s="118"/>
      <c r="C252" s="118"/>
      <c r="D252" s="118"/>
      <c r="E252" s="118"/>
      <c r="F252" s="118"/>
      <c r="G252" s="118"/>
      <c r="H252" s="118"/>
      <c r="I252" s="118"/>
      <c r="J252" s="118"/>
    </row>
    <row r="253" spans="1:10" ht="13.8" x14ac:dyDescent="0.25">
      <c r="A253" s="58" t="s">
        <v>1211</v>
      </c>
      <c r="B253" s="118"/>
      <c r="C253" s="118"/>
      <c r="D253" s="118"/>
      <c r="E253" s="118"/>
      <c r="F253" s="118"/>
      <c r="G253" s="118"/>
      <c r="H253" s="118"/>
      <c r="I253" s="118"/>
      <c r="J253" s="118"/>
    </row>
    <row r="255" spans="1:10" x14ac:dyDescent="0.25">
      <c r="B255" s="1" t="s">
        <v>718</v>
      </c>
    </row>
    <row r="257" spans="1:3" x14ac:dyDescent="0.25">
      <c r="A257" s="1" t="s">
        <v>719</v>
      </c>
    </row>
    <row r="258" spans="1:3" x14ac:dyDescent="0.25">
      <c r="A258" s="1" t="s">
        <v>720</v>
      </c>
    </row>
    <row r="259" spans="1:3" x14ac:dyDescent="0.25">
      <c r="A259" s="1" t="s">
        <v>1212</v>
      </c>
    </row>
    <row r="260" spans="1:3" x14ac:dyDescent="0.25">
      <c r="A260" s="1" t="s">
        <v>722</v>
      </c>
    </row>
    <row r="261" spans="1:3" x14ac:dyDescent="0.25">
      <c r="A261" s="1" t="s">
        <v>723</v>
      </c>
    </row>
    <row r="262" spans="1:3" x14ac:dyDescent="0.25">
      <c r="A262" s="1" t="s">
        <v>724</v>
      </c>
    </row>
    <row r="264" spans="1:3" x14ac:dyDescent="0.25">
      <c r="A264" s="1" t="s">
        <v>344</v>
      </c>
    </row>
    <row r="265" spans="1:3" x14ac:dyDescent="0.25">
      <c r="A265" s="4" t="s">
        <v>725</v>
      </c>
      <c r="B265" s="18">
        <f>22.7*2</f>
        <v>45.4</v>
      </c>
      <c r="C265" s="1" t="s">
        <v>46</v>
      </c>
    </row>
    <row r="266" spans="1:3" x14ac:dyDescent="0.25">
      <c r="A266" s="4" t="s">
        <v>726</v>
      </c>
      <c r="B266" s="18">
        <v>0</v>
      </c>
      <c r="C266" s="1" t="s">
        <v>46</v>
      </c>
    </row>
    <row r="267" spans="1:3" x14ac:dyDescent="0.25">
      <c r="A267" s="4" t="s">
        <v>727</v>
      </c>
      <c r="B267" s="18">
        <v>0</v>
      </c>
      <c r="C267" s="1" t="s">
        <v>728</v>
      </c>
    </row>
    <row r="268" spans="1:3" x14ac:dyDescent="0.25">
      <c r="A268" s="4" t="s">
        <v>729</v>
      </c>
      <c r="B268" s="18">
        <v>0</v>
      </c>
      <c r="C268" s="1" t="s">
        <v>46</v>
      </c>
    </row>
    <row r="269" spans="1:3" x14ac:dyDescent="0.25">
      <c r="A269" s="4" t="s">
        <v>730</v>
      </c>
      <c r="B269" s="19">
        <f>B164</f>
        <v>30</v>
      </c>
      <c r="C269" s="1" t="s">
        <v>731</v>
      </c>
    </row>
    <row r="270" spans="1:3" x14ac:dyDescent="0.25">
      <c r="A270" s="4" t="s">
        <v>635</v>
      </c>
      <c r="B270" s="19">
        <f>B145</f>
        <v>21.058401562567102</v>
      </c>
      <c r="C270" s="1" t="s">
        <v>133</v>
      </c>
    </row>
    <row r="271" spans="1:3" x14ac:dyDescent="0.25">
      <c r="A271" s="4" t="s">
        <v>654</v>
      </c>
      <c r="B271" s="19">
        <f>B169</f>
        <v>0</v>
      </c>
      <c r="C271" s="1" t="s">
        <v>133</v>
      </c>
    </row>
    <row r="273" spans="1:3" x14ac:dyDescent="0.25">
      <c r="A273" s="4" t="s">
        <v>55</v>
      </c>
    </row>
    <row r="274" spans="1:3" x14ac:dyDescent="0.25">
      <c r="A274" s="4" t="s">
        <v>732</v>
      </c>
      <c r="B274" s="19">
        <f>B265+B266+B267+B268+B269+B270+B271</f>
        <v>96.458401562567104</v>
      </c>
      <c r="C274" s="1" t="s">
        <v>133</v>
      </c>
    </row>
    <row r="276" spans="1:3" x14ac:dyDescent="0.25">
      <c r="A276" s="3" t="s">
        <v>1213</v>
      </c>
    </row>
    <row r="277" spans="1:3" x14ac:dyDescent="0.25">
      <c r="A277" s="3"/>
    </row>
    <row r="278" spans="1:3" x14ac:dyDescent="0.25">
      <c r="B278" s="1" t="s">
        <v>1214</v>
      </c>
    </row>
    <row r="280" spans="1:3" x14ac:dyDescent="0.25">
      <c r="A280" s="1" t="s">
        <v>23</v>
      </c>
    </row>
    <row r="281" spans="1:3" x14ac:dyDescent="0.25">
      <c r="B281" s="1" t="s">
        <v>735</v>
      </c>
    </row>
    <row r="282" spans="1:3" x14ac:dyDescent="0.25">
      <c r="B282" s="1" t="s">
        <v>736</v>
      </c>
    </row>
    <row r="283" spans="1:3" x14ac:dyDescent="0.25">
      <c r="B283" s="1" t="s">
        <v>737</v>
      </c>
    </row>
    <row r="284" spans="1:3" x14ac:dyDescent="0.25">
      <c r="B284" s="1" t="s">
        <v>738</v>
      </c>
    </row>
    <row r="285" spans="1:3" x14ac:dyDescent="0.25">
      <c r="B285" s="1" t="s">
        <v>739</v>
      </c>
    </row>
    <row r="286" spans="1:3" x14ac:dyDescent="0.25">
      <c r="B286" s="1" t="s">
        <v>740</v>
      </c>
    </row>
    <row r="287" spans="1:3" x14ac:dyDescent="0.25">
      <c r="B287" s="1" t="s">
        <v>1215</v>
      </c>
    </row>
    <row r="288" spans="1:3" x14ac:dyDescent="0.25">
      <c r="A288" s="1" t="s">
        <v>91</v>
      </c>
    </row>
    <row r="289" spans="1:7" x14ac:dyDescent="0.25">
      <c r="A289" s="4" t="s">
        <v>742</v>
      </c>
      <c r="B289" s="18">
        <v>10.7</v>
      </c>
      <c r="C289" s="1" t="s">
        <v>58</v>
      </c>
      <c r="D289" s="43">
        <f>DEGREES(ASIN(B290/B289))</f>
        <v>0</v>
      </c>
      <c r="E289" s="38" t="s">
        <v>172</v>
      </c>
    </row>
    <row r="290" spans="1:7" x14ac:dyDescent="0.25">
      <c r="A290" s="4" t="s">
        <v>743</v>
      </c>
      <c r="B290" s="18">
        <v>0</v>
      </c>
      <c r="C290" s="1" t="s">
        <v>58</v>
      </c>
    </row>
    <row r="291" spans="1:7" x14ac:dyDescent="0.25">
      <c r="A291" s="4" t="s">
        <v>744</v>
      </c>
      <c r="B291" s="19">
        <f>B210</f>
        <v>77.660643632366543</v>
      </c>
      <c r="C291" s="1" t="s">
        <v>203</v>
      </c>
      <c r="D291" s="241" t="s">
        <v>691</v>
      </c>
      <c r="E291" s="241"/>
      <c r="F291" s="19">
        <f>B291+B292</f>
        <v>85.360643632366546</v>
      </c>
      <c r="G291" s="1" t="s">
        <v>203</v>
      </c>
    </row>
    <row r="292" spans="1:7" x14ac:dyDescent="0.25">
      <c r="A292" s="4" t="s">
        <v>715</v>
      </c>
      <c r="B292" s="19">
        <f>B246</f>
        <v>7.7</v>
      </c>
      <c r="C292" s="1" t="s">
        <v>203</v>
      </c>
    </row>
    <row r="293" spans="1:7" x14ac:dyDescent="0.25">
      <c r="A293" s="4" t="s">
        <v>745</v>
      </c>
      <c r="B293" s="19">
        <f>B249</f>
        <v>3.0580452376700098</v>
      </c>
      <c r="C293" s="1" t="s">
        <v>203</v>
      </c>
    </row>
    <row r="294" spans="1:7" x14ac:dyDescent="0.25">
      <c r="A294" s="4" t="s">
        <v>746</v>
      </c>
      <c r="B294" s="18">
        <v>0.02</v>
      </c>
      <c r="C294" s="1" t="s">
        <v>133</v>
      </c>
    </row>
    <row r="295" spans="1:7" x14ac:dyDescent="0.25">
      <c r="A295" s="4" t="s">
        <v>732</v>
      </c>
      <c r="B295" s="19">
        <f>B274</f>
        <v>96.458401562567104</v>
      </c>
      <c r="C295" s="1" t="s">
        <v>133</v>
      </c>
    </row>
    <row r="297" spans="1:7" x14ac:dyDescent="0.25">
      <c r="A297" s="4" t="s">
        <v>55</v>
      </c>
    </row>
    <row r="298" spans="1:7" x14ac:dyDescent="0.25">
      <c r="A298" s="4" t="s">
        <v>747</v>
      </c>
      <c r="B298" s="19">
        <f>B289*(B293+B294*(B291+B292)+0.015*B292)+B290*B291+B295</f>
        <v>148.68251334296264</v>
      </c>
      <c r="C298" s="1" t="s">
        <v>748</v>
      </c>
    </row>
    <row r="300" spans="1:7" x14ac:dyDescent="0.25">
      <c r="A300" s="3" t="s">
        <v>1216</v>
      </c>
    </row>
    <row r="302" spans="1:7" x14ac:dyDescent="0.25">
      <c r="B302" s="1" t="s">
        <v>750</v>
      </c>
    </row>
    <row r="303" spans="1:7" x14ac:dyDescent="0.25">
      <c r="B303" s="42" t="s">
        <v>751</v>
      </c>
    </row>
    <row r="304" spans="1:7" x14ac:dyDescent="0.25">
      <c r="A304" s="42" t="s">
        <v>91</v>
      </c>
    </row>
    <row r="305" spans="1:9" x14ac:dyDescent="0.25">
      <c r="A305" s="4" t="s">
        <v>326</v>
      </c>
      <c r="B305" s="18">
        <v>0.95</v>
      </c>
      <c r="C305" s="1" t="s">
        <v>212</v>
      </c>
    </row>
    <row r="306" spans="1:9" x14ac:dyDescent="0.25">
      <c r="A306" s="4" t="s">
        <v>141</v>
      </c>
      <c r="B306" s="19">
        <f>B298</f>
        <v>148.68251334296264</v>
      </c>
      <c r="C306" s="1" t="s">
        <v>133</v>
      </c>
    </row>
    <row r="307" spans="1:9" x14ac:dyDescent="0.25">
      <c r="A307" s="4" t="s">
        <v>26</v>
      </c>
      <c r="B307" s="19">
        <f>B140</f>
        <v>0.52</v>
      </c>
      <c r="C307" s="1" t="s">
        <v>48</v>
      </c>
    </row>
    <row r="308" spans="1:9" x14ac:dyDescent="0.25">
      <c r="A308" s="42"/>
    </row>
    <row r="309" spans="1:9" x14ac:dyDescent="0.25">
      <c r="A309" s="4" t="s">
        <v>116</v>
      </c>
    </row>
    <row r="310" spans="1:9" x14ac:dyDescent="0.25">
      <c r="A310" s="4" t="s">
        <v>752</v>
      </c>
      <c r="B310" s="19">
        <f>B306*B307/(75*B305)</f>
        <v>1.0851215008889905</v>
      </c>
      <c r="C310" s="1" t="s">
        <v>249</v>
      </c>
      <c r="E310" s="1" t="s">
        <v>753</v>
      </c>
      <c r="G310" s="4" t="s">
        <v>754</v>
      </c>
      <c r="H310" s="19">
        <f>(9.8*B298*B472)/C478</f>
        <v>8.2692372214809602</v>
      </c>
      <c r="I310" s="1" t="s">
        <v>755</v>
      </c>
    </row>
    <row r="311" spans="1:9" x14ac:dyDescent="0.25">
      <c r="A311" s="4" t="s">
        <v>756</v>
      </c>
      <c r="B311" s="18">
        <v>3</v>
      </c>
      <c r="C311" s="1" t="s">
        <v>330</v>
      </c>
    </row>
    <row r="312" spans="1:9" x14ac:dyDescent="0.25">
      <c r="A312" s="4" t="s">
        <v>331</v>
      </c>
      <c r="B312" s="19">
        <f>B311/B310</f>
        <v>2.7646673644769151</v>
      </c>
      <c r="C312" s="1" t="s">
        <v>332</v>
      </c>
    </row>
    <row r="313" spans="1:9" x14ac:dyDescent="0.25">
      <c r="A313" s="4" t="s">
        <v>757</v>
      </c>
      <c r="B313" s="17">
        <f>B311*0.75</f>
        <v>2.25</v>
      </c>
      <c r="C313" s="1" t="s">
        <v>333</v>
      </c>
    </row>
    <row r="314" spans="1:9" x14ac:dyDescent="0.25">
      <c r="A314" s="42"/>
    </row>
    <row r="315" spans="1:9" x14ac:dyDescent="0.25">
      <c r="A315" s="3" t="s">
        <v>1217</v>
      </c>
    </row>
    <row r="316" spans="1:9" x14ac:dyDescent="0.25">
      <c r="A316" s="3"/>
    </row>
    <row r="317" spans="1:9" x14ac:dyDescent="0.25">
      <c r="A317" s="3" t="s">
        <v>1218</v>
      </c>
    </row>
    <row r="319" spans="1:9" x14ac:dyDescent="0.25">
      <c r="B319" s="1" t="s">
        <v>760</v>
      </c>
    </row>
    <row r="320" spans="1:9" x14ac:dyDescent="0.25">
      <c r="B320" s="1" t="s">
        <v>761</v>
      </c>
    </row>
    <row r="321" spans="1:3" x14ac:dyDescent="0.25">
      <c r="B321" s="1" t="s">
        <v>762</v>
      </c>
    </row>
    <row r="323" spans="1:3" x14ac:dyDescent="0.25">
      <c r="A323" s="1" t="s">
        <v>763</v>
      </c>
    </row>
    <row r="325" spans="1:3" x14ac:dyDescent="0.25">
      <c r="A325" s="1" t="s">
        <v>764</v>
      </c>
    </row>
    <row r="326" spans="1:3" x14ac:dyDescent="0.25">
      <c r="A326" s="4" t="s">
        <v>744</v>
      </c>
      <c r="B326" s="19">
        <f>B210</f>
        <v>77.660643632366543</v>
      </c>
      <c r="C326" s="1" t="s">
        <v>203</v>
      </c>
    </row>
    <row r="327" spans="1:3" x14ac:dyDescent="0.25">
      <c r="A327" s="4" t="s">
        <v>715</v>
      </c>
      <c r="B327" s="19">
        <f>B246</f>
        <v>7.7</v>
      </c>
      <c r="C327" s="1" t="s">
        <v>203</v>
      </c>
    </row>
    <row r="328" spans="1:3" x14ac:dyDescent="0.25">
      <c r="A328" s="4" t="s">
        <v>714</v>
      </c>
      <c r="B328" s="19">
        <f>B245</f>
        <v>0.35</v>
      </c>
      <c r="C328" s="1" t="s">
        <v>58</v>
      </c>
    </row>
    <row r="330" spans="1:3" x14ac:dyDescent="0.25">
      <c r="A330" s="4" t="s">
        <v>116</v>
      </c>
    </row>
    <row r="331" spans="1:3" x14ac:dyDescent="0.25">
      <c r="A331" s="4" t="s">
        <v>765</v>
      </c>
      <c r="B331" s="19">
        <f>6.25*(B326+B327)*B328</f>
        <v>186.72640794580184</v>
      </c>
      <c r="C331" s="1" t="s">
        <v>133</v>
      </c>
    </row>
    <row r="333" spans="1:3" x14ac:dyDescent="0.25">
      <c r="A333" s="3" t="s">
        <v>1219</v>
      </c>
    </row>
    <row r="335" spans="1:3" x14ac:dyDescent="0.25">
      <c r="B335" s="1" t="s">
        <v>767</v>
      </c>
    </row>
    <row r="337" spans="1:3" x14ac:dyDescent="0.25">
      <c r="B337" s="1" t="s">
        <v>768</v>
      </c>
    </row>
    <row r="339" spans="1:3" x14ac:dyDescent="0.25">
      <c r="A339" s="4" t="s">
        <v>207</v>
      </c>
    </row>
    <row r="340" spans="1:3" x14ac:dyDescent="0.25">
      <c r="A340" s="4" t="s">
        <v>276</v>
      </c>
      <c r="B340" s="19">
        <f>B289</f>
        <v>10.7</v>
      </c>
      <c r="C340" s="1" t="s">
        <v>58</v>
      </c>
    </row>
    <row r="341" spans="1:3" x14ac:dyDescent="0.25">
      <c r="A341" s="4" t="s">
        <v>715</v>
      </c>
      <c r="B341" s="19">
        <f>B246</f>
        <v>7.7</v>
      </c>
      <c r="C341" s="1" t="s">
        <v>203</v>
      </c>
    </row>
    <row r="343" spans="1:3" x14ac:dyDescent="0.25">
      <c r="A343" s="4" t="s">
        <v>55</v>
      </c>
    </row>
    <row r="344" spans="1:3" x14ac:dyDescent="0.25">
      <c r="A344" s="4" t="s">
        <v>769</v>
      </c>
      <c r="B344" s="19">
        <f>0.015*B340*B341</f>
        <v>1.2358499999999999</v>
      </c>
      <c r="C344" s="1" t="s">
        <v>133</v>
      </c>
    </row>
    <row r="346" spans="1:3" x14ac:dyDescent="0.25">
      <c r="A346" s="3" t="s">
        <v>1220</v>
      </c>
    </row>
    <row r="348" spans="1:3" x14ac:dyDescent="0.25">
      <c r="B348" s="1" t="s">
        <v>162</v>
      </c>
    </row>
    <row r="349" spans="1:3" x14ac:dyDescent="0.25">
      <c r="B349" s="51" t="s">
        <v>163</v>
      </c>
    </row>
    <row r="350" spans="1:3" x14ac:dyDescent="0.25">
      <c r="B350" s="1" t="s">
        <v>164</v>
      </c>
    </row>
    <row r="352" spans="1:3" x14ac:dyDescent="0.25">
      <c r="B352" s="1" t="s">
        <v>165</v>
      </c>
    </row>
    <row r="353" spans="1:3" x14ac:dyDescent="0.25">
      <c r="B353" s="1" t="s">
        <v>166</v>
      </c>
    </row>
    <row r="354" spans="1:3" x14ac:dyDescent="0.25">
      <c r="B354" s="1" t="s">
        <v>167</v>
      </c>
    </row>
    <row r="356" spans="1:3" x14ac:dyDescent="0.25">
      <c r="B356" s="1" t="s">
        <v>168</v>
      </c>
    </row>
    <row r="357" spans="1:3" x14ac:dyDescent="0.25">
      <c r="B357" s="1" t="s">
        <v>169</v>
      </c>
    </row>
    <row r="358" spans="1:3" x14ac:dyDescent="0.25">
      <c r="A358" s="1" t="s">
        <v>43</v>
      </c>
    </row>
    <row r="359" spans="1:3" x14ac:dyDescent="0.25">
      <c r="A359" s="4" t="s">
        <v>170</v>
      </c>
      <c r="B359" s="18">
        <v>0.35</v>
      </c>
      <c r="C359" s="1" t="s">
        <v>46</v>
      </c>
    </row>
    <row r="360" spans="1:3" x14ac:dyDescent="0.25">
      <c r="A360" s="4" t="s">
        <v>171</v>
      </c>
      <c r="B360" s="18">
        <v>180</v>
      </c>
      <c r="C360" s="1" t="s">
        <v>172</v>
      </c>
    </row>
    <row r="362" spans="1:3" x14ac:dyDescent="0.25">
      <c r="A362" s="4" t="s">
        <v>116</v>
      </c>
    </row>
    <row r="363" spans="1:3" x14ac:dyDescent="0.25">
      <c r="A363" s="4" t="s">
        <v>173</v>
      </c>
      <c r="B363" s="19">
        <f>1/(POWER(2.71828,(0.0174*B359*B360)))</f>
        <v>0.33413864657348746</v>
      </c>
    </row>
    <row r="365" spans="1:3" x14ac:dyDescent="0.25">
      <c r="A365" s="3" t="s">
        <v>1221</v>
      </c>
    </row>
    <row r="367" spans="1:3" x14ac:dyDescent="0.25">
      <c r="A367" s="1" t="s">
        <v>772</v>
      </c>
    </row>
    <row r="369" spans="2:2" x14ac:dyDescent="0.25">
      <c r="B369" s="1" t="s">
        <v>773</v>
      </c>
    </row>
    <row r="370" spans="2:2" x14ac:dyDescent="0.25">
      <c r="B370" s="1" t="s">
        <v>774</v>
      </c>
    </row>
    <row r="372" spans="2:2" x14ac:dyDescent="0.25">
      <c r="B372" s="1" t="s">
        <v>775</v>
      </c>
    </row>
    <row r="373" spans="2:2" x14ac:dyDescent="0.25">
      <c r="B373" s="1" t="s">
        <v>776</v>
      </c>
    </row>
    <row r="375" spans="2:2" x14ac:dyDescent="0.25">
      <c r="B375" s="1" t="s">
        <v>777</v>
      </c>
    </row>
    <row r="376" spans="2:2" x14ac:dyDescent="0.25">
      <c r="B376" s="1" t="s">
        <v>778</v>
      </c>
    </row>
    <row r="378" spans="2:2" x14ac:dyDescent="0.25">
      <c r="B378" s="1" t="s">
        <v>779</v>
      </c>
    </row>
    <row r="380" spans="2:2" x14ac:dyDescent="0.25">
      <c r="B380" s="1" t="s">
        <v>780</v>
      </c>
    </row>
    <row r="381" spans="2:2" x14ac:dyDescent="0.25">
      <c r="B381" s="1" t="s">
        <v>781</v>
      </c>
    </row>
    <row r="382" spans="2:2" x14ac:dyDescent="0.25">
      <c r="B382" s="1" t="s">
        <v>782</v>
      </c>
    </row>
    <row r="383" spans="2:2" x14ac:dyDescent="0.25">
      <c r="B383" s="1" t="s">
        <v>783</v>
      </c>
    </row>
    <row r="384" spans="2:2" x14ac:dyDescent="0.25">
      <c r="B384" s="1" t="s">
        <v>784</v>
      </c>
    </row>
    <row r="386" spans="1:5" x14ac:dyDescent="0.25">
      <c r="A386" s="1" t="s">
        <v>91</v>
      </c>
    </row>
    <row r="387" spans="1:5" x14ac:dyDescent="0.25">
      <c r="A387" s="4" t="s">
        <v>173</v>
      </c>
      <c r="B387" s="19">
        <f>B363</f>
        <v>0.33413864657348746</v>
      </c>
      <c r="C387" s="1" t="s">
        <v>46</v>
      </c>
    </row>
    <row r="388" spans="1:5" x14ac:dyDescent="0.25">
      <c r="A388" s="4" t="s">
        <v>141</v>
      </c>
      <c r="B388" s="19">
        <f>B298</f>
        <v>148.68251334296264</v>
      </c>
      <c r="C388" s="1" t="s">
        <v>133</v>
      </c>
    </row>
    <row r="389" spans="1:5" x14ac:dyDescent="0.25">
      <c r="A389" s="4" t="s">
        <v>785</v>
      </c>
      <c r="B389" s="19">
        <f>B331</f>
        <v>186.72640794580184</v>
      </c>
      <c r="C389" s="1" t="s">
        <v>133</v>
      </c>
    </row>
    <row r="390" spans="1:5" x14ac:dyDescent="0.25">
      <c r="A390" s="4" t="s">
        <v>111</v>
      </c>
      <c r="B390" s="19">
        <f>B290</f>
        <v>0</v>
      </c>
      <c r="C390" s="1" t="s">
        <v>58</v>
      </c>
    </row>
    <row r="391" spans="1:5" x14ac:dyDescent="0.25">
      <c r="A391" s="4" t="s">
        <v>715</v>
      </c>
      <c r="B391" s="19">
        <f>B246</f>
        <v>7.7</v>
      </c>
      <c r="C391" s="1" t="s">
        <v>203</v>
      </c>
    </row>
    <row r="392" spans="1:5" x14ac:dyDescent="0.25">
      <c r="A392" s="4" t="s">
        <v>769</v>
      </c>
      <c r="B392" s="19">
        <f>B344</f>
        <v>1.2358499999999999</v>
      </c>
      <c r="C392" s="1" t="s">
        <v>133</v>
      </c>
    </row>
    <row r="394" spans="1:5" x14ac:dyDescent="0.25">
      <c r="A394" s="4" t="s">
        <v>176</v>
      </c>
    </row>
    <row r="395" spans="1:5" x14ac:dyDescent="0.25">
      <c r="A395" s="4" t="s">
        <v>197</v>
      </c>
      <c r="B395" s="19">
        <f>(1+B387)*B388</f>
        <v>198.36308712052465</v>
      </c>
      <c r="C395" s="1" t="s">
        <v>133</v>
      </c>
    </row>
    <row r="396" spans="1:5" x14ac:dyDescent="0.25">
      <c r="A396" s="4" t="s">
        <v>197</v>
      </c>
      <c r="B396" s="126">
        <f>B388+B389+B390*B391-B392</f>
        <v>334.17307128876445</v>
      </c>
      <c r="C396" s="1" t="s">
        <v>791</v>
      </c>
      <c r="E396" s="1" t="s">
        <v>133</v>
      </c>
    </row>
    <row r="397" spans="1:5" x14ac:dyDescent="0.25">
      <c r="A397" s="4"/>
    </row>
    <row r="398" spans="1:5" x14ac:dyDescent="0.25">
      <c r="A398" s="4" t="s">
        <v>176</v>
      </c>
    </row>
    <row r="399" spans="1:5" x14ac:dyDescent="0.25">
      <c r="A399" s="4" t="s">
        <v>792</v>
      </c>
      <c r="B399" s="19">
        <f>B387*B388</f>
        <v>49.680573777562024</v>
      </c>
      <c r="C399" s="1" t="s">
        <v>133</v>
      </c>
    </row>
    <row r="400" spans="1:5" x14ac:dyDescent="0.25">
      <c r="A400" s="4" t="s">
        <v>792</v>
      </c>
      <c r="B400" s="19">
        <f>B389+B392-B390*B391</f>
        <v>187.96225794580184</v>
      </c>
      <c r="C400" s="1" t="s">
        <v>133</v>
      </c>
    </row>
    <row r="402" spans="1:4" x14ac:dyDescent="0.25">
      <c r="A402" s="4" t="s">
        <v>176</v>
      </c>
    </row>
    <row r="403" spans="1:4" x14ac:dyDescent="0.25">
      <c r="A403" s="4" t="s">
        <v>793</v>
      </c>
      <c r="B403" s="19">
        <f>B387*B388+B392-B390*B391</f>
        <v>50.916423777562024</v>
      </c>
      <c r="C403" s="1" t="s">
        <v>133</v>
      </c>
    </row>
    <row r="404" spans="1:4" x14ac:dyDescent="0.25">
      <c r="A404" s="4" t="s">
        <v>793</v>
      </c>
      <c r="B404" s="19">
        <f>B387*B388+B392-B390*B391</f>
        <v>50.916423777562024</v>
      </c>
      <c r="C404" s="1" t="s">
        <v>133</v>
      </c>
    </row>
    <row r="405" spans="1:4" x14ac:dyDescent="0.25">
      <c r="A405" s="4"/>
      <c r="B405"/>
    </row>
    <row r="406" spans="1:4" x14ac:dyDescent="0.25">
      <c r="A406" s="4" t="s">
        <v>176</v>
      </c>
      <c r="B406"/>
    </row>
    <row r="407" spans="1:4" x14ac:dyDescent="0.25">
      <c r="A407" s="4" t="s">
        <v>177</v>
      </c>
      <c r="B407" s="19">
        <f>2*B387*B388</f>
        <v>99.361147555124049</v>
      </c>
      <c r="C407" s="1" t="s">
        <v>133</v>
      </c>
      <c r="D407" s="1" t="s">
        <v>804</v>
      </c>
    </row>
    <row r="408" spans="1:4" x14ac:dyDescent="0.25">
      <c r="A408" s="4"/>
      <c r="B408"/>
    </row>
    <row r="409" spans="1:4" x14ac:dyDescent="0.25">
      <c r="A409" s="4" t="s">
        <v>178</v>
      </c>
      <c r="B409" s="44">
        <f>B289*1.5%</f>
        <v>0.16049999999999998</v>
      </c>
      <c r="C409" s="1" t="s">
        <v>58</v>
      </c>
    </row>
    <row r="410" spans="1:4" x14ac:dyDescent="0.25">
      <c r="A410" s="4"/>
      <c r="B410"/>
    </row>
    <row r="412" spans="1:4" x14ac:dyDescent="0.25">
      <c r="A412" s="3" t="s">
        <v>806</v>
      </c>
    </row>
    <row r="413" spans="1:4" x14ac:dyDescent="0.25">
      <c r="A413" s="3"/>
    </row>
    <row r="414" spans="1:4" x14ac:dyDescent="0.25">
      <c r="A414" s="3" t="s">
        <v>807</v>
      </c>
    </row>
    <row r="415" spans="1:4" x14ac:dyDescent="0.25">
      <c r="A415" s="3"/>
    </row>
    <row r="416" spans="1:4" x14ac:dyDescent="0.25">
      <c r="A416" s="3"/>
      <c r="B416" s="1" t="s">
        <v>808</v>
      </c>
    </row>
    <row r="417" spans="1:3" x14ac:dyDescent="0.25">
      <c r="A417" s="3"/>
      <c r="B417" s="42" t="s">
        <v>183</v>
      </c>
    </row>
    <row r="418" spans="1:3" x14ac:dyDescent="0.25">
      <c r="A418" s="3"/>
      <c r="B418" s="42"/>
    </row>
    <row r="419" spans="1:3" x14ac:dyDescent="0.25">
      <c r="A419" s="3"/>
      <c r="B419" s="1" t="s">
        <v>809</v>
      </c>
    </row>
    <row r="420" spans="1:3" x14ac:dyDescent="0.25">
      <c r="A420" s="3"/>
      <c r="B420" s="1" t="s">
        <v>184</v>
      </c>
    </row>
    <row r="421" spans="1:3" x14ac:dyDescent="0.25">
      <c r="A421" s="52" t="s">
        <v>185</v>
      </c>
    </row>
    <row r="422" spans="1:3" x14ac:dyDescent="0.25">
      <c r="A422" s="53" t="s">
        <v>186</v>
      </c>
      <c r="B422" s="1" t="s">
        <v>187</v>
      </c>
    </row>
    <row r="423" spans="1:3" x14ac:dyDescent="0.25">
      <c r="A423" s="4" t="s">
        <v>188</v>
      </c>
      <c r="B423" s="1" t="s">
        <v>189</v>
      </c>
    </row>
    <row r="424" spans="1:3" x14ac:dyDescent="0.25">
      <c r="A424" s="4" t="s">
        <v>190</v>
      </c>
      <c r="B424" s="1" t="s">
        <v>191</v>
      </c>
    </row>
    <row r="425" spans="1:3" x14ac:dyDescent="0.25">
      <c r="A425" s="4" t="s">
        <v>197</v>
      </c>
      <c r="B425" s="1" t="s">
        <v>192</v>
      </c>
    </row>
    <row r="426" spans="1:3" x14ac:dyDescent="0.25">
      <c r="A426" s="4" t="s">
        <v>70</v>
      </c>
      <c r="B426" s="1" t="s">
        <v>193</v>
      </c>
    </row>
    <row r="427" spans="1:3" x14ac:dyDescent="0.25">
      <c r="A427" s="4" t="s">
        <v>194</v>
      </c>
      <c r="B427" s="1" t="s">
        <v>195</v>
      </c>
    </row>
    <row r="428" spans="1:3" x14ac:dyDescent="0.25">
      <c r="A428" s="4" t="s">
        <v>810</v>
      </c>
      <c r="B428" s="1" t="s">
        <v>811</v>
      </c>
    </row>
    <row r="429" spans="1:3" x14ac:dyDescent="0.25">
      <c r="A429" s="52" t="s">
        <v>43</v>
      </c>
    </row>
    <row r="430" spans="1:3" x14ac:dyDescent="0.25">
      <c r="A430" s="4" t="s">
        <v>190</v>
      </c>
      <c r="B430" s="19">
        <f>B99/10</f>
        <v>76.2</v>
      </c>
      <c r="C430" s="1" t="s">
        <v>196</v>
      </c>
    </row>
    <row r="431" spans="1:3" x14ac:dyDescent="0.25">
      <c r="A431" s="4" t="s">
        <v>197</v>
      </c>
      <c r="B431" s="19">
        <f>B396</f>
        <v>334.17307128876445</v>
      </c>
      <c r="C431" s="1" t="s">
        <v>133</v>
      </c>
    </row>
    <row r="432" spans="1:3" x14ac:dyDescent="0.25">
      <c r="A432" s="4" t="s">
        <v>188</v>
      </c>
      <c r="B432" s="19">
        <f>B431/B430</f>
        <v>4.3854733764929712</v>
      </c>
      <c r="C432" s="1" t="s">
        <v>198</v>
      </c>
    </row>
    <row r="433" spans="1:9" x14ac:dyDescent="0.25">
      <c r="A433" s="4" t="s">
        <v>70</v>
      </c>
      <c r="B433" s="18">
        <v>12</v>
      </c>
      <c r="C433" s="1" t="s">
        <v>71</v>
      </c>
      <c r="E433" s="241" t="s">
        <v>1222</v>
      </c>
      <c r="F433" s="241"/>
      <c r="G433" s="241"/>
    </row>
    <row r="434" spans="1:9" x14ac:dyDescent="0.25">
      <c r="A434" s="4"/>
    </row>
    <row r="435" spans="1:9" x14ac:dyDescent="0.25">
      <c r="A435" s="52" t="s">
        <v>55</v>
      </c>
    </row>
    <row r="436" spans="1:9" x14ac:dyDescent="0.25">
      <c r="A436" s="4" t="s">
        <v>186</v>
      </c>
      <c r="B436" s="19">
        <f>B432/B433</f>
        <v>0.36545611470774758</v>
      </c>
      <c r="C436" s="1" t="s">
        <v>81</v>
      </c>
      <c r="E436" s="1" t="s">
        <v>813</v>
      </c>
      <c r="H436" s="19">
        <f>B289/B121/60</f>
        <v>0.3429487179487179</v>
      </c>
    </row>
    <row r="437" spans="1:9" x14ac:dyDescent="0.25">
      <c r="A437" s="38" t="s">
        <v>199</v>
      </c>
      <c r="E437" s="1" t="s">
        <v>814</v>
      </c>
      <c r="H437" s="18">
        <v>5</v>
      </c>
      <c r="I437" s="1" t="s">
        <v>52</v>
      </c>
    </row>
    <row r="438" spans="1:9" x14ac:dyDescent="0.25">
      <c r="A438" s="4" t="s">
        <v>200</v>
      </c>
      <c r="B438" s="18">
        <v>2</v>
      </c>
      <c r="C438" s="1" t="s">
        <v>81</v>
      </c>
    </row>
    <row r="439" spans="1:9" x14ac:dyDescent="0.25">
      <c r="A439" s="4"/>
    </row>
    <row r="440" spans="1:9" x14ac:dyDescent="0.25">
      <c r="A440" s="4" t="s">
        <v>107</v>
      </c>
      <c r="B440" s="43">
        <f>B289*2+B472*3.1415+1.5</f>
        <v>23.9963835</v>
      </c>
      <c r="C440" s="1" t="s">
        <v>58</v>
      </c>
    </row>
    <row r="441" spans="1:9" x14ac:dyDescent="0.25">
      <c r="A441" s="4"/>
    </row>
    <row r="442" spans="1:9" x14ac:dyDescent="0.25">
      <c r="A442" s="3" t="s">
        <v>815</v>
      </c>
    </row>
    <row r="443" spans="1:9" x14ac:dyDescent="0.25">
      <c r="A443" s="4"/>
    </row>
    <row r="444" spans="1:9" x14ac:dyDescent="0.25">
      <c r="B444" s="1" t="s">
        <v>205</v>
      </c>
    </row>
    <row r="445" spans="1:9" x14ac:dyDescent="0.25">
      <c r="B445" s="1" t="s">
        <v>206</v>
      </c>
    </row>
    <row r="446" spans="1:9" x14ac:dyDescent="0.25">
      <c r="A446" s="1" t="s">
        <v>207</v>
      </c>
    </row>
    <row r="447" spans="1:9" x14ac:dyDescent="0.25">
      <c r="A447" s="4" t="s">
        <v>197</v>
      </c>
      <c r="B447" s="19">
        <f>B431</f>
        <v>334.17307128876445</v>
      </c>
      <c r="C447" s="1" t="s">
        <v>133</v>
      </c>
    </row>
    <row r="448" spans="1:9" x14ac:dyDescent="0.25">
      <c r="A448" s="4" t="s">
        <v>190</v>
      </c>
      <c r="B448" s="19">
        <v>120</v>
      </c>
      <c r="C448" s="1" t="s">
        <v>196</v>
      </c>
    </row>
    <row r="449" spans="1:8" x14ac:dyDescent="0.25">
      <c r="A449" s="4" t="s">
        <v>208</v>
      </c>
      <c r="B449" s="19">
        <f>B438</f>
        <v>2</v>
      </c>
      <c r="C449" s="1" t="s">
        <v>46</v>
      </c>
    </row>
    <row r="450" spans="1:8" x14ac:dyDescent="0.25">
      <c r="A450" s="4" t="s">
        <v>209</v>
      </c>
      <c r="B450" s="19">
        <f>B433</f>
        <v>12</v>
      </c>
      <c r="C450" s="1" t="s">
        <v>210</v>
      </c>
      <c r="E450" s="1" t="s">
        <v>1223</v>
      </c>
      <c r="G450" s="19">
        <f>B438*B433*B430*9.8/1000</f>
        <v>17.922240000000002</v>
      </c>
      <c r="H450" s="1" t="s">
        <v>817</v>
      </c>
    </row>
    <row r="452" spans="1:8" x14ac:dyDescent="0.25">
      <c r="A452" s="4" t="s">
        <v>211</v>
      </c>
      <c r="B452" s="19">
        <f>B447*100/(B448*B449*B450)</f>
        <v>11.603231641970989</v>
      </c>
      <c r="C452" s="32" t="s">
        <v>212</v>
      </c>
      <c r="D452" s="1" t="s">
        <v>818</v>
      </c>
      <c r="F452" s="19">
        <f>B438*B433*B430/B447</f>
        <v>5.4726133166478395</v>
      </c>
    </row>
    <row r="453" spans="1:8" x14ac:dyDescent="0.25">
      <c r="A453" s="3"/>
    </row>
    <row r="454" spans="1:8" x14ac:dyDescent="0.25">
      <c r="A454" s="3" t="s">
        <v>819</v>
      </c>
    </row>
    <row r="455" spans="1:8" x14ac:dyDescent="0.25">
      <c r="A455" s="3"/>
    </row>
    <row r="456" spans="1:8" x14ac:dyDescent="0.25">
      <c r="A456" s="3" t="s">
        <v>820</v>
      </c>
    </row>
    <row r="457" spans="1:8" x14ac:dyDescent="0.25">
      <c r="A457" s="3"/>
    </row>
    <row r="458" spans="1:8" x14ac:dyDescent="0.25">
      <c r="B458" s="52" t="s">
        <v>335</v>
      </c>
    </row>
    <row r="459" spans="1:8" x14ac:dyDescent="0.25">
      <c r="B459" s="52" t="s">
        <v>336</v>
      </c>
    </row>
    <row r="460" spans="1:8" x14ac:dyDescent="0.25">
      <c r="A460" s="52"/>
    </row>
    <row r="461" spans="1:8" x14ac:dyDescent="0.25">
      <c r="B461" s="52" t="s">
        <v>337</v>
      </c>
    </row>
    <row r="462" spans="1:8" x14ac:dyDescent="0.25">
      <c r="B462" s="52" t="s">
        <v>338</v>
      </c>
    </row>
    <row r="463" spans="1:8" x14ac:dyDescent="0.25">
      <c r="A463" s="52" t="s">
        <v>23</v>
      </c>
    </row>
    <row r="464" spans="1:8" x14ac:dyDescent="0.25">
      <c r="B464" s="1" t="s">
        <v>339</v>
      </c>
    </row>
    <row r="465" spans="1:18" x14ac:dyDescent="0.25">
      <c r="B465" s="1" t="s">
        <v>340</v>
      </c>
      <c r="C465" s="130"/>
    </row>
    <row r="466" spans="1:18" x14ac:dyDescent="0.25">
      <c r="B466" s="1" t="s">
        <v>341</v>
      </c>
    </row>
    <row r="467" spans="1:18" x14ac:dyDescent="0.25">
      <c r="B467" s="1" t="s">
        <v>342</v>
      </c>
      <c r="C467" s="130"/>
    </row>
    <row r="468" spans="1:18" x14ac:dyDescent="0.25">
      <c r="B468" s="1" t="s">
        <v>343</v>
      </c>
      <c r="C468" s="130"/>
    </row>
    <row r="469" spans="1:18" x14ac:dyDescent="0.25">
      <c r="B469" s="130"/>
    </row>
    <row r="470" spans="1:18" x14ac:dyDescent="0.25">
      <c r="A470" s="1" t="s">
        <v>344</v>
      </c>
      <c r="B470" s="130"/>
      <c r="D470" s="38"/>
    </row>
    <row r="471" spans="1:18" x14ac:dyDescent="0.25">
      <c r="A471" s="4" t="s">
        <v>345</v>
      </c>
      <c r="B471" s="44">
        <f>(POWER(((6.56-((100-B452)/40))*(2*POWER(B438,1/2)+0.0122*B433)),2))*1.05/1000</f>
        <v>0.17583584400753791</v>
      </c>
      <c r="C471" s="1" t="s">
        <v>58</v>
      </c>
      <c r="D471" s="38"/>
    </row>
    <row r="472" spans="1:18" x14ac:dyDescent="0.25">
      <c r="A472" s="4" t="s">
        <v>114</v>
      </c>
      <c r="B472" s="131">
        <f>0.323+0.026</f>
        <v>0.34900000000000003</v>
      </c>
      <c r="C472" s="1" t="s">
        <v>58</v>
      </c>
      <c r="D472" s="1">
        <f>B472/B471</f>
        <v>1.984805782744949</v>
      </c>
      <c r="F472" s="1" t="s">
        <v>821</v>
      </c>
      <c r="H472" s="18">
        <v>5</v>
      </c>
    </row>
    <row r="473" spans="1:18" x14ac:dyDescent="0.25">
      <c r="A473" s="4" t="s">
        <v>26</v>
      </c>
      <c r="B473" s="17">
        <f>B121</f>
        <v>0.52</v>
      </c>
      <c r="C473" s="38" t="s">
        <v>48</v>
      </c>
      <c r="F473" s="1" t="s">
        <v>822</v>
      </c>
      <c r="H473" s="18">
        <v>5</v>
      </c>
    </row>
    <row r="474" spans="1:18" x14ac:dyDescent="0.25">
      <c r="A474" s="4" t="s">
        <v>346</v>
      </c>
      <c r="B474" s="18">
        <v>1750</v>
      </c>
      <c r="C474" s="38" t="s">
        <v>347</v>
      </c>
    </row>
    <row r="475" spans="1:18" x14ac:dyDescent="0.25">
      <c r="A475" s="4" t="s">
        <v>348</v>
      </c>
      <c r="B475" s="65">
        <f>B473*60/B472/3.1415</f>
        <v>28.457195862579105</v>
      </c>
      <c r="C475" s="38" t="s">
        <v>347</v>
      </c>
    </row>
    <row r="476" spans="1:18" x14ac:dyDescent="0.25">
      <c r="B476" s="130"/>
      <c r="D476" s="38"/>
    </row>
    <row r="477" spans="1:18" x14ac:dyDescent="0.25">
      <c r="A477" s="1" t="s">
        <v>349</v>
      </c>
    </row>
    <row r="478" spans="1:18" x14ac:dyDescent="0.25">
      <c r="A478" s="1" t="s">
        <v>350</v>
      </c>
      <c r="B478" s="66">
        <v>1</v>
      </c>
      <c r="C478" s="65">
        <f>B474/B475</f>
        <v>61.495869391025643</v>
      </c>
      <c r="F478" s="1" t="s">
        <v>824</v>
      </c>
      <c r="I478" s="252" t="s">
        <v>1389</v>
      </c>
      <c r="J478" s="253"/>
      <c r="K478" s="253"/>
      <c r="L478" s="253"/>
      <c r="M478" s="253"/>
      <c r="N478" s="253"/>
      <c r="O478" s="254"/>
    </row>
    <row r="480" spans="1:18" x14ac:dyDescent="0.25">
      <c r="A480" s="3" t="s">
        <v>825</v>
      </c>
      <c r="I480" s="255" t="s">
        <v>1390</v>
      </c>
      <c r="J480" s="256"/>
      <c r="K480" s="256"/>
      <c r="L480" s="256"/>
      <c r="M480" s="256"/>
      <c r="N480" s="256"/>
      <c r="O480" s="256"/>
      <c r="P480" s="256"/>
      <c r="Q480" s="256"/>
      <c r="R480" s="257"/>
    </row>
    <row r="482" spans="1:2" x14ac:dyDescent="0.25">
      <c r="A482" s="1" t="s">
        <v>826</v>
      </c>
    </row>
    <row r="484" spans="1:2" x14ac:dyDescent="0.25">
      <c r="B484" s="1" t="s">
        <v>827</v>
      </c>
    </row>
    <row r="486" spans="1:2" ht="15" x14ac:dyDescent="0.25">
      <c r="B486" s="1" t="s">
        <v>216</v>
      </c>
    </row>
    <row r="487" spans="1:2" x14ac:dyDescent="0.25">
      <c r="B487" s="4">
        <v>2</v>
      </c>
    </row>
    <row r="489" spans="1:2" ht="15" x14ac:dyDescent="0.25">
      <c r="B489" s="1" t="s">
        <v>217</v>
      </c>
    </row>
    <row r="490" spans="1:2" x14ac:dyDescent="0.25">
      <c r="B490" s="1" t="s">
        <v>218</v>
      </c>
    </row>
    <row r="492" spans="1:2" ht="17.399999999999999" x14ac:dyDescent="0.25">
      <c r="B492" s="1" t="s">
        <v>219</v>
      </c>
    </row>
    <row r="495" spans="1:2" ht="15" x14ac:dyDescent="0.25">
      <c r="B495" s="1" t="s">
        <v>220</v>
      </c>
    </row>
    <row r="496" spans="1:2" x14ac:dyDescent="0.25">
      <c r="B496" s="1" t="s">
        <v>221</v>
      </c>
    </row>
    <row r="499" spans="1:2" x14ac:dyDescent="0.25">
      <c r="B499" s="1" t="s">
        <v>828</v>
      </c>
    </row>
    <row r="501" spans="1:2" x14ac:dyDescent="0.25">
      <c r="B501" s="1" t="s">
        <v>829</v>
      </c>
    </row>
    <row r="503" spans="1:2" ht="15" x14ac:dyDescent="0.25">
      <c r="B503" s="1" t="s">
        <v>224</v>
      </c>
    </row>
    <row r="504" spans="1:2" x14ac:dyDescent="0.25">
      <c r="B504" s="4">
        <v>2</v>
      </c>
    </row>
    <row r="506" spans="1:2" ht="15" x14ac:dyDescent="0.25">
      <c r="B506" s="1" t="s">
        <v>225</v>
      </c>
    </row>
    <row r="507" spans="1:2" x14ac:dyDescent="0.25">
      <c r="B507" s="1" t="s">
        <v>221</v>
      </c>
    </row>
    <row r="509" spans="1:2" x14ac:dyDescent="0.25">
      <c r="A509" s="1" t="s">
        <v>23</v>
      </c>
    </row>
    <row r="510" spans="1:2" x14ac:dyDescent="0.25">
      <c r="B510" s="38" t="s">
        <v>830</v>
      </c>
    </row>
    <row r="511" spans="1:2" x14ac:dyDescent="0.25">
      <c r="B511" s="1" t="s">
        <v>226</v>
      </c>
    </row>
    <row r="512" spans="1:2" x14ac:dyDescent="0.25">
      <c r="B512" s="1" t="s">
        <v>227</v>
      </c>
    </row>
    <row r="513" spans="1:16" x14ac:dyDescent="0.25">
      <c r="B513" s="1" t="s">
        <v>831</v>
      </c>
    </row>
    <row r="514" spans="1:16" x14ac:dyDescent="0.25">
      <c r="B514" s="1" t="s">
        <v>229</v>
      </c>
    </row>
    <row r="515" spans="1:16" ht="15.6" x14ac:dyDescent="0.25">
      <c r="B515" s="52" t="s">
        <v>832</v>
      </c>
    </row>
    <row r="516" spans="1:16" x14ac:dyDescent="0.25">
      <c r="B516" s="1" t="s">
        <v>231</v>
      </c>
    </row>
    <row r="517" spans="1:16" x14ac:dyDescent="0.25">
      <c r="B517" s="1" t="s">
        <v>232</v>
      </c>
    </row>
    <row r="518" spans="1:16" x14ac:dyDescent="0.25">
      <c r="B518" s="1" t="s">
        <v>233</v>
      </c>
    </row>
    <row r="519" spans="1:16" x14ac:dyDescent="0.25">
      <c r="B519" s="1" t="s">
        <v>234</v>
      </c>
    </row>
    <row r="520" spans="1:16" x14ac:dyDescent="0.25">
      <c r="B520" s="1" t="s">
        <v>235</v>
      </c>
    </row>
    <row r="521" spans="1:16" x14ac:dyDescent="0.25">
      <c r="B521" s="1" t="s">
        <v>236</v>
      </c>
    </row>
    <row r="522" spans="1:16" x14ac:dyDescent="0.25">
      <c r="B522" s="1" t="s">
        <v>833</v>
      </c>
    </row>
    <row r="523" spans="1:16" x14ac:dyDescent="0.25">
      <c r="B523" s="1" t="s">
        <v>834</v>
      </c>
    </row>
    <row r="524" spans="1:16" x14ac:dyDescent="0.25">
      <c r="B524" s="1" t="s">
        <v>239</v>
      </c>
    </row>
    <row r="526" spans="1:16" x14ac:dyDescent="0.25">
      <c r="A526" s="3" t="s">
        <v>835</v>
      </c>
    </row>
    <row r="527" spans="1:16" ht="15.6" x14ac:dyDescent="0.3">
      <c r="A527" s="1" t="s">
        <v>243</v>
      </c>
    </row>
    <row r="528" spans="1:16" ht="13.8" x14ac:dyDescent="0.25">
      <c r="K528" s="9" t="s">
        <v>241</v>
      </c>
      <c r="L528" s="9"/>
      <c r="N528" s="58" t="s">
        <v>285</v>
      </c>
      <c r="P528" s="58" t="s">
        <v>286</v>
      </c>
    </row>
    <row r="529" spans="1:19" x14ac:dyDescent="0.25">
      <c r="A529" s="4" t="s">
        <v>276</v>
      </c>
      <c r="B529" s="19">
        <f>IF(B98=24,105,IF(B98=54,195,IF(B98=30,112,IF(B98=36,137,IF(B98=42,157,IF(B98=48,178,0))))))</f>
        <v>112</v>
      </c>
      <c r="C529" s="1" t="s">
        <v>196</v>
      </c>
      <c r="K529" s="9" t="s">
        <v>244</v>
      </c>
      <c r="L529" s="9" t="s">
        <v>245</v>
      </c>
    </row>
    <row r="530" spans="1:19" x14ac:dyDescent="0.25">
      <c r="A530" s="4" t="s">
        <v>246</v>
      </c>
      <c r="B530" s="18">
        <v>120</v>
      </c>
      <c r="C530" s="1" t="s">
        <v>133</v>
      </c>
      <c r="K530" s="9">
        <v>20</v>
      </c>
      <c r="L530" s="9">
        <v>67</v>
      </c>
    </row>
    <row r="531" spans="1:19" ht="15" x14ac:dyDescent="0.25">
      <c r="A531" s="4" t="s">
        <v>247</v>
      </c>
      <c r="B531" s="19">
        <f>(B529-(25.4*B164+105)/10)/2</f>
        <v>12.649999999999999</v>
      </c>
      <c r="C531" s="1" t="s">
        <v>196</v>
      </c>
      <c r="K531" s="9">
        <v>25</v>
      </c>
      <c r="L531" s="9">
        <v>77</v>
      </c>
      <c r="P531" s="1" t="s">
        <v>288</v>
      </c>
    </row>
    <row r="532" spans="1:19" x14ac:dyDescent="0.25">
      <c r="A532" s="4" t="s">
        <v>248</v>
      </c>
      <c r="B532" s="19">
        <f>POWER(((B396+B400)*(B396+B400)+(B530)*(B530)),1/2)</f>
        <v>535.74742373145284</v>
      </c>
      <c r="C532" s="1" t="s">
        <v>68</v>
      </c>
      <c r="K532" s="9">
        <v>30</v>
      </c>
      <c r="L532" s="9">
        <v>82</v>
      </c>
      <c r="P532" s="1" t="s">
        <v>289</v>
      </c>
    </row>
    <row r="533" spans="1:19" x14ac:dyDescent="0.25">
      <c r="A533" s="4" t="s">
        <v>147</v>
      </c>
      <c r="B533" s="19">
        <f>B310</f>
        <v>1.0851215008889905</v>
      </c>
      <c r="C533" s="1" t="s">
        <v>249</v>
      </c>
      <c r="K533" s="9">
        <v>35</v>
      </c>
      <c r="L533" s="9">
        <v>85</v>
      </c>
    </row>
    <row r="534" spans="1:19" x14ac:dyDescent="0.25">
      <c r="A534" s="4" t="s">
        <v>114</v>
      </c>
      <c r="B534" s="17">
        <f>B472*100</f>
        <v>34.900000000000006</v>
      </c>
      <c r="C534" s="1" t="s">
        <v>196</v>
      </c>
      <c r="K534" s="9">
        <v>40</v>
      </c>
      <c r="L534" s="9">
        <v>85</v>
      </c>
      <c r="O534" s="4" t="s">
        <v>290</v>
      </c>
      <c r="P534" s="1" t="s">
        <v>291</v>
      </c>
    </row>
    <row r="535" spans="1:19" x14ac:dyDescent="0.25">
      <c r="A535" s="4" t="s">
        <v>30</v>
      </c>
      <c r="B535" s="17">
        <f>B121</f>
        <v>0.52</v>
      </c>
      <c r="C535" s="1" t="s">
        <v>48</v>
      </c>
      <c r="K535" s="9">
        <v>45</v>
      </c>
      <c r="L535" s="9">
        <v>90</v>
      </c>
      <c r="O535" s="4" t="s">
        <v>294</v>
      </c>
      <c r="P535" s="1" t="s">
        <v>295</v>
      </c>
    </row>
    <row r="536" spans="1:19" x14ac:dyDescent="0.25">
      <c r="A536" s="4" t="s">
        <v>250</v>
      </c>
      <c r="B536" s="18">
        <v>2</v>
      </c>
      <c r="C536" s="1" t="s">
        <v>46</v>
      </c>
      <c r="K536" s="9">
        <v>50</v>
      </c>
      <c r="L536" s="9">
        <v>95</v>
      </c>
      <c r="O536" s="4" t="s">
        <v>296</v>
      </c>
      <c r="P536" s="1" t="s">
        <v>297</v>
      </c>
    </row>
    <row r="537" spans="1:19" x14ac:dyDescent="0.25">
      <c r="A537" s="4" t="s">
        <v>251</v>
      </c>
      <c r="B537" s="18">
        <v>1.5</v>
      </c>
      <c r="C537" s="1" t="s">
        <v>46</v>
      </c>
      <c r="K537" s="9">
        <v>55</v>
      </c>
      <c r="L537" s="9">
        <v>105</v>
      </c>
      <c r="O537" s="4" t="s">
        <v>298</v>
      </c>
      <c r="P537" s="1" t="s">
        <v>299</v>
      </c>
    </row>
    <row r="538" spans="1:19" x14ac:dyDescent="0.25">
      <c r="A538" s="4" t="s">
        <v>252</v>
      </c>
      <c r="B538" s="19">
        <f>B531*B532/2</f>
        <v>3388.6024551014389</v>
      </c>
      <c r="C538" s="1" t="s">
        <v>253</v>
      </c>
      <c r="K538" s="9">
        <v>60</v>
      </c>
      <c r="L538" s="9">
        <v>110</v>
      </c>
      <c r="O538" s="4" t="s">
        <v>114</v>
      </c>
      <c r="P538" s="1" t="s">
        <v>301</v>
      </c>
    </row>
    <row r="539" spans="1:19" x14ac:dyDescent="0.25">
      <c r="A539" s="4" t="s">
        <v>254</v>
      </c>
      <c r="B539" s="19">
        <f>B533*38*B534/B535</f>
        <v>2767.4771816903449</v>
      </c>
      <c r="C539" s="1" t="s">
        <v>253</v>
      </c>
      <c r="K539" s="9">
        <v>65</v>
      </c>
      <c r="L539" s="9">
        <v>115</v>
      </c>
      <c r="O539" s="4"/>
    </row>
    <row r="540" spans="1:19" x14ac:dyDescent="0.25">
      <c r="A540" s="4" t="s">
        <v>255</v>
      </c>
      <c r="B540" s="19">
        <f>POWER((POWER(B537*B538,2)+POWER(B536*B539,2)),0.5)</f>
        <v>7514.7607847373165</v>
      </c>
      <c r="C540" s="1" t="s">
        <v>253</v>
      </c>
      <c r="K540" s="9">
        <v>70</v>
      </c>
      <c r="L540" s="9">
        <v>120</v>
      </c>
      <c r="O540" s="4" t="s">
        <v>294</v>
      </c>
      <c r="P540" s="43">
        <f>B532/B430</f>
        <v>7.0308060857146035</v>
      </c>
      <c r="Q540" s="1" t="s">
        <v>198</v>
      </c>
      <c r="S540" s="1" t="s">
        <v>302</v>
      </c>
    </row>
    <row r="541" spans="1:19" x14ac:dyDescent="0.25">
      <c r="K541" s="9">
        <v>75</v>
      </c>
      <c r="L541" s="9">
        <v>125</v>
      </c>
      <c r="O541" s="4" t="s">
        <v>296</v>
      </c>
      <c r="P541" s="50">
        <v>2.92E-2</v>
      </c>
      <c r="Q541" s="1" t="s">
        <v>303</v>
      </c>
    </row>
    <row r="542" spans="1:19" x14ac:dyDescent="0.25">
      <c r="A542" s="1" t="s">
        <v>838</v>
      </c>
      <c r="D542" s="1" t="s">
        <v>257</v>
      </c>
      <c r="K542" s="9">
        <v>80</v>
      </c>
      <c r="L542" s="9">
        <v>140</v>
      </c>
      <c r="O542" s="4" t="s">
        <v>298</v>
      </c>
      <c r="P542" s="50">
        <v>560</v>
      </c>
      <c r="Q542" s="38" t="s">
        <v>305</v>
      </c>
    </row>
    <row r="543" spans="1:19" x14ac:dyDescent="0.25">
      <c r="A543" s="4" t="s">
        <v>258</v>
      </c>
      <c r="B543" s="19">
        <f>10*POWER(((16*B540)/(3.1415*560)),1/3)</f>
        <v>40.885566285232848</v>
      </c>
      <c r="C543" s="1" t="s">
        <v>52</v>
      </c>
      <c r="D543" s="4" t="s">
        <v>258</v>
      </c>
      <c r="E543" s="19">
        <f>B593</f>
        <v>67.170774862566105</v>
      </c>
      <c r="F543" s="1" t="s">
        <v>52</v>
      </c>
      <c r="H543" s="4" t="s">
        <v>259</v>
      </c>
      <c r="I543" s="19" cm="1">
        <f t="array" ref="I543">SUMPRODUCT(LARGE((K530:K558&gt;E543)*(K530:K558),COUNTIF(K530:K558,"&gt;"&amp;E543)))-5</f>
        <v>65</v>
      </c>
      <c r="J543" s="1" t="s">
        <v>52</v>
      </c>
      <c r="K543" s="9">
        <v>85</v>
      </c>
      <c r="L543" s="9">
        <v>145</v>
      </c>
      <c r="O543" s="4" t="s">
        <v>306</v>
      </c>
      <c r="P543" s="17">
        <f>B534</f>
        <v>34.900000000000006</v>
      </c>
      <c r="Q543" s="1" t="s">
        <v>307</v>
      </c>
    </row>
    <row r="544" spans="1:19" x14ac:dyDescent="0.25">
      <c r="A544" s="1" t="s">
        <v>199</v>
      </c>
      <c r="K544" s="9">
        <v>90</v>
      </c>
      <c r="L544" s="9">
        <v>160</v>
      </c>
    </row>
    <row r="545" spans="1:18" x14ac:dyDescent="0.25">
      <c r="A545" s="4" t="s">
        <v>261</v>
      </c>
      <c r="B545" s="18">
        <v>76.2</v>
      </c>
      <c r="C545" s="1" t="s">
        <v>52</v>
      </c>
      <c r="D545" s="1" t="s">
        <v>839</v>
      </c>
      <c r="E545" s="43">
        <f>8000*((E547/1000)*(3.1415*(B545/1000)^2)/4)</f>
        <v>60.559891783200001</v>
      </c>
      <c r="F545" s="1" t="s">
        <v>68</v>
      </c>
      <c r="K545" s="9">
        <v>100</v>
      </c>
      <c r="L545" s="9">
        <v>175</v>
      </c>
      <c r="O545" s="4" t="s">
        <v>290</v>
      </c>
      <c r="P545" s="17">
        <f>10*(P541*(3*P540*P543)/P542)^0.5</f>
        <v>1.9591753730610615</v>
      </c>
      <c r="Q545" s="1" t="s">
        <v>52</v>
      </c>
    </row>
    <row r="546" spans="1:18" x14ac:dyDescent="0.25">
      <c r="K546" s="9">
        <v>110</v>
      </c>
      <c r="L546" s="9">
        <v>185</v>
      </c>
      <c r="O546" s="4" t="s">
        <v>290</v>
      </c>
      <c r="P546" s="18">
        <v>6</v>
      </c>
      <c r="Q546" s="1" t="s">
        <v>52</v>
      </c>
    </row>
    <row r="547" spans="1:18" x14ac:dyDescent="0.25">
      <c r="A547" s="3" t="s">
        <v>840</v>
      </c>
      <c r="E547" s="1">
        <f>B529*10+L542+50+350</f>
        <v>1660</v>
      </c>
      <c r="F547" s="1" t="s">
        <v>52</v>
      </c>
      <c r="K547" s="9">
        <v>115</v>
      </c>
      <c r="L547" s="9">
        <v>190</v>
      </c>
    </row>
    <row r="548" spans="1:18" ht="15.6" x14ac:dyDescent="0.3">
      <c r="A548" s="1" t="s">
        <v>243</v>
      </c>
      <c r="I548"/>
      <c r="K548" s="9">
        <v>125</v>
      </c>
      <c r="L548" s="9">
        <v>205</v>
      </c>
      <c r="Q548" s="62"/>
      <c r="R548" s="38" t="s">
        <v>1299</v>
      </c>
    </row>
    <row r="549" spans="1:18" x14ac:dyDescent="0.25">
      <c r="A549" s="4" t="s">
        <v>247</v>
      </c>
      <c r="B549" s="18">
        <v>20</v>
      </c>
      <c r="C549" s="1" t="s">
        <v>196</v>
      </c>
      <c r="K549" s="9">
        <v>135</v>
      </c>
      <c r="L549" s="9">
        <v>180</v>
      </c>
      <c r="P549" s="1" t="s">
        <v>1300</v>
      </c>
    </row>
    <row r="550" spans="1:18" x14ac:dyDescent="0.25">
      <c r="A550" s="4" t="s">
        <v>263</v>
      </c>
      <c r="B550" s="19">
        <f>POWER(((2*B403)^2+(B530)^2),1/2)</f>
        <v>157.38465249567739</v>
      </c>
      <c r="C550" s="1" t="s">
        <v>68</v>
      </c>
      <c r="K550" s="9">
        <v>140</v>
      </c>
      <c r="L550" s="9">
        <v>190</v>
      </c>
      <c r="P550" s="1" t="s">
        <v>311</v>
      </c>
    </row>
    <row r="551" spans="1:18" x14ac:dyDescent="0.25">
      <c r="A551" s="4" t="s">
        <v>251</v>
      </c>
      <c r="B551" s="18">
        <v>2</v>
      </c>
      <c r="C551" s="1" t="s">
        <v>46</v>
      </c>
      <c r="K551" s="9">
        <v>150</v>
      </c>
      <c r="L551" s="9">
        <v>205</v>
      </c>
    </row>
    <row r="552" spans="1:18" x14ac:dyDescent="0.25">
      <c r="A552" s="4"/>
      <c r="K552" s="9">
        <v>160</v>
      </c>
      <c r="L552" s="9">
        <v>210</v>
      </c>
      <c r="O552" s="4" t="s">
        <v>290</v>
      </c>
      <c r="P552" s="1" t="s">
        <v>312</v>
      </c>
    </row>
    <row r="553" spans="1:18" x14ac:dyDescent="0.25">
      <c r="A553" s="1" t="s">
        <v>838</v>
      </c>
      <c r="D553" s="1" t="s">
        <v>257</v>
      </c>
      <c r="K553" s="9">
        <v>170</v>
      </c>
      <c r="L553" s="9">
        <v>220</v>
      </c>
      <c r="O553" s="4" t="s">
        <v>294</v>
      </c>
      <c r="P553" s="1" t="s">
        <v>295</v>
      </c>
    </row>
    <row r="554" spans="1:18" x14ac:dyDescent="0.25">
      <c r="A554" s="4" t="s">
        <v>258</v>
      </c>
      <c r="B554" s="19">
        <f>10*POWER((32*B549*B550*B551)/(3.1415*560*2),1/3)</f>
        <v>38.54242956926339</v>
      </c>
      <c r="C554" s="1" t="s">
        <v>52</v>
      </c>
      <c r="D554" s="4" t="s">
        <v>258</v>
      </c>
      <c r="E554" s="19">
        <f>B610</f>
        <v>49.451666334414945</v>
      </c>
      <c r="F554" s="1" t="s">
        <v>52</v>
      </c>
      <c r="H554" s="4" t="s">
        <v>259</v>
      </c>
      <c r="I554" s="19" cm="1">
        <f t="array" ref="I554">SUMPRODUCT(LARGE((K530:K558&gt;B556)*(K530:K558),COUNTIF(K530:K558,"&gt;"&amp;B556)))-10</f>
        <v>55</v>
      </c>
      <c r="J554" s="1" t="s">
        <v>52</v>
      </c>
      <c r="K554" s="9">
        <v>180</v>
      </c>
      <c r="L554" s="9">
        <v>235</v>
      </c>
      <c r="O554" s="4" t="s">
        <v>313</v>
      </c>
      <c r="P554" s="1" t="s">
        <v>314</v>
      </c>
    </row>
    <row r="555" spans="1:18" x14ac:dyDescent="0.25">
      <c r="A555" s="1" t="s">
        <v>265</v>
      </c>
      <c r="K555" s="9">
        <v>200</v>
      </c>
      <c r="L555" s="9">
        <v>255</v>
      </c>
      <c r="O555" s="4" t="s">
        <v>278</v>
      </c>
      <c r="P555" s="1" t="s">
        <v>315</v>
      </c>
    </row>
    <row r="556" spans="1:18" ht="15.6" x14ac:dyDescent="0.25">
      <c r="A556" s="4" t="s">
        <v>266</v>
      </c>
      <c r="B556" s="18">
        <f>2.5*25.4</f>
        <v>63.5</v>
      </c>
      <c r="C556" s="1" t="s">
        <v>52</v>
      </c>
      <c r="D556" s="1" t="s">
        <v>839</v>
      </c>
      <c r="E556" s="43">
        <f>8000*((G556/1000)*(3.1415*(B556/1000)^2)/4)</f>
        <v>31.921629705000004</v>
      </c>
      <c r="F556" s="1" t="s">
        <v>68</v>
      </c>
      <c r="G556" s="1">
        <f>B529*10+L535+50</f>
        <v>1260</v>
      </c>
      <c r="H556" s="1" t="s">
        <v>52</v>
      </c>
      <c r="K556" s="9">
        <v>220</v>
      </c>
      <c r="L556" s="9">
        <v>265</v>
      </c>
      <c r="O556" s="4" t="s">
        <v>317</v>
      </c>
      <c r="P556" s="52" t="s">
        <v>283</v>
      </c>
    </row>
    <row r="557" spans="1:18" x14ac:dyDescent="0.25">
      <c r="K557" s="9">
        <v>240</v>
      </c>
      <c r="L557" s="9">
        <v>285</v>
      </c>
    </row>
    <row r="558" spans="1:18" x14ac:dyDescent="0.25">
      <c r="A558" s="4" t="s">
        <v>842</v>
      </c>
      <c r="B558" s="43">
        <f>B556*0.7</f>
        <v>44.449999999999996</v>
      </c>
      <c r="D558" s="1" t="s">
        <v>843</v>
      </c>
      <c r="E558" s="43">
        <f>8000*((L544*1.5/1000)+B529/100)*(3.1415*(B558/1000)^2)/4</f>
        <v>16.882995266199998</v>
      </c>
      <c r="F558" s="1" t="s">
        <v>68</v>
      </c>
      <c r="K558" s="9">
        <v>260</v>
      </c>
      <c r="L558" s="9">
        <v>295</v>
      </c>
    </row>
    <row r="559" spans="1:18" x14ac:dyDescent="0.25">
      <c r="A559" s="3"/>
      <c r="O559" s="4" t="s">
        <v>290</v>
      </c>
      <c r="P559" s="17">
        <f>P546/10</f>
        <v>0.6</v>
      </c>
      <c r="Q559" s="1" t="s">
        <v>307</v>
      </c>
    </row>
    <row r="560" spans="1:18" x14ac:dyDescent="0.25">
      <c r="O560" s="4" t="s">
        <v>313</v>
      </c>
      <c r="P560" s="43">
        <f>B430</f>
        <v>76.2</v>
      </c>
      <c r="Q560" s="1" t="s">
        <v>307</v>
      </c>
    </row>
    <row r="561" spans="1:26" x14ac:dyDescent="0.25">
      <c r="A561" s="3" t="s">
        <v>1224</v>
      </c>
      <c r="O561" s="4" t="s">
        <v>321</v>
      </c>
      <c r="P561" s="43">
        <f>B534/2</f>
        <v>17.450000000000003</v>
      </c>
      <c r="Q561" s="1" t="s">
        <v>307</v>
      </c>
    </row>
    <row r="563" spans="1:26" ht="14.4" x14ac:dyDescent="0.3">
      <c r="A563" s="1" t="s">
        <v>270</v>
      </c>
      <c r="N563" s="3"/>
      <c r="O563" s="4" t="s">
        <v>324</v>
      </c>
      <c r="P563" s="44">
        <f>(B586*P560*P561*(P559^3)/P540)^0.25</f>
        <v>96.239771265112893</v>
      </c>
      <c r="Q563" s="3"/>
      <c r="R563" s="4" t="s">
        <v>278</v>
      </c>
      <c r="S563" s="60">
        <f>B584</f>
        <v>86.7</v>
      </c>
      <c r="T563" s="1" t="s">
        <v>196</v>
      </c>
      <c r="U563" s="3"/>
      <c r="V563" s="3"/>
      <c r="W563" s="3"/>
      <c r="X563" s="3"/>
      <c r="Y563" s="3"/>
      <c r="Z563" s="3"/>
    </row>
    <row r="564" spans="1:26" x14ac:dyDescent="0.25">
      <c r="A564" s="4" t="s">
        <v>271</v>
      </c>
      <c r="B564" s="1" t="s">
        <v>272</v>
      </c>
    </row>
    <row r="565" spans="1:26" x14ac:dyDescent="0.25">
      <c r="A565" s="4" t="s">
        <v>248</v>
      </c>
      <c r="B565" s="1" t="s">
        <v>273</v>
      </c>
      <c r="P565" s="1" t="s">
        <v>1302</v>
      </c>
    </row>
    <row r="566" spans="1:26" x14ac:dyDescent="0.25">
      <c r="A566" s="4" t="s">
        <v>274</v>
      </c>
      <c r="B566" s="1" t="s">
        <v>275</v>
      </c>
    </row>
    <row r="567" spans="1:26" x14ac:dyDescent="0.25">
      <c r="A567" s="4" t="s">
        <v>276</v>
      </c>
      <c r="B567" s="1" t="s">
        <v>277</v>
      </c>
    </row>
    <row r="568" spans="1:26" x14ac:dyDescent="0.25">
      <c r="A568" s="4" t="s">
        <v>278</v>
      </c>
      <c r="B568" s="1" t="s">
        <v>279</v>
      </c>
    </row>
    <row r="569" spans="1:26" x14ac:dyDescent="0.25">
      <c r="A569" s="4" t="s">
        <v>280</v>
      </c>
      <c r="B569" s="1" t="s">
        <v>281</v>
      </c>
      <c r="D569" s="137"/>
    </row>
    <row r="570" spans="1:26" ht="15.6" x14ac:dyDescent="0.25">
      <c r="A570" s="4" t="s">
        <v>282</v>
      </c>
      <c r="B570" s="137" t="s">
        <v>283</v>
      </c>
    </row>
    <row r="571" spans="1:26" x14ac:dyDescent="0.25">
      <c r="A571" s="4" t="s">
        <v>847</v>
      </c>
      <c r="B571" s="137" t="s">
        <v>848</v>
      </c>
    </row>
    <row r="572" spans="1:26" x14ac:dyDescent="0.25">
      <c r="A572" s="4" t="s">
        <v>849</v>
      </c>
      <c r="B572" s="137" t="s">
        <v>850</v>
      </c>
    </row>
    <row r="573" spans="1:26" x14ac:dyDescent="0.25">
      <c r="A573" s="4" t="s">
        <v>851</v>
      </c>
      <c r="B573" s="137" t="s">
        <v>852</v>
      </c>
    </row>
    <row r="574" spans="1:26" x14ac:dyDescent="0.25">
      <c r="A574" s="4"/>
    </row>
    <row r="575" spans="1:26" x14ac:dyDescent="0.25">
      <c r="A575" s="1" t="s">
        <v>855</v>
      </c>
      <c r="I575" s="1" t="s">
        <v>856</v>
      </c>
      <c r="N575" s="249" t="s">
        <v>857</v>
      </c>
      <c r="O575" s="250"/>
    </row>
    <row r="576" spans="1:26" x14ac:dyDescent="0.25">
      <c r="H576" s="4" t="s">
        <v>858</v>
      </c>
      <c r="I576" s="44">
        <f>VLOOKUP(B98,N577:O586,2,0)/1000</f>
        <v>0.87</v>
      </c>
      <c r="J576" s="1" t="s">
        <v>859</v>
      </c>
      <c r="N576" s="9" t="s">
        <v>860</v>
      </c>
      <c r="O576" s="9" t="s">
        <v>861</v>
      </c>
    </row>
    <row r="577" spans="1:15" x14ac:dyDescent="0.25">
      <c r="A577" s="4" t="s">
        <v>487</v>
      </c>
      <c r="B577" s="17">
        <f>B472*100</f>
        <v>34.900000000000006</v>
      </c>
      <c r="C577" s="1" t="s">
        <v>196</v>
      </c>
      <c r="H577" s="4" t="s">
        <v>487</v>
      </c>
      <c r="I577" s="19">
        <f>B472</f>
        <v>0.34900000000000003</v>
      </c>
      <c r="J577" s="1" t="s">
        <v>862</v>
      </c>
      <c r="N577" s="9">
        <v>16</v>
      </c>
      <c r="O577" s="9">
        <v>510</v>
      </c>
    </row>
    <row r="578" spans="1:15" x14ac:dyDescent="0.25">
      <c r="A578" s="4" t="s">
        <v>851</v>
      </c>
      <c r="B578" s="35">
        <v>0.63500000000000001</v>
      </c>
      <c r="C578" s="1" t="s">
        <v>196</v>
      </c>
      <c r="H578" s="4" t="s">
        <v>868</v>
      </c>
      <c r="I578" s="19">
        <f>B578/100</f>
        <v>6.3499999999999997E-3</v>
      </c>
      <c r="J578" s="1" t="s">
        <v>899</v>
      </c>
      <c r="N578" s="9">
        <v>20</v>
      </c>
      <c r="O578" s="9">
        <v>610</v>
      </c>
    </row>
    <row r="579" spans="1:15" x14ac:dyDescent="0.25">
      <c r="A579" s="4" t="s">
        <v>847</v>
      </c>
      <c r="B579" s="17">
        <f>B580+B578*2</f>
        <v>10.414</v>
      </c>
      <c r="C579" s="1" t="s">
        <v>196</v>
      </c>
      <c r="H579" s="4" t="s">
        <v>870</v>
      </c>
      <c r="I579" s="44">
        <f>(I576-2*I584)</f>
        <v>0.78998999999999997</v>
      </c>
      <c r="J579" s="1" t="s">
        <v>871</v>
      </c>
      <c r="N579" s="9">
        <v>24</v>
      </c>
      <c r="O579" s="9">
        <v>710</v>
      </c>
    </row>
    <row r="580" spans="1:15" x14ac:dyDescent="0.25">
      <c r="A580" s="4" t="s">
        <v>849</v>
      </c>
      <c r="B580" s="19">
        <f>B545*1.2/10</f>
        <v>9.1440000000000001</v>
      </c>
      <c r="C580" s="1" t="s">
        <v>196</v>
      </c>
      <c r="H580" s="4" t="s">
        <v>866</v>
      </c>
      <c r="I580" s="131">
        <v>8.0000000000000002E-3</v>
      </c>
      <c r="J580" s="1" t="s">
        <v>1225</v>
      </c>
      <c r="N580" s="9">
        <v>30</v>
      </c>
      <c r="O580" s="9">
        <v>870</v>
      </c>
    </row>
    <row r="581" spans="1:15" x14ac:dyDescent="0.25">
      <c r="A581" s="4" t="s">
        <v>248</v>
      </c>
      <c r="B581" s="19">
        <f>B532</f>
        <v>535.74742373145284</v>
      </c>
      <c r="C581" s="1" t="s">
        <v>133</v>
      </c>
      <c r="H581" s="4" t="s">
        <v>1226</v>
      </c>
      <c r="I581" s="44">
        <f>I577-I580*2</f>
        <v>0.33300000000000002</v>
      </c>
      <c r="J581" s="1" t="s">
        <v>873</v>
      </c>
      <c r="N581" s="9">
        <v>36</v>
      </c>
      <c r="O581" s="9">
        <v>1020</v>
      </c>
    </row>
    <row r="582" spans="1:15" x14ac:dyDescent="0.25">
      <c r="A582" s="4" t="s">
        <v>274</v>
      </c>
      <c r="B582" s="18">
        <v>1.5</v>
      </c>
      <c r="C582" s="1" t="s">
        <v>287</v>
      </c>
      <c r="H582" s="4" t="s">
        <v>847</v>
      </c>
      <c r="I582" s="44">
        <f>B579/100</f>
        <v>0.10414</v>
      </c>
      <c r="J582" s="1" t="s">
        <v>875</v>
      </c>
      <c r="N582" s="9">
        <v>42</v>
      </c>
      <c r="O582" s="9">
        <v>1170</v>
      </c>
    </row>
    <row r="583" spans="1:15" x14ac:dyDescent="0.25">
      <c r="A583" s="4" t="s">
        <v>276</v>
      </c>
      <c r="B583" s="19">
        <f>B529</f>
        <v>112</v>
      </c>
      <c r="C583" s="1" t="s">
        <v>196</v>
      </c>
      <c r="H583" s="4" t="s">
        <v>878</v>
      </c>
      <c r="I583" s="44">
        <f>I582*1.5</f>
        <v>0.15620999999999999</v>
      </c>
      <c r="J583" s="1" t="s">
        <v>879</v>
      </c>
      <c r="N583" s="9">
        <v>48</v>
      </c>
      <c r="O583" s="9">
        <v>1370</v>
      </c>
    </row>
    <row r="584" spans="1:15" x14ac:dyDescent="0.25">
      <c r="A584" s="4" t="s">
        <v>278</v>
      </c>
      <c r="B584" s="43">
        <f>(B164*25.4+105)/10</f>
        <v>86.7</v>
      </c>
      <c r="C584" s="1" t="s">
        <v>196</v>
      </c>
      <c r="H584" s="4" t="s">
        <v>880</v>
      </c>
      <c r="I584" s="44">
        <f>(I583-B545/1000)/2</f>
        <v>4.0004999999999992E-2</v>
      </c>
      <c r="J584" s="1" t="s">
        <v>900</v>
      </c>
      <c r="N584" s="9">
        <v>54</v>
      </c>
      <c r="O584" s="9">
        <v>1530</v>
      </c>
    </row>
    <row r="585" spans="1:15" x14ac:dyDescent="0.25">
      <c r="A585" s="4" t="s">
        <v>280</v>
      </c>
      <c r="B585" s="17">
        <f>B545/10</f>
        <v>7.62</v>
      </c>
      <c r="C585" s="1" t="s">
        <v>196</v>
      </c>
      <c r="H585" s="4" t="s">
        <v>883</v>
      </c>
      <c r="I585" s="44">
        <f>I584*1.2</f>
        <v>4.8005999999999986E-2</v>
      </c>
      <c r="J585" s="1" t="s">
        <v>884</v>
      </c>
      <c r="N585" s="9">
        <v>60</v>
      </c>
      <c r="O585" s="9">
        <v>1680</v>
      </c>
    </row>
    <row r="586" spans="1:15" x14ac:dyDescent="0.25">
      <c r="A586" s="4" t="s">
        <v>282</v>
      </c>
      <c r="B586" s="143">
        <v>2100000</v>
      </c>
      <c r="C586" s="1" t="s">
        <v>292</v>
      </c>
      <c r="E586" s="1" t="s">
        <v>882</v>
      </c>
      <c r="H586" s="4"/>
      <c r="N586" s="9">
        <v>72</v>
      </c>
      <c r="O586" s="9">
        <v>1990</v>
      </c>
    </row>
    <row r="587" spans="1:15" x14ac:dyDescent="0.25">
      <c r="E587" s="4">
        <v>1500</v>
      </c>
      <c r="H587" s="1" t="s">
        <v>885</v>
      </c>
      <c r="I587" s="43">
        <f>8000*(I579)*((3.1415*(I582)^2)/4-(3.1415*(I582-2*I578)^2)/4)</f>
        <v>12.328686700319224</v>
      </c>
      <c r="J587" s="1" t="s">
        <v>68</v>
      </c>
    </row>
    <row r="588" spans="1:15" x14ac:dyDescent="0.25">
      <c r="E588" s="4"/>
      <c r="H588" s="1" t="s">
        <v>888</v>
      </c>
      <c r="I588" s="43">
        <f>8000*(I576)*((3.1415*(I577)^2)/4-(3.1415*(I577-2*I580)^2)/4)</f>
        <v>59.647283520000016</v>
      </c>
      <c r="J588" s="1" t="s">
        <v>68</v>
      </c>
    </row>
    <row r="589" spans="1:15" x14ac:dyDescent="0.25">
      <c r="A589" s="4" t="s">
        <v>886</v>
      </c>
      <c r="B589" s="43">
        <f>PI()*(B577^4+B579^4+B580^4)/64</f>
        <v>73744.035501202467</v>
      </c>
      <c r="C589" s="1" t="s">
        <v>887</v>
      </c>
      <c r="E589" s="4"/>
      <c r="G589" s="1">
        <v>2</v>
      </c>
      <c r="H589" s="1" t="s">
        <v>889</v>
      </c>
      <c r="I589" s="43">
        <f>2*8000*(I585)*((3.1415*(I583)^2)/4-(3.1415*(I583-2*I584)^2)/4)</f>
        <v>11.217385811125437</v>
      </c>
      <c r="J589" s="1" t="s">
        <v>68</v>
      </c>
    </row>
    <row r="590" spans="1:15" x14ac:dyDescent="0.25">
      <c r="E590" s="4"/>
      <c r="G590" s="1">
        <v>3</v>
      </c>
      <c r="H590" s="1" t="s">
        <v>890</v>
      </c>
      <c r="I590" s="43">
        <f>3*8000*(I580)*((3.1415*(I581)^2)/4-(3.1415*(I582)^2)/4)</f>
        <v>15.085813797436803</v>
      </c>
      <c r="J590" s="1" t="s">
        <v>68</v>
      </c>
    </row>
    <row r="591" spans="1:15" x14ac:dyDescent="0.25">
      <c r="A591" s="4" t="s">
        <v>271</v>
      </c>
      <c r="B591" s="61">
        <f>(4*B581*B582*(B583-B584)*(2*B583^2+2*B583*B584-B584^2))/(3*PI()*B586*B585^4)</f>
        <v>4.5084609371055545E-2</v>
      </c>
      <c r="C591" s="1" t="s">
        <v>196</v>
      </c>
      <c r="D591" s="1" t="s">
        <v>300</v>
      </c>
      <c r="E591" s="61">
        <f>B583/1500</f>
        <v>7.4666666666666673E-2</v>
      </c>
      <c r="F591" s="1" t="s">
        <v>196</v>
      </c>
    </row>
    <row r="592" spans="1:15" x14ac:dyDescent="0.25">
      <c r="H592" s="1" t="s">
        <v>891</v>
      </c>
      <c r="I592" s="43">
        <f>SUM(I587:I590)</f>
        <v>98.279169828881479</v>
      </c>
      <c r="J592" s="1" t="s">
        <v>68</v>
      </c>
    </row>
    <row r="593" spans="1:16" x14ac:dyDescent="0.25">
      <c r="A593" s="4" t="s">
        <v>280</v>
      </c>
      <c r="B593" s="19">
        <f>10*((1500*4*B581*B582*(B583-B584)*(2*B583^2+2*B583*B584-B584^2))/(3*PI()*B586*B583))^(1/4)</f>
        <v>67.170774862566105</v>
      </c>
      <c r="C593" s="1" t="s">
        <v>52</v>
      </c>
    </row>
    <row r="595" spans="1:16" x14ac:dyDescent="0.25">
      <c r="A595" s="1" t="s">
        <v>895</v>
      </c>
    </row>
    <row r="596" spans="1:16" x14ac:dyDescent="0.25">
      <c r="I596" s="1" t="s">
        <v>897</v>
      </c>
      <c r="O596" s="1" t="s">
        <v>898</v>
      </c>
    </row>
    <row r="597" spans="1:16" x14ac:dyDescent="0.25">
      <c r="A597" s="4" t="s">
        <v>851</v>
      </c>
      <c r="B597" s="35">
        <v>0.64</v>
      </c>
      <c r="C597" s="1" t="s">
        <v>196</v>
      </c>
      <c r="H597" s="4" t="s">
        <v>858</v>
      </c>
      <c r="I597" s="44">
        <f>I576</f>
        <v>0.87</v>
      </c>
      <c r="J597" s="1" t="s">
        <v>859</v>
      </c>
      <c r="N597" s="4" t="s">
        <v>858</v>
      </c>
      <c r="O597" s="44">
        <f>I597</f>
        <v>0.87</v>
      </c>
      <c r="P597" s="1" t="s">
        <v>859</v>
      </c>
    </row>
    <row r="598" spans="1:16" x14ac:dyDescent="0.25">
      <c r="A598" s="4" t="s">
        <v>847</v>
      </c>
      <c r="B598" s="17">
        <f>B599+B597*2</f>
        <v>8.8999999999999986</v>
      </c>
      <c r="C598" s="1" t="s">
        <v>196</v>
      </c>
      <c r="H598" s="4" t="s">
        <v>487</v>
      </c>
      <c r="I598" s="44">
        <f>B471</f>
        <v>0.17583584400753791</v>
      </c>
      <c r="J598" s="1" t="s">
        <v>862</v>
      </c>
      <c r="N598" s="4" t="s">
        <v>487</v>
      </c>
      <c r="O598" s="44">
        <f>I598*0.7</f>
        <v>0.12308509080527652</v>
      </c>
      <c r="P598" s="1" t="s">
        <v>862</v>
      </c>
    </row>
    <row r="599" spans="1:16" x14ac:dyDescent="0.25">
      <c r="A599" s="4" t="s">
        <v>849</v>
      </c>
      <c r="B599" s="19">
        <f>B604*1.2</f>
        <v>7.6199999999999992</v>
      </c>
      <c r="C599" s="1" t="s">
        <v>196</v>
      </c>
      <c r="H599" s="4" t="s">
        <v>868</v>
      </c>
      <c r="I599" s="19">
        <f>B597/100</f>
        <v>6.4000000000000003E-3</v>
      </c>
      <c r="J599" s="1" t="s">
        <v>899</v>
      </c>
      <c r="N599" s="4" t="s">
        <v>868</v>
      </c>
      <c r="O599" s="131">
        <v>6.3499999999999997E-3</v>
      </c>
      <c r="P599" s="1" t="s">
        <v>899</v>
      </c>
    </row>
    <row r="600" spans="1:16" x14ac:dyDescent="0.25">
      <c r="A600" s="4" t="s">
        <v>248</v>
      </c>
      <c r="B600" s="19">
        <f>B550</f>
        <v>157.38465249567739</v>
      </c>
      <c r="C600" s="1" t="s">
        <v>133</v>
      </c>
      <c r="H600" s="4" t="s">
        <v>870</v>
      </c>
      <c r="I600" s="44">
        <f>(I597-2*I605)</f>
        <v>0.8</v>
      </c>
      <c r="J600" s="1" t="s">
        <v>871</v>
      </c>
      <c r="N600" s="4" t="s">
        <v>870</v>
      </c>
      <c r="O600" s="44">
        <f>(O597-2*O605)</f>
        <v>0.82100000000000006</v>
      </c>
      <c r="P600" s="1" t="s">
        <v>871</v>
      </c>
    </row>
    <row r="601" spans="1:16" x14ac:dyDescent="0.25">
      <c r="A601" s="4" t="s">
        <v>274</v>
      </c>
      <c r="B601" s="18">
        <v>1.5</v>
      </c>
      <c r="C601" s="1" t="s">
        <v>287</v>
      </c>
      <c r="H601" s="4" t="s">
        <v>866</v>
      </c>
      <c r="I601" s="131">
        <v>8.0000000000000002E-3</v>
      </c>
      <c r="J601" s="1" t="s">
        <v>1225</v>
      </c>
      <c r="N601" s="4" t="s">
        <v>866</v>
      </c>
      <c r="O601" s="131">
        <v>8.0000000000000002E-3</v>
      </c>
      <c r="P601" s="1" t="s">
        <v>1225</v>
      </c>
    </row>
    <row r="602" spans="1:16" x14ac:dyDescent="0.25">
      <c r="A602" s="4" t="s">
        <v>276</v>
      </c>
      <c r="B602" s="19">
        <f>B529</f>
        <v>112</v>
      </c>
      <c r="C602" s="1" t="s">
        <v>196</v>
      </c>
      <c r="H602" s="4" t="s">
        <v>1226</v>
      </c>
      <c r="I602" s="44">
        <f>I598-I601*2</f>
        <v>0.15983584400753792</v>
      </c>
      <c r="J602" s="1" t="s">
        <v>873</v>
      </c>
      <c r="N602" s="4" t="s">
        <v>1226</v>
      </c>
      <c r="O602" s="44">
        <f>O598-O601*2</f>
        <v>0.10708509080527652</v>
      </c>
      <c r="P602" s="1" t="s">
        <v>873</v>
      </c>
    </row>
    <row r="603" spans="1:16" x14ac:dyDescent="0.25">
      <c r="A603" s="4" t="s">
        <v>278</v>
      </c>
      <c r="B603" s="19">
        <f>B584</f>
        <v>86.7</v>
      </c>
      <c r="C603" s="1" t="s">
        <v>196</v>
      </c>
      <c r="H603" s="4" t="s">
        <v>847</v>
      </c>
      <c r="I603" s="44">
        <f>B598/100</f>
        <v>8.8999999999999982E-2</v>
      </c>
      <c r="J603" s="1" t="s">
        <v>875</v>
      </c>
      <c r="N603" s="4" t="s">
        <v>847</v>
      </c>
      <c r="O603" s="44">
        <f>0.7*B598/100</f>
        <v>6.2299999999999987E-2</v>
      </c>
      <c r="P603" s="1" t="s">
        <v>875</v>
      </c>
    </row>
    <row r="604" spans="1:16" x14ac:dyDescent="0.25">
      <c r="A604" s="4" t="s">
        <v>280</v>
      </c>
      <c r="B604" s="17">
        <f>B556/10</f>
        <v>6.35</v>
      </c>
      <c r="C604" s="1" t="s">
        <v>196</v>
      </c>
      <c r="H604" s="4" t="s">
        <v>878</v>
      </c>
      <c r="I604" s="44">
        <f>I603*1.5</f>
        <v>0.13349999999999998</v>
      </c>
      <c r="J604" s="1" t="s">
        <v>879</v>
      </c>
      <c r="N604" s="4" t="s">
        <v>878</v>
      </c>
      <c r="O604" s="44">
        <f>O603*1.5</f>
        <v>9.3449999999999978E-2</v>
      </c>
      <c r="P604" s="1" t="s">
        <v>879</v>
      </c>
    </row>
    <row r="605" spans="1:16" x14ac:dyDescent="0.25">
      <c r="A605" s="4" t="s">
        <v>282</v>
      </c>
      <c r="B605" s="143">
        <v>2100000</v>
      </c>
      <c r="C605" s="1" t="s">
        <v>292</v>
      </c>
      <c r="E605" s="1" t="s">
        <v>882</v>
      </c>
      <c r="H605" s="4" t="s">
        <v>880</v>
      </c>
      <c r="I605" s="44">
        <f>(I604-B556/1000)/2</f>
        <v>3.4999999999999989E-2</v>
      </c>
      <c r="J605" s="1" t="s">
        <v>900</v>
      </c>
      <c r="N605" s="4" t="s">
        <v>880</v>
      </c>
      <c r="O605" s="44">
        <f>(O604-B558/1000)/2</f>
        <v>2.4499999999999991E-2</v>
      </c>
      <c r="P605" s="1" t="s">
        <v>900</v>
      </c>
    </row>
    <row r="606" spans="1:16" x14ac:dyDescent="0.25">
      <c r="E606" s="4">
        <v>1500</v>
      </c>
      <c r="H606" s="4" t="s">
        <v>883</v>
      </c>
      <c r="I606" s="44">
        <f>I605*1.2</f>
        <v>4.1999999999999989E-2</v>
      </c>
      <c r="J606" s="1" t="s">
        <v>884</v>
      </c>
      <c r="N606" s="4" t="s">
        <v>883</v>
      </c>
      <c r="O606" s="44">
        <f>O605*1.2</f>
        <v>2.9399999999999989E-2</v>
      </c>
      <c r="P606" s="1" t="s">
        <v>884</v>
      </c>
    </row>
    <row r="607" spans="1:16" x14ac:dyDescent="0.25">
      <c r="H607" s="4"/>
      <c r="N607" s="4"/>
    </row>
    <row r="608" spans="1:16" x14ac:dyDescent="0.25">
      <c r="A608" s="4" t="s">
        <v>271</v>
      </c>
      <c r="B608" s="61">
        <f>4*B600*B601*(B602-B603)*(2*B602*B602+2*B602*B603-B603*B603)/(3*3.1415*B605*(POWER(B604,4)))</f>
        <v>2.7464291006416675E-2</v>
      </c>
      <c r="C608" s="1" t="s">
        <v>196</v>
      </c>
      <c r="D608" s="1" t="s">
        <v>300</v>
      </c>
      <c r="E608" s="61">
        <f>B602/1500</f>
        <v>7.4666666666666673E-2</v>
      </c>
      <c r="F608" s="1" t="s">
        <v>196</v>
      </c>
      <c r="H608" s="1" t="s">
        <v>885</v>
      </c>
      <c r="I608" s="43">
        <f>8000*(I600)*((3.1415*(I603)^2)/4-(3.1415*(I603-2*I599)^2)/4)</f>
        <v>10.628624384000007</v>
      </c>
      <c r="J608" s="1" t="s">
        <v>68</v>
      </c>
      <c r="N608" s="1" t="s">
        <v>885</v>
      </c>
      <c r="O608" s="43">
        <f>8000*(O600)*((3.1415*(O603)^2)/4-(3.1415*(O603-2*O599)^2)/4)</f>
        <v>7.3306759875899994</v>
      </c>
      <c r="P608" s="1" t="s">
        <v>68</v>
      </c>
    </row>
    <row r="609" spans="1:16" x14ac:dyDescent="0.25">
      <c r="H609" s="1" t="s">
        <v>888</v>
      </c>
      <c r="I609" s="43">
        <f>8000*(I597)*((3.1415*(I598)^2)/4-(3.1415*(I598-2*I601)^2)/4)</f>
        <v>29.357631003918179</v>
      </c>
      <c r="J609" s="1" t="s">
        <v>68</v>
      </c>
      <c r="N609" s="1" t="s">
        <v>888</v>
      </c>
      <c r="O609" s="43">
        <f>8000*(O597)*((3.1415*(O598)^2)/4-(3.1415*(O598-2*O601)^2)/4)</f>
        <v>20.130536774742737</v>
      </c>
      <c r="P609" s="1" t="s">
        <v>68</v>
      </c>
    </row>
    <row r="610" spans="1:16" x14ac:dyDescent="0.25">
      <c r="A610" s="4" t="s">
        <v>280</v>
      </c>
      <c r="B610" s="19">
        <f>10*((1500*4*B600*B601*(B602-B603)*(2*B602^2+2*B602*B603-B603^2))/(3*PI()*B605*B602))^(1/4)</f>
        <v>49.451666334414945</v>
      </c>
      <c r="C610" s="1" t="s">
        <v>52</v>
      </c>
      <c r="G610" s="1">
        <v>2</v>
      </c>
      <c r="H610" s="1" t="s">
        <v>889</v>
      </c>
      <c r="I610" s="43">
        <f>2*8000*(I606)*((3.1415*(I604)^2)/4-(3.1415*(I604-2*I605)^2)/4)</f>
        <v>7.2779758799999943</v>
      </c>
      <c r="J610" s="1" t="s">
        <v>68</v>
      </c>
      <c r="M610" s="1">
        <v>2</v>
      </c>
      <c r="N610" s="1" t="s">
        <v>889</v>
      </c>
      <c r="O610" s="43">
        <f>2*8000*(O606)*((3.1415*(O604)^2)/4-(3.1415*(O604-2*O605)^2)/4)</f>
        <v>2.4963457268399973</v>
      </c>
      <c r="P610" s="1" t="s">
        <v>68</v>
      </c>
    </row>
    <row r="611" spans="1:16" x14ac:dyDescent="0.25">
      <c r="A611" s="4"/>
      <c r="G611" s="1">
        <v>3</v>
      </c>
      <c r="H611" s="1" t="s">
        <v>890</v>
      </c>
      <c r="I611" s="43">
        <f>3*8000*(I601)*((3.1415*(I602)^2)/4-(3.1415*(I603)^2)/4)</f>
        <v>2.6579347400877444</v>
      </c>
      <c r="J611" s="1" t="s">
        <v>68</v>
      </c>
      <c r="M611" s="1">
        <v>3</v>
      </c>
      <c r="N611" s="1" t="s">
        <v>890</v>
      </c>
      <c r="O611" s="43">
        <f>3*8000*(O601)*((3.1415*(O602)^2)/4-(3.1415*(O603)^2)/4)</f>
        <v>1.1438970548409853</v>
      </c>
      <c r="P611" s="1" t="s">
        <v>68</v>
      </c>
    </row>
    <row r="613" spans="1:16" x14ac:dyDescent="0.25">
      <c r="A613" s="3" t="s">
        <v>351</v>
      </c>
      <c r="H613" s="1" t="s">
        <v>891</v>
      </c>
      <c r="I613" s="43">
        <f>SUM(I608:I611)</f>
        <v>49.922166008005924</v>
      </c>
      <c r="J613" s="1" t="s">
        <v>68</v>
      </c>
      <c r="N613" s="1" t="s">
        <v>891</v>
      </c>
      <c r="O613" s="43">
        <f>SUM(O608:O611)</f>
        <v>31.101455544013717</v>
      </c>
      <c r="P613" s="1" t="s">
        <v>68</v>
      </c>
    </row>
    <row r="615" spans="1:16" x14ac:dyDescent="0.25">
      <c r="A615" s="3" t="s">
        <v>352</v>
      </c>
    </row>
    <row r="616" spans="1:16" ht="15" x14ac:dyDescent="0.25">
      <c r="A616" s="1" t="s">
        <v>353</v>
      </c>
    </row>
    <row r="617" spans="1:16" x14ac:dyDescent="0.25">
      <c r="A617" s="1" t="s">
        <v>354</v>
      </c>
    </row>
    <row r="618" spans="1:16" x14ac:dyDescent="0.25">
      <c r="A618" s="1" t="s">
        <v>355</v>
      </c>
    </row>
    <row r="619" spans="1:16" x14ac:dyDescent="0.25">
      <c r="B619" s="1" t="s">
        <v>356</v>
      </c>
    </row>
    <row r="620" spans="1:16" x14ac:dyDescent="0.25">
      <c r="B620" s="1" t="s">
        <v>357</v>
      </c>
    </row>
    <row r="621" spans="1:16" x14ac:dyDescent="0.25">
      <c r="B621" s="1" t="s">
        <v>358</v>
      </c>
    </row>
    <row r="622" spans="1:16" x14ac:dyDescent="0.25">
      <c r="B622" s="1" t="s">
        <v>359</v>
      </c>
    </row>
    <row r="623" spans="1:16" x14ac:dyDescent="0.25">
      <c r="B623" s="1" t="s">
        <v>360</v>
      </c>
    </row>
    <row r="624" spans="1:16" x14ac:dyDescent="0.25">
      <c r="B624" s="1" t="s">
        <v>361</v>
      </c>
    </row>
    <row r="625" spans="1:4" x14ac:dyDescent="0.25">
      <c r="A625" s="1" t="s">
        <v>55</v>
      </c>
    </row>
    <row r="627" spans="1:4" x14ac:dyDescent="0.25">
      <c r="A627" s="3" t="s">
        <v>362</v>
      </c>
    </row>
    <row r="629" spans="1:4" x14ac:dyDescent="0.25">
      <c r="A629" s="4" t="s">
        <v>278</v>
      </c>
      <c r="B629" s="54">
        <v>7030</v>
      </c>
      <c r="C629" s="1" t="s">
        <v>46</v>
      </c>
    </row>
    <row r="630" spans="1:4" x14ac:dyDescent="0.25">
      <c r="A630" s="4" t="s">
        <v>363</v>
      </c>
      <c r="B630" s="54">
        <v>1.5</v>
      </c>
      <c r="C630" s="1" t="s">
        <v>46</v>
      </c>
    </row>
    <row r="631" spans="1:4" x14ac:dyDescent="0.25">
      <c r="A631" s="4" t="s">
        <v>364</v>
      </c>
      <c r="B631" s="66">
        <f>B311</f>
        <v>3</v>
      </c>
      <c r="C631" s="1" t="s">
        <v>249</v>
      </c>
    </row>
    <row r="632" spans="1:4" x14ac:dyDescent="0.25">
      <c r="A632" s="4" t="s">
        <v>365</v>
      </c>
      <c r="B632" s="54">
        <v>1800</v>
      </c>
      <c r="C632" s="1" t="s">
        <v>347</v>
      </c>
    </row>
    <row r="634" spans="1:4" x14ac:dyDescent="0.25">
      <c r="A634" s="1" t="s">
        <v>256</v>
      </c>
      <c r="B634" s="4" t="s">
        <v>366</v>
      </c>
      <c r="C634" s="19">
        <f>B629*B630*B631/B632</f>
        <v>17.574999999999999</v>
      </c>
      <c r="D634" s="1" t="s">
        <v>367</v>
      </c>
    </row>
    <row r="636" spans="1:4" x14ac:dyDescent="0.25">
      <c r="A636" s="1" t="s">
        <v>265</v>
      </c>
      <c r="B636" s="1" t="s">
        <v>1046</v>
      </c>
    </row>
    <row r="638" spans="1:4" x14ac:dyDescent="0.25">
      <c r="A638" s="3" t="s">
        <v>369</v>
      </c>
    </row>
    <row r="640" spans="1:4" x14ac:dyDescent="0.25">
      <c r="A640" s="4" t="s">
        <v>278</v>
      </c>
      <c r="B640" s="54">
        <v>7030</v>
      </c>
      <c r="C640" s="1" t="s">
        <v>46</v>
      </c>
    </row>
    <row r="641" spans="1:6" x14ac:dyDescent="0.25">
      <c r="A641" s="4" t="s">
        <v>363</v>
      </c>
      <c r="B641" s="54">
        <v>1.5</v>
      </c>
      <c r="C641" s="1" t="s">
        <v>46</v>
      </c>
    </row>
    <row r="642" spans="1:6" x14ac:dyDescent="0.25">
      <c r="A642" s="4" t="s">
        <v>364</v>
      </c>
      <c r="B642" s="66">
        <f>B631</f>
        <v>3</v>
      </c>
      <c r="C642" s="1" t="s">
        <v>249</v>
      </c>
    </row>
    <row r="643" spans="1:6" x14ac:dyDescent="0.25">
      <c r="A643" s="4" t="s">
        <v>365</v>
      </c>
      <c r="B643" s="68">
        <f>B475</f>
        <v>28.457195862579105</v>
      </c>
      <c r="C643" s="1" t="s">
        <v>347</v>
      </c>
    </row>
    <row r="644" spans="1:6" x14ac:dyDescent="0.25">
      <c r="A644" s="4"/>
      <c r="E644" s="1" t="s">
        <v>1227</v>
      </c>
      <c r="F644" s="42" t="s">
        <v>1228</v>
      </c>
    </row>
    <row r="645" spans="1:6" x14ac:dyDescent="0.25">
      <c r="A645" s="1" t="s">
        <v>256</v>
      </c>
      <c r="B645" s="4" t="s">
        <v>366</v>
      </c>
      <c r="C645" s="19">
        <f>B640*B641*B642/B643</f>
        <v>1111.6696161057694</v>
      </c>
      <c r="D645" s="1" t="s">
        <v>367</v>
      </c>
      <c r="E645" s="54">
        <v>4600</v>
      </c>
      <c r="F645" s="36">
        <f>E645/(C645/1.5)</f>
        <v>6.2068800838247453</v>
      </c>
    </row>
    <row r="647" spans="1:6" x14ac:dyDescent="0.25">
      <c r="A647" s="1" t="s">
        <v>265</v>
      </c>
      <c r="B647" s="1" t="s">
        <v>1229</v>
      </c>
    </row>
    <row r="649" spans="1:6" x14ac:dyDescent="0.25">
      <c r="A649" s="3" t="s">
        <v>1230</v>
      </c>
    </row>
    <row r="651" spans="1:6" x14ac:dyDescent="0.25">
      <c r="A651" s="3" t="s">
        <v>352</v>
      </c>
    </row>
    <row r="652" spans="1:6" ht="15" x14ac:dyDescent="0.25">
      <c r="A652" s="1" t="s">
        <v>353</v>
      </c>
    </row>
    <row r="653" spans="1:6" x14ac:dyDescent="0.25">
      <c r="A653" s="1" t="s">
        <v>354</v>
      </c>
    </row>
    <row r="654" spans="1:6" x14ac:dyDescent="0.25">
      <c r="A654" s="1" t="s">
        <v>355</v>
      </c>
    </row>
    <row r="655" spans="1:6" x14ac:dyDescent="0.25">
      <c r="B655" s="1" t="s">
        <v>1050</v>
      </c>
    </row>
    <row r="656" spans="1:6" x14ac:dyDescent="0.25">
      <c r="B656" s="1" t="s">
        <v>357</v>
      </c>
    </row>
    <row r="657" spans="1:4" x14ac:dyDescent="0.25">
      <c r="B657" s="1" t="s">
        <v>358</v>
      </c>
    </row>
    <row r="658" spans="1:4" x14ac:dyDescent="0.25">
      <c r="B658" s="1" t="s">
        <v>359</v>
      </c>
    </row>
    <row r="659" spans="1:4" x14ac:dyDescent="0.25">
      <c r="B659" s="1" t="s">
        <v>360</v>
      </c>
    </row>
    <row r="660" spans="1:4" x14ac:dyDescent="0.25">
      <c r="B660" s="1" t="s">
        <v>361</v>
      </c>
    </row>
    <row r="661" spans="1:4" x14ac:dyDescent="0.25">
      <c r="A661" s="1" t="s">
        <v>55</v>
      </c>
    </row>
    <row r="663" spans="1:4" x14ac:dyDescent="0.25">
      <c r="A663" s="3" t="s">
        <v>1231</v>
      </c>
    </row>
    <row r="665" spans="1:4" x14ac:dyDescent="0.25">
      <c r="A665" s="4" t="s">
        <v>278</v>
      </c>
      <c r="B665" s="54">
        <v>716.2</v>
      </c>
      <c r="C665" s="1" t="s">
        <v>46</v>
      </c>
    </row>
    <row r="666" spans="1:4" x14ac:dyDescent="0.25">
      <c r="A666" s="4" t="s">
        <v>363</v>
      </c>
      <c r="B666" s="54">
        <v>1.5</v>
      </c>
      <c r="C666" s="1" t="s">
        <v>46</v>
      </c>
    </row>
    <row r="667" spans="1:4" x14ac:dyDescent="0.25">
      <c r="A667" s="4" t="s">
        <v>364</v>
      </c>
      <c r="B667" s="66">
        <f>B631</f>
        <v>3</v>
      </c>
      <c r="C667" s="1" t="s">
        <v>249</v>
      </c>
    </row>
    <row r="668" spans="1:4" x14ac:dyDescent="0.25">
      <c r="A668" s="4" t="s">
        <v>365</v>
      </c>
      <c r="B668" s="54">
        <v>1800</v>
      </c>
      <c r="C668" s="1" t="s">
        <v>347</v>
      </c>
    </row>
    <row r="670" spans="1:4" x14ac:dyDescent="0.25">
      <c r="A670" s="1" t="s">
        <v>256</v>
      </c>
      <c r="B670" s="4" t="s">
        <v>366</v>
      </c>
      <c r="C670" s="19">
        <f>B665*B666*B667/B668</f>
        <v>1.7905000000000002</v>
      </c>
      <c r="D670" s="1" t="s">
        <v>367</v>
      </c>
    </row>
    <row r="672" spans="1:4" x14ac:dyDescent="0.25">
      <c r="A672" s="1" t="s">
        <v>265</v>
      </c>
      <c r="B672" s="1" t="s">
        <v>1052</v>
      </c>
    </row>
    <row r="674" spans="1:4" x14ac:dyDescent="0.25">
      <c r="A674" s="3" t="s">
        <v>1232</v>
      </c>
    </row>
    <row r="676" spans="1:4" x14ac:dyDescent="0.25">
      <c r="A676" s="4" t="s">
        <v>278</v>
      </c>
      <c r="B676" s="54">
        <v>716.2</v>
      </c>
      <c r="C676" s="1" t="s">
        <v>46</v>
      </c>
    </row>
    <row r="677" spans="1:4" x14ac:dyDescent="0.25">
      <c r="A677" s="4" t="s">
        <v>363</v>
      </c>
      <c r="B677" s="54">
        <v>1.5</v>
      </c>
      <c r="C677" s="1" t="s">
        <v>46</v>
      </c>
    </row>
    <row r="678" spans="1:4" x14ac:dyDescent="0.25">
      <c r="A678" s="4" t="s">
        <v>364</v>
      </c>
      <c r="B678" s="66">
        <f>B667</f>
        <v>3</v>
      </c>
      <c r="C678" s="1" t="s">
        <v>249</v>
      </c>
    </row>
    <row r="679" spans="1:4" x14ac:dyDescent="0.25">
      <c r="A679" s="4" t="s">
        <v>365</v>
      </c>
      <c r="B679" s="68">
        <f>B643</f>
        <v>28.457195862579105</v>
      </c>
      <c r="C679" s="1" t="s">
        <v>347</v>
      </c>
    </row>
    <row r="680" spans="1:4" x14ac:dyDescent="0.25">
      <c r="A680" s="4"/>
    </row>
    <row r="681" spans="1:4" x14ac:dyDescent="0.25">
      <c r="A681" s="1" t="s">
        <v>256</v>
      </c>
      <c r="B681" s="4" t="s">
        <v>366</v>
      </c>
      <c r="C681" s="19">
        <f>B676*B677*B678/B679</f>
        <v>113.25430712019234</v>
      </c>
      <c r="D681" s="1" t="s">
        <v>367</v>
      </c>
    </row>
    <row r="683" spans="1:4" x14ac:dyDescent="0.25">
      <c r="A683" s="1" t="s">
        <v>265</v>
      </c>
    </row>
    <row r="686" spans="1:4" x14ac:dyDescent="0.25">
      <c r="A686" s="3" t="s">
        <v>375</v>
      </c>
    </row>
    <row r="687" spans="1:4" x14ac:dyDescent="0.25">
      <c r="A687" s="3" t="s">
        <v>376</v>
      </c>
    </row>
    <row r="689" spans="1:7" x14ac:dyDescent="0.25">
      <c r="A689" s="3" t="s">
        <v>377</v>
      </c>
    </row>
    <row r="690" spans="1:7" x14ac:dyDescent="0.25">
      <c r="A690" s="3"/>
    </row>
    <row r="692" spans="1:7" x14ac:dyDescent="0.25">
      <c r="B692" s="1" t="s">
        <v>378</v>
      </c>
      <c r="D692" s="70" t="s">
        <v>379</v>
      </c>
    </row>
    <row r="693" spans="1:7" x14ac:dyDescent="0.25">
      <c r="C693" s="42" t="s">
        <v>380</v>
      </c>
      <c r="D693" s="42" t="s">
        <v>381</v>
      </c>
    </row>
    <row r="695" spans="1:7" x14ac:dyDescent="0.25">
      <c r="A695" s="1" t="s">
        <v>382</v>
      </c>
    </row>
    <row r="697" spans="1:7" x14ac:dyDescent="0.25">
      <c r="B697" s="1" t="s">
        <v>383</v>
      </c>
    </row>
    <row r="698" spans="1:7" x14ac:dyDescent="0.25">
      <c r="C698" s="1" t="s">
        <v>384</v>
      </c>
    </row>
    <row r="699" spans="1:7" x14ac:dyDescent="0.25">
      <c r="G699" s="3"/>
    </row>
    <row r="700" spans="1:7" x14ac:dyDescent="0.25">
      <c r="A700" s="1" t="s">
        <v>385</v>
      </c>
      <c r="G700" s="3"/>
    </row>
    <row r="702" spans="1:7" x14ac:dyDescent="0.25">
      <c r="A702" s="4" t="s">
        <v>386</v>
      </c>
      <c r="B702" s="1" t="s">
        <v>387</v>
      </c>
    </row>
    <row r="703" spans="1:7" x14ac:dyDescent="0.25">
      <c r="A703" s="4" t="s">
        <v>28</v>
      </c>
      <c r="B703" s="1" t="s">
        <v>388</v>
      </c>
    </row>
    <row r="704" spans="1:7" x14ac:dyDescent="0.25">
      <c r="A704" s="4" t="s">
        <v>248</v>
      </c>
      <c r="B704" s="1" t="s">
        <v>389</v>
      </c>
    </row>
    <row r="705" spans="1:4" x14ac:dyDescent="0.25">
      <c r="A705" s="4" t="s">
        <v>278</v>
      </c>
      <c r="B705" s="1" t="s">
        <v>390</v>
      </c>
    </row>
    <row r="707" spans="1:4" x14ac:dyDescent="0.25">
      <c r="A707" s="3" t="s">
        <v>391</v>
      </c>
    </row>
    <row r="708" spans="1:4" x14ac:dyDescent="0.25">
      <c r="B708" s="4" t="s">
        <v>386</v>
      </c>
      <c r="C708" s="18">
        <v>50000</v>
      </c>
      <c r="D708" s="1" t="s">
        <v>392</v>
      </c>
    </row>
    <row r="709" spans="1:4" x14ac:dyDescent="0.25">
      <c r="B709" s="4" t="s">
        <v>28</v>
      </c>
      <c r="C709" s="19">
        <f>B643</f>
        <v>28.457195862579105</v>
      </c>
      <c r="D709" s="1" t="s">
        <v>347</v>
      </c>
    </row>
    <row r="710" spans="1:4" x14ac:dyDescent="0.25">
      <c r="B710" s="4" t="s">
        <v>248</v>
      </c>
      <c r="C710" s="19">
        <f>9.8*B581/2</f>
        <v>2625.1623762841191</v>
      </c>
      <c r="D710" s="1" t="s">
        <v>393</v>
      </c>
    </row>
    <row r="711" spans="1:4" x14ac:dyDescent="0.25">
      <c r="A711" s="4" t="s">
        <v>394</v>
      </c>
      <c r="B711" s="4"/>
    </row>
    <row r="712" spans="1:4" x14ac:dyDescent="0.25">
      <c r="B712" s="4" t="s">
        <v>278</v>
      </c>
      <c r="C712" s="19">
        <f>C710*POWER((C708*C709*60/1000000),1/3)</f>
        <v>11559.187025183583</v>
      </c>
      <c r="D712" s="1" t="s">
        <v>393</v>
      </c>
    </row>
    <row r="713" spans="1:4" x14ac:dyDescent="0.25">
      <c r="B713" s="4"/>
    </row>
    <row r="715" spans="1:4" x14ac:dyDescent="0.25">
      <c r="A715" s="3" t="s">
        <v>395</v>
      </c>
    </row>
    <row r="716" spans="1:4" x14ac:dyDescent="0.25">
      <c r="B716" s="4" t="s">
        <v>386</v>
      </c>
      <c r="C716" s="18">
        <v>50000</v>
      </c>
      <c r="D716" s="1" t="s">
        <v>392</v>
      </c>
    </row>
    <row r="717" spans="1:4" x14ac:dyDescent="0.25">
      <c r="B717" s="4" t="s">
        <v>28</v>
      </c>
      <c r="C717" s="19">
        <f>C709</f>
        <v>28.457195862579105</v>
      </c>
      <c r="D717" s="1" t="s">
        <v>347</v>
      </c>
    </row>
    <row r="718" spans="1:4" x14ac:dyDescent="0.25">
      <c r="B718" s="4" t="s">
        <v>248</v>
      </c>
      <c r="C718" s="19">
        <f>9.8*B600/2</f>
        <v>771.18479722881921</v>
      </c>
      <c r="D718" s="1" t="s">
        <v>393</v>
      </c>
    </row>
    <row r="719" spans="1:4" x14ac:dyDescent="0.25">
      <c r="A719" s="4" t="s">
        <v>394</v>
      </c>
    </row>
    <row r="720" spans="1:4" x14ac:dyDescent="0.25">
      <c r="B720" s="4" t="s">
        <v>278</v>
      </c>
      <c r="C720" s="19">
        <f>C718*POWER((C716*C717*60/1000000),1/3)</f>
        <v>3395.7020650144409</v>
      </c>
      <c r="D720" s="1" t="s">
        <v>393</v>
      </c>
    </row>
    <row r="724" spans="1:2" x14ac:dyDescent="0.25">
      <c r="A724" s="18"/>
      <c r="B724" s="1" t="s">
        <v>396</v>
      </c>
    </row>
    <row r="725" spans="1:2" x14ac:dyDescent="0.25">
      <c r="A725" s="19"/>
      <c r="B725" s="1" t="s">
        <v>397</v>
      </c>
    </row>
  </sheetData>
  <mergeCells count="7">
    <mergeCell ref="N575:O575"/>
    <mergeCell ref="A190:B190"/>
    <mergeCell ref="A191:B191"/>
    <mergeCell ref="D291:E291"/>
    <mergeCell ref="E433:G433"/>
    <mergeCell ref="I478:O478"/>
    <mergeCell ref="I480:R480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>
    <oddHeader>&amp;CPLAMIL Planejamento e Montagem Lndustrial Ltda&amp;R&amp;P</oddHeader>
    <oddFooter xml:space="preserve">&amp;CADMINISTRAÇÃO: Av. Winston Churchill, 916   C. C. Claudino Capão Raso - Curitiba – PR
Fone: 41 346-1123  Fax: 41 248-1248     e-mail: plamil@softone.com.br   www.plamil.com.br
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D84E-504D-4543-A6D1-2820561330D9}">
  <sheetPr>
    <tabColor theme="9" tint="0.59999389629810485"/>
  </sheetPr>
  <dimension ref="A2:Z908"/>
  <sheetViews>
    <sheetView topLeftCell="A474" zoomScaleNormal="100" workbookViewId="0">
      <selection activeCell="I499" sqref="I499:S499"/>
    </sheetView>
  </sheetViews>
  <sheetFormatPr defaultColWidth="9.21875" defaultRowHeight="13.2" x14ac:dyDescent="0.25"/>
  <cols>
    <col min="1" max="16384" width="9.21875" style="114"/>
  </cols>
  <sheetData>
    <row r="2" spans="1:1" ht="15.6" x14ac:dyDescent="0.3">
      <c r="A2" s="2" t="s">
        <v>513</v>
      </c>
    </row>
    <row r="3" spans="1:1" ht="15.6" x14ac:dyDescent="0.3">
      <c r="A3" s="2"/>
    </row>
    <row r="4" spans="1:1" x14ac:dyDescent="0.25">
      <c r="A4" s="3" t="s">
        <v>514</v>
      </c>
    </row>
    <row r="5" spans="1:1" x14ac:dyDescent="0.25">
      <c r="A5" s="3" t="s">
        <v>515</v>
      </c>
    </row>
    <row r="6" spans="1:1" x14ac:dyDescent="0.25">
      <c r="A6" s="3" t="s">
        <v>516</v>
      </c>
    </row>
    <row r="7" spans="1:1" x14ac:dyDescent="0.25">
      <c r="A7" s="3" t="s">
        <v>517</v>
      </c>
    </row>
    <row r="8" spans="1:1" x14ac:dyDescent="0.25">
      <c r="A8" s="3" t="s">
        <v>518</v>
      </c>
    </row>
    <row r="9" spans="1:1" x14ac:dyDescent="0.25">
      <c r="A9" s="3" t="s">
        <v>519</v>
      </c>
    </row>
    <row r="11" spans="1:1" x14ac:dyDescent="0.25">
      <c r="A11" s="3" t="s">
        <v>520</v>
      </c>
    </row>
    <row r="12" spans="1:1" x14ac:dyDescent="0.25">
      <c r="A12" s="3" t="s">
        <v>521</v>
      </c>
    </row>
    <row r="13" spans="1:1" x14ac:dyDescent="0.25">
      <c r="A13" s="3" t="s">
        <v>522</v>
      </c>
    </row>
    <row r="14" spans="1:1" x14ac:dyDescent="0.25">
      <c r="A14" s="3" t="s">
        <v>523</v>
      </c>
    </row>
    <row r="15" spans="1:1" x14ac:dyDescent="0.25">
      <c r="A15" s="3" t="s">
        <v>524</v>
      </c>
    </row>
    <row r="16" spans="1:1" x14ac:dyDescent="0.25">
      <c r="A16" s="3" t="s">
        <v>525</v>
      </c>
    </row>
    <row r="17" spans="1:1" x14ac:dyDescent="0.25">
      <c r="A17" s="3" t="s">
        <v>526</v>
      </c>
    </row>
    <row r="18" spans="1:1" x14ac:dyDescent="0.25">
      <c r="A18" s="3" t="s">
        <v>527</v>
      </c>
    </row>
    <row r="19" spans="1:1" x14ac:dyDescent="0.25">
      <c r="A19" s="3"/>
    </row>
    <row r="20" spans="1:1" x14ac:dyDescent="0.25">
      <c r="A20" s="3" t="s">
        <v>528</v>
      </c>
    </row>
    <row r="21" spans="1:1" x14ac:dyDescent="0.25">
      <c r="A21" s="3" t="s">
        <v>529</v>
      </c>
    </row>
    <row r="22" spans="1:1" x14ac:dyDescent="0.25">
      <c r="A22" s="3" t="s">
        <v>530</v>
      </c>
    </row>
    <row r="23" spans="1:1" x14ac:dyDescent="0.25">
      <c r="A23" s="3" t="s">
        <v>531</v>
      </c>
    </row>
    <row r="24" spans="1:1" x14ac:dyDescent="0.25">
      <c r="A24" s="3" t="s">
        <v>532</v>
      </c>
    </row>
    <row r="25" spans="1:1" x14ac:dyDescent="0.25">
      <c r="A25" s="3"/>
    </row>
    <row r="26" spans="1:1" x14ac:dyDescent="0.25">
      <c r="A26" s="3" t="s">
        <v>533</v>
      </c>
    </row>
    <row r="27" spans="1:1" x14ac:dyDescent="0.25">
      <c r="A27" s="3" t="s">
        <v>534</v>
      </c>
    </row>
    <row r="28" spans="1:1" x14ac:dyDescent="0.25">
      <c r="A28" s="3" t="s">
        <v>535</v>
      </c>
    </row>
    <row r="29" spans="1:1" x14ac:dyDescent="0.25">
      <c r="A29" s="3"/>
    </row>
    <row r="30" spans="1:1" x14ac:dyDescent="0.25">
      <c r="A30" s="3" t="s">
        <v>536</v>
      </c>
    </row>
    <row r="31" spans="1:1" x14ac:dyDescent="0.25">
      <c r="A31" s="3" t="s">
        <v>537</v>
      </c>
    </row>
    <row r="32" spans="1:1" x14ac:dyDescent="0.25">
      <c r="A32" s="3" t="s">
        <v>538</v>
      </c>
    </row>
    <row r="33" spans="1:1" x14ac:dyDescent="0.25">
      <c r="A33" s="3" t="s">
        <v>539</v>
      </c>
    </row>
    <row r="34" spans="1:1" x14ac:dyDescent="0.25">
      <c r="A34" s="3" t="s">
        <v>540</v>
      </c>
    </row>
    <row r="35" spans="1:1" x14ac:dyDescent="0.25">
      <c r="A35" s="3" t="s">
        <v>541</v>
      </c>
    </row>
    <row r="36" spans="1:1" x14ac:dyDescent="0.25">
      <c r="A36" s="3" t="s">
        <v>542</v>
      </c>
    </row>
    <row r="37" spans="1:1" x14ac:dyDescent="0.25">
      <c r="A37" s="3" t="s">
        <v>543</v>
      </c>
    </row>
    <row r="38" spans="1:1" x14ac:dyDescent="0.25">
      <c r="A38" s="3"/>
    </row>
    <row r="39" spans="1:1" x14ac:dyDescent="0.25">
      <c r="A39" s="3" t="s">
        <v>544</v>
      </c>
    </row>
    <row r="40" spans="1:1" x14ac:dyDescent="0.25">
      <c r="A40" s="3" t="s">
        <v>545</v>
      </c>
    </row>
    <row r="41" spans="1:1" x14ac:dyDescent="0.25">
      <c r="A41" s="3" t="s">
        <v>546</v>
      </c>
    </row>
    <row r="42" spans="1:1" x14ac:dyDescent="0.25">
      <c r="A42" s="3" t="s">
        <v>547</v>
      </c>
    </row>
    <row r="43" spans="1:1" x14ac:dyDescent="0.25">
      <c r="A43" s="3" t="s">
        <v>548</v>
      </c>
    </row>
    <row r="44" spans="1:1" x14ac:dyDescent="0.25">
      <c r="A44" s="3"/>
    </row>
    <row r="45" spans="1:1" x14ac:dyDescent="0.25">
      <c r="A45" s="3" t="s">
        <v>549</v>
      </c>
    </row>
    <row r="46" spans="1:1" x14ac:dyDescent="0.25">
      <c r="A46" s="3" t="s">
        <v>550</v>
      </c>
    </row>
    <row r="48" spans="1:1" x14ac:dyDescent="0.25">
      <c r="A48" s="3" t="s">
        <v>551</v>
      </c>
    </row>
    <row r="49" spans="1:3" x14ac:dyDescent="0.25">
      <c r="A49" s="3" t="s">
        <v>552</v>
      </c>
      <c r="B49" s="1"/>
    </row>
    <row r="50" spans="1:3" x14ac:dyDescent="0.25">
      <c r="A50" s="3" t="s">
        <v>553</v>
      </c>
      <c r="B50" s="1"/>
    </row>
    <row r="51" spans="1:3" x14ac:dyDescent="0.25">
      <c r="A51" s="3" t="s">
        <v>554</v>
      </c>
      <c r="B51" s="1"/>
    </row>
    <row r="53" spans="1:3" x14ac:dyDescent="0.25">
      <c r="A53" s="3" t="s">
        <v>555</v>
      </c>
      <c r="B53" s="1"/>
    </row>
    <row r="54" spans="1:3" x14ac:dyDescent="0.25">
      <c r="A54" s="3" t="s">
        <v>556</v>
      </c>
      <c r="B54" s="1"/>
    </row>
    <row r="55" spans="1:3" x14ac:dyDescent="0.25">
      <c r="A55" s="3" t="s">
        <v>557</v>
      </c>
      <c r="B55" s="1"/>
    </row>
    <row r="56" spans="1:3" x14ac:dyDescent="0.25">
      <c r="A56" s="3" t="s">
        <v>558</v>
      </c>
      <c r="B56" s="1"/>
    </row>
    <row r="58" spans="1:3" x14ac:dyDescent="0.25">
      <c r="A58" s="3" t="s">
        <v>559</v>
      </c>
      <c r="B58" s="1"/>
    </row>
    <row r="59" spans="1:3" x14ac:dyDescent="0.25">
      <c r="A59" s="3" t="s">
        <v>560</v>
      </c>
      <c r="B59" s="1"/>
    </row>
    <row r="60" spans="1:3" x14ac:dyDescent="0.25">
      <c r="A60" s="3" t="s">
        <v>561</v>
      </c>
      <c r="B60" s="1"/>
    </row>
    <row r="61" spans="1:3" x14ac:dyDescent="0.25">
      <c r="A61" s="3"/>
      <c r="B61" s="3"/>
      <c r="C61" s="3"/>
    </row>
    <row r="62" spans="1:3" x14ac:dyDescent="0.25">
      <c r="A62" s="3" t="s">
        <v>562</v>
      </c>
      <c r="B62" s="1"/>
      <c r="C62" s="3"/>
    </row>
    <row r="63" spans="1:3" x14ac:dyDescent="0.25">
      <c r="A63" s="3"/>
      <c r="B63" s="1"/>
      <c r="C63" s="1"/>
    </row>
    <row r="64" spans="1:3" x14ac:dyDescent="0.25">
      <c r="A64" s="3" t="s">
        <v>563</v>
      </c>
      <c r="B64" s="1"/>
      <c r="C64" s="1"/>
    </row>
    <row r="66" spans="1:4" x14ac:dyDescent="0.25">
      <c r="A66" s="3" t="s">
        <v>564</v>
      </c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3" t="s">
        <v>565</v>
      </c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 t="s">
        <v>566</v>
      </c>
      <c r="C70" s="1"/>
      <c r="D70" s="1"/>
    </row>
    <row r="71" spans="1:4" x14ac:dyDescent="0.25">
      <c r="A71" s="1"/>
      <c r="B71" s="46" t="s">
        <v>567</v>
      </c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 t="s">
        <v>568</v>
      </c>
      <c r="C73" s="1"/>
      <c r="D73" s="1"/>
    </row>
    <row r="74" spans="1:4" x14ac:dyDescent="0.25">
      <c r="A74" s="1"/>
      <c r="B74" s="1" t="s">
        <v>569</v>
      </c>
      <c r="C74" s="1"/>
      <c r="D74" s="1"/>
    </row>
    <row r="75" spans="1:4" x14ac:dyDescent="0.25">
      <c r="A75" s="1"/>
      <c r="B75" s="1" t="s">
        <v>570</v>
      </c>
      <c r="C75" s="1"/>
      <c r="D75" s="1"/>
    </row>
    <row r="76" spans="1:4" x14ac:dyDescent="0.25">
      <c r="A76" s="1"/>
      <c r="B76" s="1" t="s">
        <v>571</v>
      </c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 t="s">
        <v>572</v>
      </c>
      <c r="C78" s="1"/>
      <c r="D78" s="1"/>
    </row>
    <row r="79" spans="1:4" x14ac:dyDescent="0.25">
      <c r="A79" s="1"/>
      <c r="B79" s="1" t="s">
        <v>573</v>
      </c>
      <c r="C79" s="1"/>
      <c r="D79" s="1"/>
    </row>
    <row r="80" spans="1:4" x14ac:dyDescent="0.25">
      <c r="A80" s="1"/>
      <c r="B80" s="1" t="s">
        <v>574</v>
      </c>
      <c r="C80" s="1"/>
      <c r="D80" s="1"/>
    </row>
    <row r="81" spans="1:14" x14ac:dyDescent="0.25">
      <c r="A81" s="1" t="s">
        <v>43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4" t="s">
        <v>271</v>
      </c>
      <c r="B82" s="18">
        <v>1</v>
      </c>
      <c r="C82" s="1" t="s">
        <v>46</v>
      </c>
      <c r="D82" s="1" t="s">
        <v>575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4" t="s">
        <v>248</v>
      </c>
      <c r="B83" s="18">
        <v>0.05</v>
      </c>
      <c r="C83" s="1" t="s">
        <v>212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4" t="s">
        <v>576</v>
      </c>
      <c r="B84" s="18">
        <v>6.5</v>
      </c>
      <c r="C84" s="1" t="s">
        <v>52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4" t="s">
        <v>55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4" t="s">
        <v>577</v>
      </c>
      <c r="B87" s="19">
        <f>(125+B83)*B84*B82/45</f>
        <v>18.062777777777775</v>
      </c>
      <c r="C87" s="1" t="s">
        <v>52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3" t="s">
        <v>578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 t="s">
        <v>579</v>
      </c>
      <c r="C91" s="1"/>
      <c r="D91" s="1"/>
      <c r="E91" s="1"/>
      <c r="F91" s="16" t="s">
        <v>580</v>
      </c>
      <c r="G91" s="1" t="s">
        <v>581</v>
      </c>
      <c r="H91" s="18">
        <f>SUM(N92:N107)</f>
        <v>1</v>
      </c>
      <c r="I91" s="1"/>
      <c r="J91" s="1"/>
      <c r="K91" s="1"/>
      <c r="L91" s="115" t="s">
        <v>582</v>
      </c>
      <c r="M91" s="115" t="s">
        <v>583</v>
      </c>
      <c r="N91" s="116" t="s">
        <v>584</v>
      </c>
    </row>
    <row r="92" spans="1:14" x14ac:dyDescent="0.25">
      <c r="A92" s="1"/>
      <c r="B92" s="1" t="s">
        <v>585</v>
      </c>
      <c r="C92" s="1"/>
      <c r="D92" s="1"/>
      <c r="E92" s="1"/>
      <c r="F92" s="1"/>
      <c r="G92" s="1"/>
      <c r="H92" s="1"/>
      <c r="I92" s="1"/>
      <c r="J92" s="1"/>
      <c r="K92" s="1"/>
      <c r="L92" s="115">
        <v>0</v>
      </c>
      <c r="M92" s="115">
        <v>1</v>
      </c>
      <c r="N92" s="115">
        <f>IF(L91&lt;=$B$120,IF(L92&gt;$B$120,M92-(((L92-$B$120)*(M92-M91))/(L92-L91)),0),0)</f>
        <v>0</v>
      </c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15">
        <v>2</v>
      </c>
      <c r="M93" s="115">
        <v>1</v>
      </c>
      <c r="N93" s="115">
        <f t="shared" ref="N93:N107" si="0">IF(L92&lt;=$B$120,IF(L93&gt;$B$120,M93-(((L93-$B$120)*(M93-M92))/(L93-L92)),0),0)</f>
        <v>1</v>
      </c>
    </row>
    <row r="94" spans="1:14" x14ac:dyDescent="0.25">
      <c r="A94" s="1"/>
      <c r="B94" s="1" t="s">
        <v>586</v>
      </c>
      <c r="C94" s="1"/>
      <c r="D94" s="1"/>
      <c r="E94" s="1"/>
      <c r="F94" s="1"/>
      <c r="G94" s="1"/>
      <c r="H94" s="1"/>
      <c r="I94" s="1"/>
      <c r="J94" s="1"/>
      <c r="K94" s="1"/>
      <c r="L94" s="115">
        <f t="shared" ref="L94:L102" si="1">L93+2</f>
        <v>4</v>
      </c>
      <c r="M94" s="115">
        <v>0.99</v>
      </c>
      <c r="N94" s="115">
        <f t="shared" si="0"/>
        <v>0</v>
      </c>
    </row>
    <row r="95" spans="1:14" x14ac:dyDescent="0.25">
      <c r="A95" s="1"/>
      <c r="B95" s="1" t="s">
        <v>587</v>
      </c>
      <c r="C95" s="1"/>
      <c r="D95" s="1"/>
      <c r="E95" s="1"/>
      <c r="F95" s="1"/>
      <c r="G95" s="1"/>
      <c r="H95" s="1"/>
      <c r="I95" s="1"/>
      <c r="J95" s="1"/>
      <c r="K95" s="1"/>
      <c r="L95" s="115">
        <f t="shared" si="1"/>
        <v>6</v>
      </c>
      <c r="M95" s="115">
        <v>0.98</v>
      </c>
      <c r="N95" s="115">
        <f t="shared" si="0"/>
        <v>0</v>
      </c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15">
        <f t="shared" si="1"/>
        <v>8</v>
      </c>
      <c r="M96" s="115">
        <v>0.97</v>
      </c>
      <c r="N96" s="115">
        <f t="shared" si="0"/>
        <v>0</v>
      </c>
    </row>
    <row r="97" spans="1:14" x14ac:dyDescent="0.25">
      <c r="A97" s="1"/>
      <c r="B97" s="1" t="s">
        <v>588</v>
      </c>
      <c r="C97" s="1"/>
      <c r="D97" s="1"/>
      <c r="E97" s="1"/>
      <c r="F97" s="1"/>
      <c r="G97" s="1"/>
      <c r="H97" s="1"/>
      <c r="I97" s="1"/>
      <c r="J97" s="1"/>
      <c r="K97" s="1"/>
      <c r="L97" s="115">
        <f t="shared" si="1"/>
        <v>10</v>
      </c>
      <c r="M97" s="115">
        <v>0.95</v>
      </c>
      <c r="N97" s="115">
        <f t="shared" si="0"/>
        <v>0</v>
      </c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15">
        <f t="shared" si="1"/>
        <v>12</v>
      </c>
      <c r="M98" s="115">
        <v>0.93</v>
      </c>
      <c r="N98" s="115">
        <f t="shared" si="0"/>
        <v>0</v>
      </c>
    </row>
    <row r="99" spans="1:14" x14ac:dyDescent="0.25">
      <c r="A99" s="1"/>
      <c r="B99" s="1" t="s">
        <v>589</v>
      </c>
      <c r="C99" s="1"/>
      <c r="D99" s="1"/>
      <c r="E99" s="1"/>
      <c r="F99" s="1"/>
      <c r="G99" s="1"/>
      <c r="H99" s="1"/>
      <c r="I99" s="1"/>
      <c r="J99" s="1"/>
      <c r="K99" s="1"/>
      <c r="L99" s="115">
        <f>L98+2</f>
        <v>14</v>
      </c>
      <c r="M99" s="115">
        <v>0.91</v>
      </c>
      <c r="N99" s="115">
        <f t="shared" si="0"/>
        <v>0</v>
      </c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15">
        <f t="shared" si="1"/>
        <v>16</v>
      </c>
      <c r="M100" s="115">
        <v>0.89</v>
      </c>
      <c r="N100" s="115">
        <f t="shared" si="0"/>
        <v>0</v>
      </c>
    </row>
    <row r="101" spans="1:14" x14ac:dyDescent="0.25">
      <c r="A101" s="1"/>
      <c r="B101" s="1" t="s">
        <v>590</v>
      </c>
      <c r="C101" s="1"/>
      <c r="D101" s="1"/>
      <c r="E101" s="1"/>
      <c r="F101" s="1"/>
      <c r="G101" s="1"/>
      <c r="H101" s="1"/>
      <c r="I101" s="1" t="s">
        <v>591</v>
      </c>
      <c r="J101" s="1"/>
      <c r="K101" s="1"/>
      <c r="L101" s="115">
        <f t="shared" si="1"/>
        <v>18</v>
      </c>
      <c r="M101" s="115">
        <v>0.85</v>
      </c>
      <c r="N101" s="115">
        <f t="shared" si="0"/>
        <v>0</v>
      </c>
    </row>
    <row r="102" spans="1:14" x14ac:dyDescent="0.25">
      <c r="A102" s="1"/>
      <c r="B102" s="1" t="s">
        <v>592</v>
      </c>
      <c r="C102" s="1"/>
      <c r="D102" s="1"/>
      <c r="E102" s="1"/>
      <c r="F102" s="1"/>
      <c r="G102" s="1"/>
      <c r="H102" s="1"/>
      <c r="I102" s="1"/>
      <c r="J102" s="1"/>
      <c r="K102" s="1"/>
      <c r="L102" s="115">
        <f t="shared" si="1"/>
        <v>20</v>
      </c>
      <c r="M102" s="115">
        <v>0.81</v>
      </c>
      <c r="N102" s="115">
        <f t="shared" si="0"/>
        <v>0</v>
      </c>
    </row>
    <row r="103" spans="1:14" x14ac:dyDescent="0.25">
      <c r="A103" s="1" t="s">
        <v>23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15">
        <v>21</v>
      </c>
      <c r="M103" s="115">
        <v>0.78</v>
      </c>
      <c r="N103" s="115">
        <f t="shared" si="0"/>
        <v>0</v>
      </c>
    </row>
    <row r="104" spans="1:14" x14ac:dyDescent="0.25">
      <c r="A104" s="1"/>
      <c r="B104" s="1" t="s">
        <v>593</v>
      </c>
      <c r="C104" s="1"/>
      <c r="D104" s="1"/>
      <c r="E104" s="1"/>
      <c r="F104" s="1"/>
      <c r="G104" s="1"/>
      <c r="H104" s="1"/>
      <c r="I104" s="1"/>
      <c r="J104" s="1"/>
      <c r="K104" s="1"/>
      <c r="L104" s="115">
        <v>22</v>
      </c>
      <c r="M104" s="115">
        <v>0.76</v>
      </c>
      <c r="N104" s="115">
        <f t="shared" si="0"/>
        <v>0</v>
      </c>
    </row>
    <row r="105" spans="1:14" x14ac:dyDescent="0.25">
      <c r="A105" s="1"/>
      <c r="B105" s="1" t="s">
        <v>594</v>
      </c>
      <c r="C105" s="1"/>
      <c r="D105" s="1"/>
      <c r="E105" s="1"/>
      <c r="F105" s="1"/>
      <c r="G105" s="1"/>
      <c r="H105" s="1"/>
      <c r="I105" s="1"/>
      <c r="J105" s="1"/>
      <c r="K105" s="1"/>
      <c r="L105" s="115">
        <v>23</v>
      </c>
      <c r="M105" s="115">
        <v>0.73</v>
      </c>
      <c r="N105" s="115">
        <f t="shared" si="0"/>
        <v>0</v>
      </c>
    </row>
    <row r="106" spans="1:14" x14ac:dyDescent="0.25">
      <c r="A106" s="1"/>
      <c r="B106" s="1" t="s">
        <v>595</v>
      </c>
      <c r="C106" s="1"/>
      <c r="D106" s="1"/>
      <c r="E106" s="1"/>
      <c r="F106" s="1"/>
      <c r="G106" s="1"/>
      <c r="H106" s="1"/>
      <c r="I106" s="1"/>
      <c r="J106" s="1"/>
      <c r="K106" s="1"/>
      <c r="L106" s="115">
        <v>24</v>
      </c>
      <c r="M106" s="115">
        <v>0.71</v>
      </c>
      <c r="N106" s="115">
        <f t="shared" si="0"/>
        <v>0</v>
      </c>
    </row>
    <row r="107" spans="1:14" x14ac:dyDescent="0.25">
      <c r="A107" s="1"/>
      <c r="B107" s="1" t="s">
        <v>596</v>
      </c>
      <c r="C107" s="1"/>
      <c r="D107" s="1"/>
      <c r="E107" s="1"/>
      <c r="F107" s="1"/>
      <c r="G107" s="1"/>
      <c r="H107" s="1"/>
      <c r="I107" s="1"/>
      <c r="J107" s="1"/>
      <c r="K107" s="1"/>
      <c r="L107" s="115">
        <v>90</v>
      </c>
      <c r="M107" s="115">
        <v>0.71</v>
      </c>
      <c r="N107" s="115">
        <f t="shared" si="0"/>
        <v>0</v>
      </c>
    </row>
    <row r="108" spans="1:14" x14ac:dyDescent="0.25">
      <c r="A108" s="1"/>
      <c r="B108" s="1" t="s">
        <v>597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 t="s">
        <v>598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 t="s">
        <v>599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 t="s">
        <v>600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 t="s">
        <v>601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4" x14ac:dyDescent="0.25">
      <c r="A113" s="1"/>
      <c r="B113" s="1" t="s">
        <v>602</v>
      </c>
      <c r="C113" s="1"/>
    </row>
    <row r="114" spans="1:4" x14ac:dyDescent="0.25">
      <c r="A114" s="1"/>
      <c r="B114" s="1"/>
      <c r="C114" s="1"/>
    </row>
    <row r="115" spans="1:4" x14ac:dyDescent="0.25">
      <c r="A115" s="1" t="s">
        <v>207</v>
      </c>
      <c r="B115" s="1"/>
      <c r="C115" s="1"/>
    </row>
    <row r="116" spans="1:4" x14ac:dyDescent="0.25">
      <c r="A116" s="4" t="s">
        <v>190</v>
      </c>
      <c r="B116" s="18">
        <v>30</v>
      </c>
      <c r="C116" s="1" t="s">
        <v>603</v>
      </c>
    </row>
    <row r="117" spans="1:4" x14ac:dyDescent="0.25">
      <c r="A117" s="4" t="s">
        <v>313</v>
      </c>
      <c r="B117" s="19">
        <f>B116*25.4</f>
        <v>762</v>
      </c>
      <c r="C117" s="1" t="s">
        <v>52</v>
      </c>
    </row>
    <row r="118" spans="1:4" x14ac:dyDescent="0.25">
      <c r="A118" s="4" t="s">
        <v>604</v>
      </c>
      <c r="B118" s="19">
        <f>B117/1000-2*B124/1000</f>
        <v>0.63417999999999997</v>
      </c>
      <c r="C118" s="1" t="s">
        <v>58</v>
      </c>
    </row>
    <row r="119" spans="1:4" x14ac:dyDescent="0.25">
      <c r="A119" s="4" t="s">
        <v>605</v>
      </c>
      <c r="B119" s="19">
        <f>IF(B116=24,228,IF(B116=30,280,IF(B116=36,332,IF(B116=42,385,IF(B116=48,438,IF(B116=54,491,IF(B116=60,544,IF(B116=72,652,0))))))))</f>
        <v>280</v>
      </c>
      <c r="C119" s="1" t="s">
        <v>52</v>
      </c>
    </row>
    <row r="120" spans="1:4" x14ac:dyDescent="0.25">
      <c r="A120" s="4" t="s">
        <v>606</v>
      </c>
      <c r="B120" s="18">
        <v>0</v>
      </c>
      <c r="C120" s="1" t="s">
        <v>172</v>
      </c>
      <c r="D120"/>
    </row>
    <row r="121" spans="1:4" x14ac:dyDescent="0.25">
      <c r="A121" s="4" t="s">
        <v>607</v>
      </c>
      <c r="B121" s="19">
        <v>35</v>
      </c>
      <c r="C121" s="1" t="s">
        <v>172</v>
      </c>
    </row>
    <row r="122" spans="1:4" x14ac:dyDescent="0.25">
      <c r="A122" s="4" t="s">
        <v>608</v>
      </c>
      <c r="B122" s="18">
        <v>30</v>
      </c>
      <c r="C122" s="1" t="s">
        <v>172</v>
      </c>
    </row>
    <row r="123" spans="1:4" x14ac:dyDescent="0.25">
      <c r="A123" s="4" t="s">
        <v>609</v>
      </c>
      <c r="B123" s="18">
        <v>13</v>
      </c>
      <c r="C123" s="1" t="s">
        <v>172</v>
      </c>
    </row>
    <row r="124" spans="1:4" x14ac:dyDescent="0.25">
      <c r="A124" s="4" t="s">
        <v>610</v>
      </c>
      <c r="B124" s="19">
        <f>(0.055*B117+22)*H91</f>
        <v>63.910000000000004</v>
      </c>
      <c r="C124" s="1" t="s">
        <v>52</v>
      </c>
    </row>
    <row r="125" spans="1:4" x14ac:dyDescent="0.25">
      <c r="A125" s="4" t="s">
        <v>611</v>
      </c>
      <c r="B125" s="19">
        <f>B119*0.001+0.01</f>
        <v>0.29000000000000004</v>
      </c>
      <c r="C125" s="1" t="s">
        <v>52</v>
      </c>
    </row>
    <row r="126" spans="1:4" x14ac:dyDescent="0.25">
      <c r="A126" s="4" t="s">
        <v>612</v>
      </c>
      <c r="B126" s="19">
        <f>(B118-B125)*COS(B121*PI()/180)+B125</f>
        <v>0.5719357506033852</v>
      </c>
      <c r="C126" s="1" t="s">
        <v>58</v>
      </c>
    </row>
    <row r="127" spans="1:4" x14ac:dyDescent="0.25">
      <c r="A127" s="1"/>
      <c r="B127" s="1"/>
      <c r="C127" s="1"/>
    </row>
    <row r="128" spans="1:4" x14ac:dyDescent="0.25">
      <c r="A128" s="4" t="s">
        <v>55</v>
      </c>
      <c r="B128" s="1"/>
      <c r="C128" s="1"/>
    </row>
    <row r="129" spans="1:15" x14ac:dyDescent="0.25">
      <c r="A129" s="4" t="s">
        <v>613</v>
      </c>
      <c r="B129" s="19">
        <f>(B125+B126)*(B118-B125)*(SIN(B121*PI()/180))/4+((3.1415*B123)/720-(SIN(2*B123*PI()/180))/8)*POWER(B126/SIN(B123*PI()/180),2)</f>
        <v>5.4984004696255216E-2</v>
      </c>
      <c r="C129" s="1" t="s">
        <v>67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3" t="s">
        <v>614</v>
      </c>
      <c r="B131" s="1"/>
      <c r="C131" s="1"/>
      <c r="D131" s="1"/>
      <c r="E131" s="1"/>
      <c r="F131" s="1"/>
      <c r="G131" s="3" t="s">
        <v>41</v>
      </c>
      <c r="H131" s="1"/>
      <c r="I131" s="1"/>
      <c r="J131" s="1"/>
      <c r="K131" s="1"/>
      <c r="L131" s="1"/>
      <c r="M131" s="3" t="s">
        <v>615</v>
      </c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 t="s">
        <v>616</v>
      </c>
      <c r="C133" s="1"/>
      <c r="D133" s="1"/>
      <c r="E133" s="1"/>
      <c r="F133" s="1"/>
      <c r="G133" s="1"/>
      <c r="H133" s="1" t="s">
        <v>616</v>
      </c>
      <c r="I133" s="1"/>
      <c r="J133" s="1"/>
      <c r="K133" s="1"/>
      <c r="L133" s="1"/>
      <c r="M133" s="1"/>
      <c r="N133" s="1" t="s">
        <v>616</v>
      </c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 t="s">
        <v>617</v>
      </c>
      <c r="C135" s="1"/>
      <c r="D135" s="1"/>
      <c r="E135" s="1"/>
      <c r="F135" s="1"/>
      <c r="G135" s="1"/>
      <c r="H135" s="1" t="s">
        <v>617</v>
      </c>
      <c r="I135" s="1"/>
      <c r="J135" s="1"/>
      <c r="K135" s="1"/>
      <c r="L135" s="1"/>
      <c r="M135" s="1"/>
      <c r="N135" s="1" t="s">
        <v>617</v>
      </c>
      <c r="O135" s="1"/>
    </row>
    <row r="136" spans="1:15" x14ac:dyDescent="0.25">
      <c r="A136" s="1"/>
      <c r="B136" s="1" t="s">
        <v>618</v>
      </c>
      <c r="C136" s="1"/>
      <c r="D136" s="1"/>
      <c r="E136" s="1"/>
      <c r="F136" s="1"/>
      <c r="G136" s="1"/>
      <c r="H136" s="1" t="s">
        <v>618</v>
      </c>
      <c r="I136" s="1"/>
      <c r="J136" s="1"/>
      <c r="K136" s="1"/>
      <c r="L136" s="1"/>
      <c r="M136" s="1"/>
      <c r="N136" s="1" t="s">
        <v>618</v>
      </c>
      <c r="O136" s="1"/>
    </row>
    <row r="137" spans="1:15" x14ac:dyDescent="0.25">
      <c r="A137" s="1"/>
      <c r="B137" s="1" t="s">
        <v>619</v>
      </c>
      <c r="C137" s="1"/>
      <c r="D137" s="1"/>
      <c r="E137" s="1"/>
      <c r="F137" s="1"/>
      <c r="G137" s="1"/>
      <c r="H137" s="1" t="s">
        <v>619</v>
      </c>
      <c r="I137" s="1"/>
      <c r="J137" s="1"/>
      <c r="K137" s="1"/>
      <c r="L137" s="1"/>
      <c r="M137" s="1"/>
      <c r="N137" s="1" t="s">
        <v>619</v>
      </c>
      <c r="O137" s="1"/>
    </row>
    <row r="138" spans="1:15" x14ac:dyDescent="0.25">
      <c r="A138" s="1" t="s">
        <v>91</v>
      </c>
      <c r="B138" s="1"/>
      <c r="C138" s="1"/>
      <c r="D138" s="1"/>
      <c r="E138" s="1"/>
      <c r="F138" s="1"/>
      <c r="G138" s="1" t="s">
        <v>91</v>
      </c>
      <c r="H138" s="1"/>
      <c r="I138" s="1"/>
      <c r="J138" s="1"/>
      <c r="K138" s="1"/>
      <c r="L138" s="1"/>
      <c r="M138" s="1" t="s">
        <v>91</v>
      </c>
      <c r="N138" s="1"/>
      <c r="O138" s="1"/>
    </row>
    <row r="139" spans="1:15" x14ac:dyDescent="0.25">
      <c r="A139" s="4" t="s">
        <v>26</v>
      </c>
      <c r="B139" s="18">
        <v>1.08</v>
      </c>
      <c r="C139" s="1" t="s">
        <v>48</v>
      </c>
      <c r="D139" s="1"/>
      <c r="E139" s="1"/>
      <c r="F139" s="1"/>
      <c r="G139" s="4" t="s">
        <v>26</v>
      </c>
      <c r="H139" s="19">
        <f>B139</f>
        <v>1.08</v>
      </c>
      <c r="I139" s="1" t="s">
        <v>48</v>
      </c>
      <c r="J139" s="1"/>
      <c r="K139" s="1"/>
      <c r="L139" s="1"/>
      <c r="M139" s="4" t="s">
        <v>26</v>
      </c>
      <c r="N139" s="19">
        <f>H139</f>
        <v>1.08</v>
      </c>
      <c r="O139" s="1" t="s">
        <v>48</v>
      </c>
    </row>
    <row r="140" spans="1:15" x14ac:dyDescent="0.25">
      <c r="A140" s="4" t="s">
        <v>620</v>
      </c>
      <c r="B140" s="18">
        <v>90</v>
      </c>
      <c r="C140" s="1" t="s">
        <v>212</v>
      </c>
      <c r="D140" s="1"/>
      <c r="E140" s="1"/>
      <c r="F140" s="1"/>
      <c r="G140" s="4" t="s">
        <v>620</v>
      </c>
      <c r="H140" s="19">
        <v>100</v>
      </c>
      <c r="I140" s="1" t="s">
        <v>212</v>
      </c>
      <c r="J140" s="1"/>
      <c r="K140" s="1"/>
      <c r="L140" s="1"/>
      <c r="M140" s="4" t="s">
        <v>620</v>
      </c>
      <c r="N140" s="19">
        <v>90</v>
      </c>
      <c r="O140" s="1" t="s">
        <v>212</v>
      </c>
    </row>
    <row r="141" spans="1:15" x14ac:dyDescent="0.25">
      <c r="A141" s="4" t="s">
        <v>621</v>
      </c>
      <c r="B141" s="18">
        <v>1</v>
      </c>
      <c r="C141" s="1" t="s">
        <v>51</v>
      </c>
      <c r="D141" s="1"/>
      <c r="E141" s="1"/>
      <c r="F141" s="1"/>
      <c r="G141" s="4" t="s">
        <v>621</v>
      </c>
      <c r="H141" s="18">
        <v>1.4</v>
      </c>
      <c r="I141" s="1" t="s">
        <v>51</v>
      </c>
      <c r="J141" s="1"/>
      <c r="K141" s="1"/>
      <c r="L141" s="1"/>
      <c r="M141" s="4" t="s">
        <v>621</v>
      </c>
      <c r="N141" s="18">
        <v>1.1100000000000001</v>
      </c>
      <c r="O141" s="1" t="s">
        <v>51</v>
      </c>
    </row>
    <row r="142" spans="1:15" x14ac:dyDescent="0.25">
      <c r="A142" s="4" t="s">
        <v>622</v>
      </c>
      <c r="B142" s="19">
        <f>B129</f>
        <v>5.4984004696255216E-2</v>
      </c>
      <c r="C142" s="1" t="s">
        <v>67</v>
      </c>
      <c r="D142" s="1"/>
      <c r="E142" s="1"/>
      <c r="F142" s="1"/>
      <c r="G142" s="4" t="s">
        <v>622</v>
      </c>
      <c r="H142" s="19">
        <f>B142</f>
        <v>5.4984004696255216E-2</v>
      </c>
      <c r="I142" s="1" t="s">
        <v>67</v>
      </c>
      <c r="J142" s="1"/>
      <c r="K142" s="1"/>
      <c r="L142" s="1"/>
      <c r="M142" s="4" t="s">
        <v>622</v>
      </c>
      <c r="N142" s="19">
        <f>H142</f>
        <v>5.4984004696255216E-2</v>
      </c>
      <c r="O142" s="1" t="s">
        <v>67</v>
      </c>
    </row>
    <row r="143" spans="1:15" x14ac:dyDescent="0.25">
      <c r="A143" s="1" t="s">
        <v>623</v>
      </c>
      <c r="B143" s="1"/>
      <c r="C143" s="1"/>
      <c r="D143" s="1"/>
      <c r="E143" s="1"/>
      <c r="F143" s="1"/>
      <c r="G143" s="1" t="s">
        <v>623</v>
      </c>
      <c r="H143" s="1"/>
      <c r="I143" s="1"/>
      <c r="J143" s="1"/>
      <c r="K143" s="1"/>
      <c r="L143" s="1"/>
      <c r="M143" s="1" t="s">
        <v>623</v>
      </c>
      <c r="N143" s="1"/>
      <c r="O143" s="1"/>
    </row>
    <row r="144" spans="1:15" x14ac:dyDescent="0.25">
      <c r="A144" s="4" t="s">
        <v>624</v>
      </c>
      <c r="B144" s="17">
        <f>3600*B142*B140%*B141*B139</f>
        <v>192.40002923313625</v>
      </c>
      <c r="C144" s="1" t="s">
        <v>56</v>
      </c>
      <c r="D144" s="1"/>
      <c r="E144" s="1"/>
      <c r="F144" s="1"/>
      <c r="G144" s="4" t="s">
        <v>624</v>
      </c>
      <c r="H144" s="43">
        <f>3600*H142*H140%*H141*H139</f>
        <v>299.28893436265645</v>
      </c>
      <c r="I144" s="1" t="s">
        <v>57</v>
      </c>
      <c r="J144" s="1"/>
      <c r="K144" s="33">
        <f>H144/N144</f>
        <v>1.4014014014014013</v>
      </c>
      <c r="L144" s="1"/>
      <c r="M144" s="4" t="s">
        <v>624</v>
      </c>
      <c r="N144" s="19">
        <f>3600*N142*N140%*N141*N139</f>
        <v>213.56403244878129</v>
      </c>
      <c r="O144" s="1" t="s">
        <v>57</v>
      </c>
    </row>
    <row r="147" spans="1:3" x14ac:dyDescent="0.25">
      <c r="A147" s="3" t="s">
        <v>625</v>
      </c>
      <c r="B147" s="1"/>
      <c r="C147" s="1"/>
    </row>
    <row r="148" spans="1:3" x14ac:dyDescent="0.25">
      <c r="A148" s="3"/>
      <c r="B148" s="1"/>
      <c r="C148" s="1"/>
    </row>
    <row r="149" spans="1:3" ht="13.8" x14ac:dyDescent="0.25">
      <c r="A149" s="58" t="s">
        <v>626</v>
      </c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 t="s">
        <v>627</v>
      </c>
      <c r="C151" s="1"/>
    </row>
    <row r="152" spans="1:3" x14ac:dyDescent="0.25">
      <c r="A152" s="1"/>
      <c r="B152" s="1" t="s">
        <v>628</v>
      </c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 t="s">
        <v>629</v>
      </c>
      <c r="C154" s="1"/>
    </row>
    <row r="155" spans="1:3" x14ac:dyDescent="0.25">
      <c r="A155" s="1"/>
      <c r="B155" s="1" t="s">
        <v>630</v>
      </c>
      <c r="C155" s="1"/>
    </row>
    <row r="156" spans="1:3" x14ac:dyDescent="0.25">
      <c r="A156" s="1"/>
      <c r="B156" s="1" t="s">
        <v>631</v>
      </c>
      <c r="C156" s="1"/>
    </row>
    <row r="157" spans="1:3" x14ac:dyDescent="0.25">
      <c r="A157" s="1"/>
      <c r="B157" s="1" t="s">
        <v>632</v>
      </c>
      <c r="C157" s="1"/>
    </row>
    <row r="158" spans="1:3" x14ac:dyDescent="0.25">
      <c r="A158" s="1" t="s">
        <v>207</v>
      </c>
      <c r="B158" s="1"/>
      <c r="C158" s="1"/>
    </row>
    <row r="159" spans="1:3" x14ac:dyDescent="0.25">
      <c r="A159" s="4" t="s">
        <v>633</v>
      </c>
      <c r="B159" s="19">
        <f>B139</f>
        <v>1.08</v>
      </c>
      <c r="C159" s="1" t="s">
        <v>48</v>
      </c>
    </row>
    <row r="160" spans="1:3" x14ac:dyDescent="0.25">
      <c r="A160" s="4" t="s">
        <v>624</v>
      </c>
      <c r="B160" s="43">
        <f>H144</f>
        <v>299.28893436265645</v>
      </c>
      <c r="C160" s="1" t="s">
        <v>57</v>
      </c>
    </row>
    <row r="161" spans="1:7" x14ac:dyDescent="0.25">
      <c r="A161" s="4" t="s">
        <v>634</v>
      </c>
      <c r="B161" s="18">
        <v>0</v>
      </c>
      <c r="C161" s="1" t="s">
        <v>48</v>
      </c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 t="s">
        <v>394</v>
      </c>
      <c r="B163" s="1"/>
      <c r="C163" s="1"/>
      <c r="D163" s="1"/>
      <c r="E163" s="1"/>
      <c r="F163" s="1"/>
      <c r="G163" s="1"/>
    </row>
    <row r="164" spans="1:7" x14ac:dyDescent="0.25">
      <c r="A164" s="4" t="s">
        <v>635</v>
      </c>
      <c r="B164" s="19">
        <f>B160*((B159*B159)-(B161*B161))/(3.6*B159)</f>
        <v>89.786680308796946</v>
      </c>
      <c r="C164" s="1" t="s">
        <v>133</v>
      </c>
      <c r="D164" s="1"/>
      <c r="E164" s="1"/>
      <c r="F164" s="1"/>
      <c r="G164" s="1"/>
    </row>
    <row r="165" spans="1:7" x14ac:dyDescent="0.25">
      <c r="A165" s="3"/>
      <c r="B165" s="1"/>
      <c r="C165" s="1"/>
      <c r="D165" s="1"/>
      <c r="E165" s="1"/>
      <c r="F165" s="1"/>
      <c r="G165" s="1"/>
    </row>
    <row r="166" spans="1:7" x14ac:dyDescent="0.25">
      <c r="A166" s="3"/>
      <c r="B166" s="1"/>
      <c r="C166" s="1"/>
      <c r="D166" s="1"/>
      <c r="E166" s="1"/>
      <c r="F166" s="1"/>
      <c r="G166" s="1"/>
    </row>
    <row r="167" spans="1:7" ht="13.8" x14ac:dyDescent="0.25">
      <c r="A167" s="58" t="s">
        <v>636</v>
      </c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 t="s">
        <v>637</v>
      </c>
      <c r="C169" s="1"/>
      <c r="D169" s="1"/>
      <c r="E169" s="1"/>
      <c r="F169" s="1"/>
      <c r="G169" s="1"/>
    </row>
    <row r="170" spans="1:7" x14ac:dyDescent="0.25">
      <c r="A170" s="1"/>
      <c r="B170" s="1" t="s">
        <v>638</v>
      </c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 t="s">
        <v>639</v>
      </c>
      <c r="C172" s="1"/>
      <c r="D172" s="1"/>
      <c r="E172" s="1"/>
      <c r="F172" s="1"/>
      <c r="G172" s="1"/>
    </row>
    <row r="173" spans="1:7" x14ac:dyDescent="0.25">
      <c r="A173" s="4" t="s">
        <v>23</v>
      </c>
      <c r="B173" s="1"/>
      <c r="C173" s="1"/>
      <c r="D173" s="1"/>
      <c r="E173" s="1"/>
      <c r="F173" s="1"/>
      <c r="G173" s="1"/>
    </row>
    <row r="174" spans="1:7" x14ac:dyDescent="0.25">
      <c r="A174" s="1"/>
      <c r="B174" s="1" t="s">
        <v>640</v>
      </c>
      <c r="C174" s="1"/>
      <c r="D174" s="1"/>
      <c r="E174" s="1"/>
      <c r="F174" s="1"/>
      <c r="G174" s="1"/>
    </row>
    <row r="175" spans="1:7" x14ac:dyDescent="0.25">
      <c r="A175" s="1"/>
      <c r="B175" s="1" t="s">
        <v>641</v>
      </c>
      <c r="C175" s="1"/>
      <c r="D175" s="1"/>
      <c r="E175" s="1"/>
      <c r="F175" s="1"/>
      <c r="G175" s="1"/>
    </row>
    <row r="176" spans="1:7" x14ac:dyDescent="0.25">
      <c r="A176" s="1"/>
      <c r="B176" s="1" t="s">
        <v>642</v>
      </c>
      <c r="C176" s="1"/>
      <c r="D176" s="1"/>
      <c r="E176" s="1"/>
      <c r="F176" s="1"/>
      <c r="G176" s="1"/>
    </row>
    <row r="177" spans="1:7" x14ac:dyDescent="0.25">
      <c r="A177" s="1"/>
      <c r="B177" s="1" t="s">
        <v>643</v>
      </c>
      <c r="C177" s="1"/>
      <c r="D177" s="1"/>
      <c r="E177" s="1"/>
      <c r="F177" s="1"/>
      <c r="G177" s="1"/>
    </row>
    <row r="178" spans="1:7" x14ac:dyDescent="0.25">
      <c r="A178" s="1"/>
      <c r="B178" s="52" t="s">
        <v>644</v>
      </c>
      <c r="C178" s="1"/>
      <c r="D178" s="1"/>
      <c r="E178" s="1"/>
      <c r="F178" s="1"/>
      <c r="G178" s="1"/>
    </row>
    <row r="179" spans="1:7" x14ac:dyDescent="0.25">
      <c r="A179" s="1"/>
      <c r="B179" s="1" t="s">
        <v>645</v>
      </c>
      <c r="C179" s="1"/>
      <c r="D179" s="1"/>
      <c r="E179" s="1"/>
      <c r="F179" s="1"/>
      <c r="G179" s="1"/>
    </row>
    <row r="180" spans="1:7" x14ac:dyDescent="0.25">
      <c r="A180" s="1" t="s">
        <v>91</v>
      </c>
      <c r="B180" s="1"/>
      <c r="C180" s="1"/>
      <c r="D180" s="1"/>
      <c r="E180" s="1"/>
      <c r="F180" s="1"/>
      <c r="G180" s="1"/>
    </row>
    <row r="181" spans="1:7" x14ac:dyDescent="0.25">
      <c r="A181" s="4" t="s">
        <v>646</v>
      </c>
      <c r="B181" s="19">
        <f>B184*(1-SIN(B185*PI()/180))/(2.3*(1+SIN(B185*PI()/180)))</f>
        <v>0.20289855072463769</v>
      </c>
      <c r="C181" s="1" t="s">
        <v>46</v>
      </c>
      <c r="D181" s="1" t="s">
        <v>647</v>
      </c>
      <c r="E181" s="9" t="s">
        <v>648</v>
      </c>
      <c r="F181" s="9" t="s">
        <v>649</v>
      </c>
      <c r="G181" s="1" t="s">
        <v>650</v>
      </c>
    </row>
    <row r="182" spans="1:7" x14ac:dyDescent="0.25">
      <c r="A182" s="4" t="s">
        <v>651</v>
      </c>
      <c r="B182" s="18">
        <v>1.5</v>
      </c>
      <c r="C182" s="1" t="s">
        <v>58</v>
      </c>
      <c r="D182" s="1"/>
      <c r="E182" s="9">
        <v>0</v>
      </c>
      <c r="F182" s="9">
        <v>20</v>
      </c>
      <c r="G182" s="1"/>
    </row>
    <row r="183" spans="1:7" x14ac:dyDescent="0.25">
      <c r="A183" s="4" t="s">
        <v>190</v>
      </c>
      <c r="B183" s="19">
        <f>B116</f>
        <v>30</v>
      </c>
      <c r="C183" s="1" t="s">
        <v>603</v>
      </c>
      <c r="D183" s="1"/>
      <c r="E183" s="1"/>
      <c r="F183" s="1"/>
      <c r="G183" s="1"/>
    </row>
    <row r="184" spans="1:7" x14ac:dyDescent="0.25">
      <c r="A184" s="53" t="s">
        <v>652</v>
      </c>
      <c r="B184" s="19">
        <f>H141</f>
        <v>1.4</v>
      </c>
      <c r="C184" s="1" t="s">
        <v>51</v>
      </c>
      <c r="D184" s="1"/>
      <c r="E184" s="1"/>
      <c r="F184" s="1"/>
      <c r="G184" s="1"/>
    </row>
    <row r="185" spans="1:7" x14ac:dyDescent="0.25">
      <c r="A185" s="4" t="s">
        <v>653</v>
      </c>
      <c r="B185" s="18">
        <v>30</v>
      </c>
      <c r="C185" s="1" t="s">
        <v>172</v>
      </c>
      <c r="D185" s="1"/>
      <c r="E185" s="1"/>
      <c r="F185" s="1"/>
      <c r="G185" s="1"/>
    </row>
    <row r="186" spans="1:7" x14ac:dyDescent="0.25">
      <c r="A186" s="4"/>
      <c r="B186" s="1"/>
      <c r="C186" s="1"/>
      <c r="D186" s="1"/>
      <c r="E186" s="1"/>
      <c r="F186" s="1"/>
      <c r="G186" s="1"/>
    </row>
    <row r="187" spans="1:7" x14ac:dyDescent="0.25">
      <c r="A187" s="38" t="s">
        <v>116</v>
      </c>
      <c r="B187" s="1"/>
      <c r="C187" s="1"/>
      <c r="D187" s="1"/>
      <c r="E187" s="1"/>
      <c r="F187" s="1"/>
      <c r="G187" s="1"/>
    </row>
    <row r="188" spans="1:7" x14ac:dyDescent="0.25">
      <c r="A188" s="4" t="s">
        <v>654</v>
      </c>
      <c r="B188" s="19">
        <f>(0.01488*B181*B182*B183*B183+8.92*B182)+(IF(E182=1,F182,0))*(0.01488*B181*B182*B183+8.92*B182)</f>
        <v>17.45582608695652</v>
      </c>
      <c r="C188" s="1" t="s">
        <v>133</v>
      </c>
      <c r="D188" s="117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4"/>
      <c r="B191" s="1"/>
      <c r="C191" s="1"/>
      <c r="D191" s="1"/>
      <c r="E191" s="1"/>
      <c r="F191" s="1"/>
      <c r="G191" s="1"/>
    </row>
    <row r="192" spans="1:7" ht="13.8" x14ac:dyDescent="0.25">
      <c r="A192" s="58" t="s">
        <v>655</v>
      </c>
      <c r="B192"/>
      <c r="C192" s="118"/>
      <c r="D192" s="118"/>
      <c r="E192" s="118"/>
      <c r="F192" s="118"/>
      <c r="G192" s="118"/>
    </row>
    <row r="194" spans="1:13" x14ac:dyDescent="0.25">
      <c r="A194" s="119"/>
      <c r="C194" s="1" t="s">
        <v>656</v>
      </c>
      <c r="D194" s="1"/>
      <c r="E194" s="118"/>
      <c r="F194" s="118"/>
      <c r="G194" s="118"/>
      <c r="H194" s="118"/>
      <c r="I194" s="118"/>
      <c r="J194" s="118"/>
      <c r="K194" s="1"/>
      <c r="L194" s="1"/>
      <c r="M194" s="1"/>
    </row>
    <row r="195" spans="1:13" x14ac:dyDescent="0.25">
      <c r="A195" s="119"/>
      <c r="C195" s="1" t="s">
        <v>657</v>
      </c>
      <c r="D195" s="1"/>
      <c r="E195" s="118"/>
      <c r="F195" s="118"/>
      <c r="G195" s="118"/>
      <c r="H195" s="118"/>
      <c r="I195" s="118"/>
      <c r="J195" s="118"/>
      <c r="K195" s="1"/>
      <c r="L195" s="1"/>
      <c r="M195" s="1"/>
    </row>
    <row r="196" spans="1:13" x14ac:dyDescent="0.25">
      <c r="A196" s="119"/>
      <c r="C196" s="1"/>
      <c r="D196" s="1"/>
      <c r="E196" s="1"/>
      <c r="F196" s="1"/>
      <c r="G196" s="1"/>
      <c r="H196" s="1"/>
      <c r="I196" s="118"/>
      <c r="J196" s="118"/>
      <c r="K196" s="1"/>
      <c r="L196" s="1"/>
      <c r="M196" s="1"/>
    </row>
    <row r="197" spans="1:13" x14ac:dyDescent="0.25">
      <c r="A197" s="119"/>
      <c r="C197" s="52" t="s">
        <v>658</v>
      </c>
      <c r="D197" s="118"/>
      <c r="E197" s="1"/>
      <c r="F197" s="1"/>
      <c r="G197" s="1"/>
      <c r="H197" s="1"/>
      <c r="I197" s="118"/>
      <c r="J197" s="118"/>
      <c r="K197" s="1"/>
      <c r="L197" s="1"/>
      <c r="M197" s="1"/>
    </row>
    <row r="198" spans="1:13" x14ac:dyDescent="0.25">
      <c r="A198" s="119"/>
      <c r="C198" s="52" t="s">
        <v>659</v>
      </c>
      <c r="D198" s="118"/>
      <c r="E198" s="118"/>
      <c r="F198" s="118"/>
      <c r="G198" s="118"/>
      <c r="H198" s="118"/>
      <c r="I198" s="118"/>
      <c r="J198" s="118"/>
      <c r="K198" s="1"/>
      <c r="L198" s="1"/>
      <c r="M198" s="1"/>
    </row>
    <row r="199" spans="1:13" x14ac:dyDescent="0.25">
      <c r="A199" s="119"/>
      <c r="C199" s="1"/>
      <c r="D199" s="1"/>
      <c r="E199" s="118"/>
      <c r="F199" s="118"/>
      <c r="G199" s="118"/>
      <c r="H199" s="118"/>
      <c r="I199" s="118"/>
      <c r="J199" s="118"/>
      <c r="K199" s="1"/>
      <c r="L199" s="1"/>
      <c r="M199" s="1"/>
    </row>
    <row r="200" spans="1:13" ht="15.6" x14ac:dyDescent="0.25">
      <c r="A200" s="119"/>
      <c r="C200" s="120" t="s">
        <v>660</v>
      </c>
      <c r="D200" s="118"/>
      <c r="E200" s="118"/>
      <c r="F200" s="118"/>
      <c r="G200" s="118"/>
      <c r="H200" s="118"/>
      <c r="I200" s="1"/>
      <c r="J200" s="1"/>
      <c r="K200" s="1"/>
      <c r="L200" s="1"/>
      <c r="M200" s="1"/>
    </row>
    <row r="201" spans="1:13" x14ac:dyDescent="0.25">
      <c r="A201" s="119"/>
      <c r="C201" s="118" t="s">
        <v>661</v>
      </c>
      <c r="D201" s="118"/>
      <c r="E201" s="118"/>
      <c r="F201" s="118"/>
      <c r="G201" s="118"/>
      <c r="H201" s="118"/>
      <c r="I201" s="1"/>
      <c r="J201" s="1"/>
      <c r="K201" s="1"/>
      <c r="L201" s="1"/>
      <c r="M201" s="1"/>
    </row>
    <row r="202" spans="1:13" x14ac:dyDescent="0.25">
      <c r="A202" s="119"/>
      <c r="C202" s="1"/>
      <c r="D202" s="118"/>
      <c r="E202" s="118"/>
      <c r="F202" s="1"/>
      <c r="G202" s="1"/>
      <c r="H202" s="118"/>
      <c r="I202" s="118"/>
      <c r="J202" s="118"/>
      <c r="K202" s="118"/>
      <c r="L202" s="118"/>
      <c r="M202" s="118"/>
    </row>
    <row r="203" spans="1:13" x14ac:dyDescent="0.25">
      <c r="A203" s="119"/>
      <c r="C203" s="118" t="s">
        <v>662</v>
      </c>
      <c r="D203" s="1"/>
      <c r="E203" s="1"/>
      <c r="F203" s="1"/>
      <c r="G203" s="1"/>
      <c r="H203" s="118"/>
      <c r="I203" s="118"/>
      <c r="J203" s="118"/>
      <c r="K203" s="1"/>
      <c r="L203" s="1"/>
      <c r="M203" s="1"/>
    </row>
    <row r="204" spans="1:13" x14ac:dyDescent="0.25">
      <c r="A204" s="119"/>
      <c r="C204" s="118"/>
      <c r="D204" s="118"/>
      <c r="E204" s="118"/>
      <c r="F204" s="1"/>
      <c r="G204" s="1"/>
      <c r="H204" s="118"/>
      <c r="I204" s="118"/>
      <c r="J204" s="118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18"/>
      <c r="G205" s="118"/>
      <c r="H205" s="118"/>
      <c r="I205" s="118"/>
      <c r="J205" s="118"/>
      <c r="K205" s="1"/>
      <c r="L205" s="1"/>
      <c r="M205" s="1"/>
    </row>
    <row r="206" spans="1:13" x14ac:dyDescent="0.25">
      <c r="A206" s="1" t="s">
        <v>663</v>
      </c>
      <c r="B206"/>
      <c r="C206" s="118"/>
      <c r="D206" s="118"/>
      <c r="E206" s="118"/>
      <c r="F206" s="118"/>
      <c r="G206" s="118"/>
      <c r="H206" s="118"/>
      <c r="I206" s="118"/>
      <c r="J206" s="118"/>
      <c r="K206" s="1"/>
      <c r="L206" s="1"/>
      <c r="M206" s="1"/>
    </row>
    <row r="207" spans="1:13" x14ac:dyDescent="0.25">
      <c r="A207" s="1" t="s">
        <v>664</v>
      </c>
      <c r="B207" s="118"/>
      <c r="C207" s="118"/>
      <c r="D207" s="118"/>
      <c r="E207" s="118"/>
      <c r="F207" s="118"/>
      <c r="G207" s="118"/>
      <c r="H207" s="118"/>
      <c r="I207" s="118"/>
      <c r="J207" s="118"/>
      <c r="K207" s="1"/>
      <c r="L207" s="1"/>
      <c r="M207" s="1"/>
    </row>
    <row r="208" spans="1:13" x14ac:dyDescent="0.25">
      <c r="A208" s="1" t="s">
        <v>665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251" t="s">
        <v>666</v>
      </c>
      <c r="B209" s="251"/>
      <c r="C209" s="121" t="s">
        <v>667</v>
      </c>
      <c r="D209" s="121" t="s">
        <v>668</v>
      </c>
      <c r="E209" s="121" t="s">
        <v>669</v>
      </c>
      <c r="F209" s="121" t="s">
        <v>670</v>
      </c>
      <c r="G209" s="121" t="s">
        <v>671</v>
      </c>
      <c r="H209" s="121" t="s">
        <v>672</v>
      </c>
      <c r="I209" s="121" t="s">
        <v>673</v>
      </c>
      <c r="J209" s="121" t="s">
        <v>674</v>
      </c>
      <c r="K209" s="121" t="s">
        <v>675</v>
      </c>
      <c r="L209" s="121" t="s">
        <v>676</v>
      </c>
      <c r="M209" s="121" t="s">
        <v>677</v>
      </c>
    </row>
    <row r="210" spans="1:13" x14ac:dyDescent="0.25">
      <c r="A210" s="251" t="s">
        <v>678</v>
      </c>
      <c r="B210" s="251"/>
      <c r="C210" s="121">
        <v>5.2</v>
      </c>
      <c r="D210" s="121">
        <v>6.5</v>
      </c>
      <c r="E210" s="121">
        <v>7.7</v>
      </c>
      <c r="F210" s="121">
        <v>11.9</v>
      </c>
      <c r="G210" s="121">
        <v>14.3</v>
      </c>
      <c r="H210" s="121">
        <v>17.7</v>
      </c>
      <c r="I210" s="121">
        <v>20.2</v>
      </c>
      <c r="J210" s="121">
        <v>26.8</v>
      </c>
      <c r="K210" s="121">
        <v>29.8</v>
      </c>
      <c r="L210" s="121">
        <v>35.700000000000003</v>
      </c>
      <c r="M210" s="121">
        <v>41.6</v>
      </c>
    </row>
    <row r="211" spans="1:13" x14ac:dyDescent="0.25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"/>
    </row>
    <row r="212" spans="1:13" x14ac:dyDescent="0.25">
      <c r="A212" s="1" t="s">
        <v>631</v>
      </c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"/>
    </row>
    <row r="213" spans="1:13" x14ac:dyDescent="0.25">
      <c r="A213" s="1" t="s">
        <v>679</v>
      </c>
      <c r="B213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"/>
    </row>
    <row r="214" spans="1:13" x14ac:dyDescent="0.25">
      <c r="A214" s="1" t="s">
        <v>680</v>
      </c>
      <c r="B214" s="118"/>
      <c r="C214" s="118"/>
      <c r="D214" s="118"/>
      <c r="E214" s="118"/>
      <c r="F214" s="118"/>
      <c r="G214" s="118"/>
      <c r="H214" s="118"/>
      <c r="I214" s="118"/>
      <c r="J214" s="118"/>
      <c r="K214" s="1"/>
      <c r="L214" s="1"/>
      <c r="M214" s="1"/>
    </row>
    <row r="215" spans="1:13" x14ac:dyDescent="0.25">
      <c r="A215" s="1" t="s">
        <v>681</v>
      </c>
      <c r="B215" s="118"/>
      <c r="C215" s="118"/>
      <c r="D215" s="118"/>
      <c r="E215" s="118"/>
      <c r="F215" s="118"/>
      <c r="G215" s="118"/>
      <c r="H215" s="118"/>
      <c r="I215" s="118"/>
      <c r="J215" s="118"/>
      <c r="K215" s="1"/>
      <c r="L215" s="1"/>
      <c r="M215" s="1"/>
    </row>
    <row r="216" spans="1:13" x14ac:dyDescent="0.25">
      <c r="A216" s="1" t="s">
        <v>599</v>
      </c>
      <c r="B216" s="118"/>
      <c r="C216" s="118"/>
      <c r="D216" s="118"/>
      <c r="E216" s="118"/>
      <c r="F216" s="118"/>
      <c r="G216" s="118"/>
      <c r="H216" s="118"/>
      <c r="I216" s="118"/>
      <c r="J216" s="118"/>
      <c r="K216" s="1"/>
      <c r="L216" s="1"/>
      <c r="M216" s="1"/>
    </row>
    <row r="217" spans="1:13" x14ac:dyDescent="0.25">
      <c r="A217" s="1" t="s">
        <v>682</v>
      </c>
      <c r="B217" s="118"/>
      <c r="C217" s="118"/>
      <c r="D217" s="118"/>
      <c r="E217" s="118"/>
      <c r="F217" s="118"/>
      <c r="G217" s="118"/>
      <c r="H217" s="118"/>
      <c r="I217" s="118"/>
      <c r="J217" s="118"/>
      <c r="K217" s="1"/>
      <c r="L217" s="1"/>
      <c r="M217" s="1"/>
    </row>
    <row r="218" spans="1:13" x14ac:dyDescent="0.25">
      <c r="A218" s="1" t="s">
        <v>683</v>
      </c>
      <c r="B218" s="118"/>
      <c r="C218" s="118"/>
      <c r="D218" s="118"/>
      <c r="E218" s="118"/>
      <c r="F218" s="118"/>
      <c r="G218" s="118"/>
      <c r="H218" s="118"/>
      <c r="I218" s="118"/>
      <c r="J218" s="118"/>
      <c r="K218" s="1"/>
      <c r="L218" s="1"/>
      <c r="M218" s="1"/>
    </row>
    <row r="219" spans="1:13" x14ac:dyDescent="0.25">
      <c r="A219" s="1" t="s">
        <v>340</v>
      </c>
      <c r="B219" s="118"/>
      <c r="C219" s="118"/>
      <c r="D219" s="118"/>
      <c r="E219" s="118"/>
      <c r="F219" s="118"/>
      <c r="G219" s="118"/>
      <c r="H219" s="118"/>
      <c r="I219" s="118"/>
      <c r="J219" s="118"/>
      <c r="K219" s="1"/>
      <c r="L219" s="1"/>
      <c r="M219" s="1"/>
    </row>
    <row r="220" spans="1:13" x14ac:dyDescent="0.25">
      <c r="A220" s="1" t="s">
        <v>684</v>
      </c>
      <c r="B220" s="118"/>
      <c r="C220" s="118"/>
      <c r="D220" s="118"/>
      <c r="E220" s="118"/>
      <c r="F220" s="118"/>
      <c r="G220" s="118"/>
      <c r="H220" s="118"/>
      <c r="I220" s="118"/>
      <c r="J220" s="118"/>
      <c r="K220" s="1"/>
      <c r="L220" s="1"/>
      <c r="M220" s="1"/>
    </row>
    <row r="221" spans="1:13" x14ac:dyDescent="0.25">
      <c r="A221" s="1" t="s">
        <v>685</v>
      </c>
      <c r="B221" s="118"/>
      <c r="C221" s="118"/>
      <c r="D221" s="118"/>
      <c r="E221" s="118"/>
      <c r="F221" s="118"/>
      <c r="G221" s="118"/>
      <c r="H221" s="118"/>
      <c r="I221" s="118"/>
      <c r="J221" s="118"/>
      <c r="K221" s="1"/>
      <c r="L221" s="1"/>
      <c r="M221" s="1"/>
    </row>
    <row r="222" spans="1:13" x14ac:dyDescent="0.25">
      <c r="A222" s="1" t="s">
        <v>686</v>
      </c>
      <c r="B222" s="118"/>
      <c r="C222" s="118"/>
      <c r="D222" s="118"/>
      <c r="E222" s="118"/>
      <c r="F222" s="118"/>
      <c r="G222" s="118"/>
      <c r="H222" s="118"/>
      <c r="I222" s="118"/>
      <c r="J222" s="118"/>
      <c r="K222" s="1"/>
      <c r="L222" s="1"/>
      <c r="M222" s="1"/>
    </row>
    <row r="225" spans="1:8" x14ac:dyDescent="0.25">
      <c r="A225" s="1" t="s">
        <v>687</v>
      </c>
      <c r="B225" s="118"/>
      <c r="C225" s="118"/>
      <c r="D225" s="118"/>
      <c r="E225" s="118"/>
      <c r="F225" s="118"/>
      <c r="G225" s="118"/>
      <c r="H225" s="118"/>
    </row>
    <row r="226" spans="1:8" x14ac:dyDescent="0.25">
      <c r="A226" s="1"/>
      <c r="B226" s="118"/>
      <c r="C226" s="118"/>
      <c r="D226" s="118"/>
      <c r="E226" s="118"/>
      <c r="F226" s="118"/>
      <c r="G226" s="118"/>
      <c r="H226" s="118"/>
    </row>
    <row r="227" spans="1:8" x14ac:dyDescent="0.25">
      <c r="A227" s="122" t="s">
        <v>24</v>
      </c>
      <c r="B227" s="43">
        <f>B160</f>
        <v>299.28893436265645</v>
      </c>
      <c r="C227" s="118" t="s">
        <v>57</v>
      </c>
      <c r="D227" s="118"/>
      <c r="E227" s="118"/>
      <c r="F227" s="118"/>
      <c r="G227" s="118"/>
      <c r="H227" s="118"/>
    </row>
    <row r="228" spans="1:8" x14ac:dyDescent="0.25">
      <c r="A228" s="122" t="s">
        <v>26</v>
      </c>
      <c r="B228" s="19">
        <f>B159</f>
        <v>1.08</v>
      </c>
      <c r="C228" s="118" t="s">
        <v>48</v>
      </c>
      <c r="D228" s="118"/>
      <c r="E228" s="118"/>
      <c r="F228" s="118"/>
      <c r="G228" s="118"/>
      <c r="H228" s="118"/>
    </row>
    <row r="229" spans="1:8" x14ac:dyDescent="0.25">
      <c r="A229" s="122" t="s">
        <v>688</v>
      </c>
      <c r="B229" s="19">
        <f>0.277*B227/B228</f>
        <v>76.762069276347987</v>
      </c>
      <c r="C229" s="118" t="s">
        <v>203</v>
      </c>
      <c r="D229" s="118"/>
      <c r="E229" s="118"/>
      <c r="F229" s="118"/>
      <c r="G229" s="118"/>
      <c r="H229" s="118"/>
    </row>
    <row r="230" spans="1:8" x14ac:dyDescent="0.25">
      <c r="A230" s="1"/>
      <c r="B230" s="118"/>
      <c r="C230" s="118"/>
      <c r="D230" s="118"/>
      <c r="E230" s="118"/>
      <c r="F230" s="118"/>
      <c r="G230" s="118"/>
      <c r="H230" s="118"/>
    </row>
    <row r="231" spans="1:8" x14ac:dyDescent="0.25">
      <c r="A231" s="1"/>
      <c r="B231" s="118"/>
      <c r="C231" s="118"/>
      <c r="D231" s="118"/>
      <c r="E231" s="118"/>
      <c r="F231" s="118"/>
      <c r="G231" s="118"/>
      <c r="H231" s="118"/>
    </row>
    <row r="232" spans="1:8" x14ac:dyDescent="0.25">
      <c r="A232" s="122" t="s">
        <v>689</v>
      </c>
      <c r="B232" s="18">
        <v>127</v>
      </c>
      <c r="C232" s="118" t="s">
        <v>52</v>
      </c>
      <c r="D232" s="118"/>
      <c r="E232" s="118"/>
      <c r="F232" s="118"/>
      <c r="G232" s="118"/>
      <c r="H232" s="118"/>
    </row>
    <row r="233" spans="1:8" x14ac:dyDescent="0.25">
      <c r="A233" s="122" t="s">
        <v>26</v>
      </c>
      <c r="B233" s="19">
        <f>B228</f>
        <v>1.08</v>
      </c>
      <c r="C233" s="118" t="s">
        <v>48</v>
      </c>
      <c r="D233" s="118"/>
      <c r="E233" s="118"/>
      <c r="F233" s="118"/>
      <c r="G233" s="118"/>
      <c r="H233" s="118"/>
    </row>
    <row r="234" spans="1:8" x14ac:dyDescent="0.25">
      <c r="A234" s="122" t="s">
        <v>690</v>
      </c>
      <c r="B234" s="34">
        <f>(B233*60)/(B232*3.1415/1000)</f>
        <v>162.41802338769409</v>
      </c>
      <c r="C234" s="118" t="s">
        <v>347</v>
      </c>
      <c r="D234" s="118"/>
      <c r="E234" s="1"/>
      <c r="F234" s="118"/>
      <c r="G234" s="122" t="s">
        <v>691</v>
      </c>
      <c r="H234" s="123">
        <f>B229+B237</f>
        <v>91.062069276347984</v>
      </c>
    </row>
    <row r="235" spans="1:8" x14ac:dyDescent="0.25">
      <c r="A235" s="1"/>
      <c r="B235" s="1"/>
      <c r="C235" s="1"/>
      <c r="D235" s="118"/>
      <c r="E235" s="1"/>
      <c r="F235" s="118"/>
      <c r="G235" s="118"/>
      <c r="H235" s="1"/>
    </row>
    <row r="236" spans="1:8" x14ac:dyDescent="0.25">
      <c r="A236" s="4" t="s">
        <v>692</v>
      </c>
      <c r="B236" s="18">
        <v>9.11</v>
      </c>
      <c r="C236" s="118" t="s">
        <v>46</v>
      </c>
      <c r="D236" s="118"/>
      <c r="E236" s="1"/>
      <c r="F236" s="118"/>
      <c r="G236" s="118"/>
      <c r="H236" s="1"/>
    </row>
    <row r="237" spans="1:8" x14ac:dyDescent="0.25">
      <c r="A237" s="4" t="s">
        <v>693</v>
      </c>
      <c r="B237" s="18">
        <v>14.3</v>
      </c>
      <c r="C237" s="118" t="s">
        <v>203</v>
      </c>
      <c r="D237" s="118"/>
      <c r="E237" s="1"/>
      <c r="F237" s="118" t="s">
        <v>694</v>
      </c>
      <c r="G237" s="1"/>
      <c r="H237" s="1"/>
    </row>
    <row r="238" spans="1:8" x14ac:dyDescent="0.25">
      <c r="A238" s="4" t="s">
        <v>695</v>
      </c>
      <c r="B238" s="18">
        <v>9.1</v>
      </c>
      <c r="C238" s="118" t="s">
        <v>133</v>
      </c>
      <c r="D238" s="118"/>
      <c r="E238" s="1"/>
      <c r="F238" s="1"/>
      <c r="G238" s="1"/>
      <c r="H238" s="1"/>
    </row>
    <row r="239" spans="1:8" x14ac:dyDescent="0.25">
      <c r="A239" s="4" t="s">
        <v>696</v>
      </c>
      <c r="B239" s="18">
        <v>1</v>
      </c>
      <c r="C239" s="118" t="s">
        <v>58</v>
      </c>
      <c r="D239" s="118"/>
      <c r="E239" s="1"/>
      <c r="F239" s="4" t="s">
        <v>697</v>
      </c>
      <c r="G239" s="18">
        <v>15</v>
      </c>
      <c r="H239" s="1" t="s">
        <v>698</v>
      </c>
    </row>
    <row r="240" spans="1:8" x14ac:dyDescent="0.25">
      <c r="A240" s="4" t="s">
        <v>699</v>
      </c>
      <c r="B240" s="18">
        <v>35</v>
      </c>
      <c r="C240" s="118" t="s">
        <v>172</v>
      </c>
      <c r="D240" s="118"/>
      <c r="E240" s="1"/>
      <c r="F240" s="4" t="s">
        <v>313</v>
      </c>
      <c r="G240" s="18">
        <v>48</v>
      </c>
      <c r="H240" s="1" t="s">
        <v>700</v>
      </c>
    </row>
    <row r="241" spans="1:8" x14ac:dyDescent="0.25">
      <c r="A241" s="4" t="s">
        <v>701</v>
      </c>
      <c r="B241" s="18">
        <v>0.6</v>
      </c>
      <c r="C241" s="118" t="s">
        <v>46</v>
      </c>
      <c r="D241" s="118"/>
      <c r="E241" s="1"/>
      <c r="F241" s="4" t="s">
        <v>702</v>
      </c>
      <c r="G241" s="19">
        <f>G239*G240</f>
        <v>720</v>
      </c>
      <c r="H241" s="1" t="s">
        <v>703</v>
      </c>
    </row>
    <row r="242" spans="1:8" x14ac:dyDescent="0.25">
      <c r="A242" s="4" t="s">
        <v>704</v>
      </c>
      <c r="B242" s="19">
        <f>(B241/2+(1-B241)/2*POWER(SIN(B240),2))*B229*B239+B237*B239/6+B238/2</f>
        <v>32.776671789737321</v>
      </c>
      <c r="C242" s="118" t="s">
        <v>133</v>
      </c>
      <c r="D242" s="118"/>
      <c r="E242" s="1"/>
      <c r="F242" s="1"/>
      <c r="G242" s="1"/>
      <c r="H242" s="1"/>
    </row>
    <row r="243" spans="1:8" x14ac:dyDescent="0.25">
      <c r="A243" s="1"/>
      <c r="B243" s="1"/>
      <c r="C243" s="1"/>
      <c r="D243" s="118"/>
      <c r="E243" s="1"/>
      <c r="F243" s="1"/>
      <c r="G243" s="1"/>
      <c r="H243" s="1"/>
    </row>
    <row r="244" spans="1:8" x14ac:dyDescent="0.25">
      <c r="A244" s="118" t="s">
        <v>116</v>
      </c>
      <c r="B244" s="118"/>
      <c r="C244" s="118"/>
      <c r="D244" s="118"/>
      <c r="E244" s="118"/>
      <c r="F244" s="118"/>
      <c r="G244" s="118"/>
      <c r="H244" s="118"/>
    </row>
    <row r="245" spans="1:8" x14ac:dyDescent="0.25">
      <c r="A245" s="1" t="s">
        <v>705</v>
      </c>
      <c r="B245" s="19">
        <f>B242*B236</f>
        <v>298.59548000450695</v>
      </c>
      <c r="C245" s="118" t="s">
        <v>133</v>
      </c>
      <c r="D245" s="118" t="s">
        <v>706</v>
      </c>
      <c r="E245" s="118"/>
      <c r="F245" s="118"/>
      <c r="G245" s="118" t="s">
        <v>707</v>
      </c>
      <c r="H245" s="118"/>
    </row>
    <row r="246" spans="1:8" x14ac:dyDescent="0.25">
      <c r="A246" s="1"/>
      <c r="B246">
        <f>B245*9.81</f>
        <v>2929.2216588442134</v>
      </c>
      <c r="C246" s="118"/>
      <c r="D246" s="118"/>
      <c r="E246" s="118"/>
      <c r="F246" s="118"/>
      <c r="G246" s="118"/>
      <c r="H246" s="118"/>
    </row>
    <row r="247" spans="1:8" x14ac:dyDescent="0.25">
      <c r="A247" s="4"/>
      <c r="B247" s="1"/>
      <c r="C247" s="1"/>
      <c r="D247" s="1"/>
      <c r="E247" s="1"/>
      <c r="F247" s="1"/>
      <c r="G247" s="1"/>
      <c r="H247" s="1"/>
    </row>
    <row r="248" spans="1:8" x14ac:dyDescent="0.25">
      <c r="A248" s="4"/>
      <c r="B248" s="1"/>
      <c r="C248" s="1"/>
      <c r="D248" s="1"/>
      <c r="E248" s="1"/>
      <c r="F248" s="1"/>
      <c r="G248" s="1"/>
      <c r="H248" s="1"/>
    </row>
    <row r="249" spans="1:8" ht="13.8" x14ac:dyDescent="0.25">
      <c r="A249" s="58" t="s">
        <v>708</v>
      </c>
      <c r="B249" s="1"/>
      <c r="C249" s="1"/>
      <c r="D249" s="1"/>
      <c r="E249" s="1"/>
      <c r="F249" s="1"/>
      <c r="G249" s="1"/>
      <c r="H249" s="1"/>
    </row>
    <row r="250" spans="1:8" ht="13.8" x14ac:dyDescent="0.25">
      <c r="A250" s="58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 t="s">
        <v>709</v>
      </c>
      <c r="C252" s="1"/>
      <c r="D252" s="1"/>
      <c r="E252" s="1"/>
      <c r="F252" s="1"/>
      <c r="G252" s="1"/>
      <c r="H252" s="1"/>
    </row>
    <row r="253" spans="1:8" x14ac:dyDescent="0.25">
      <c r="A253" s="1"/>
      <c r="B253" s="1" t="s">
        <v>710</v>
      </c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 t="s">
        <v>711</v>
      </c>
      <c r="B255" s="1"/>
      <c r="C255" s="1"/>
      <c r="D255" s="1"/>
      <c r="E255" s="1"/>
      <c r="F255" s="1"/>
      <c r="G255" s="1"/>
      <c r="H255" s="1"/>
    </row>
    <row r="256" spans="1:8" x14ac:dyDescent="0.25">
      <c r="A256" s="1" t="s">
        <v>712</v>
      </c>
      <c r="B256" s="1"/>
      <c r="C256" s="1"/>
      <c r="D256" s="1"/>
      <c r="E256" s="1"/>
      <c r="F256" s="1"/>
      <c r="G256" s="1"/>
      <c r="H256" s="1"/>
    </row>
    <row r="257" spans="1:3" x14ac:dyDescent="0.25">
      <c r="A257" s="1" t="s">
        <v>681</v>
      </c>
      <c r="B257" s="1"/>
      <c r="C257" s="1"/>
    </row>
    <row r="258" spans="1:3" x14ac:dyDescent="0.25">
      <c r="A258" s="1" t="s">
        <v>663</v>
      </c>
      <c r="B258" s="1"/>
      <c r="C258" s="1"/>
    </row>
    <row r="259" spans="1:3" x14ac:dyDescent="0.25">
      <c r="A259" s="1" t="s">
        <v>664</v>
      </c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22" t="s">
        <v>713</v>
      </c>
      <c r="B263" s="18">
        <v>1.05</v>
      </c>
      <c r="C263" s="118" t="s">
        <v>46</v>
      </c>
    </row>
    <row r="264" spans="1:3" x14ac:dyDescent="0.25">
      <c r="A264" s="122" t="s">
        <v>714</v>
      </c>
      <c r="B264" s="19">
        <f>B239</f>
        <v>1</v>
      </c>
      <c r="C264" s="118" t="s">
        <v>58</v>
      </c>
    </row>
    <row r="265" spans="1:3" x14ac:dyDescent="0.25">
      <c r="A265" s="122" t="s">
        <v>715</v>
      </c>
      <c r="B265" s="19">
        <f>B237</f>
        <v>14.3</v>
      </c>
      <c r="C265" s="118" t="s">
        <v>203</v>
      </c>
    </row>
    <row r="266" spans="1:3" x14ac:dyDescent="0.25">
      <c r="A266" s="118"/>
      <c r="B266" s="118"/>
      <c r="C266" s="118"/>
    </row>
    <row r="267" spans="1:3" x14ac:dyDescent="0.25">
      <c r="A267" s="118" t="s">
        <v>116</v>
      </c>
      <c r="B267" s="118"/>
      <c r="C267" s="118"/>
    </row>
    <row r="268" spans="1:3" x14ac:dyDescent="0.25">
      <c r="A268" s="122" t="s">
        <v>716</v>
      </c>
      <c r="B268" s="19">
        <f>0.00068*(B229+B265)+(B263/B264)</f>
        <v>1.1119222071079167</v>
      </c>
      <c r="C268" s="118" t="s">
        <v>133</v>
      </c>
    </row>
    <row r="269" spans="1:3" x14ac:dyDescent="0.25">
      <c r="A269" s="122"/>
      <c r="B269"/>
      <c r="C269" s="118"/>
    </row>
    <row r="270" spans="1:3" x14ac:dyDescent="0.25">
      <c r="A270" s="1"/>
      <c r="B270" s="1"/>
      <c r="C270" s="1"/>
    </row>
    <row r="271" spans="1:3" x14ac:dyDescent="0.25">
      <c r="A271" s="1"/>
      <c r="B271" s="118"/>
      <c r="C271" s="118"/>
    </row>
    <row r="272" spans="1:3" ht="13.8" x14ac:dyDescent="0.25">
      <c r="A272" s="58" t="s">
        <v>717</v>
      </c>
      <c r="B272" s="118"/>
      <c r="C272" s="118"/>
    </row>
    <row r="274" spans="1:3" x14ac:dyDescent="0.25">
      <c r="A274" s="1"/>
      <c r="B274" s="1" t="s">
        <v>718</v>
      </c>
      <c r="C274" s="1"/>
    </row>
    <row r="275" spans="1:3" x14ac:dyDescent="0.25">
      <c r="A275" s="1"/>
      <c r="B275" s="1"/>
      <c r="C275" s="1"/>
    </row>
    <row r="276" spans="1:3" x14ac:dyDescent="0.25">
      <c r="A276" s="1" t="s">
        <v>719</v>
      </c>
      <c r="B276" s="1"/>
      <c r="C276" s="1"/>
    </row>
    <row r="277" spans="1:3" x14ac:dyDescent="0.25">
      <c r="A277" s="1" t="s">
        <v>720</v>
      </c>
      <c r="B277" s="1"/>
      <c r="C277" s="1"/>
    </row>
    <row r="278" spans="1:3" x14ac:dyDescent="0.25">
      <c r="A278" s="1" t="s">
        <v>721</v>
      </c>
      <c r="B278" s="1"/>
      <c r="C278" s="1"/>
    </row>
    <row r="279" spans="1:3" x14ac:dyDescent="0.25">
      <c r="A279" s="1" t="s">
        <v>722</v>
      </c>
      <c r="B279" s="1"/>
      <c r="C279" s="1"/>
    </row>
    <row r="280" spans="1:3" x14ac:dyDescent="0.25">
      <c r="A280" s="1" t="s">
        <v>723</v>
      </c>
      <c r="B280" s="1"/>
      <c r="C280" s="1"/>
    </row>
    <row r="281" spans="1:3" x14ac:dyDescent="0.25">
      <c r="A281" s="1" t="s">
        <v>724</v>
      </c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 t="s">
        <v>344</v>
      </c>
      <c r="B283" s="1"/>
      <c r="C283" s="1"/>
    </row>
    <row r="284" spans="1:3" x14ac:dyDescent="0.25">
      <c r="A284" s="4" t="s">
        <v>725</v>
      </c>
      <c r="B284" s="18">
        <f>(22.7*2)</f>
        <v>45.4</v>
      </c>
      <c r="C284" s="1" t="s">
        <v>46</v>
      </c>
    </row>
    <row r="285" spans="1:3" x14ac:dyDescent="0.25">
      <c r="A285" s="4" t="s">
        <v>726</v>
      </c>
      <c r="B285" s="18">
        <v>0</v>
      </c>
      <c r="C285" s="1" t="s">
        <v>46</v>
      </c>
    </row>
    <row r="286" spans="1:3" x14ac:dyDescent="0.25">
      <c r="A286" s="4" t="s">
        <v>727</v>
      </c>
      <c r="B286" s="18">
        <v>0</v>
      </c>
      <c r="C286" s="1" t="s">
        <v>728</v>
      </c>
    </row>
    <row r="287" spans="1:3" x14ac:dyDescent="0.25">
      <c r="A287" s="4" t="s">
        <v>729</v>
      </c>
      <c r="B287" s="18">
        <v>3</v>
      </c>
      <c r="C287" s="1" t="s">
        <v>46</v>
      </c>
    </row>
    <row r="288" spans="1:3" x14ac:dyDescent="0.25">
      <c r="A288" s="4" t="s">
        <v>730</v>
      </c>
      <c r="B288" s="19">
        <f>B183*1.4</f>
        <v>42</v>
      </c>
      <c r="C288" s="1" t="s">
        <v>731</v>
      </c>
    </row>
    <row r="289" spans="1:7" x14ac:dyDescent="0.25">
      <c r="A289" s="4" t="s">
        <v>635</v>
      </c>
      <c r="B289" s="19">
        <f>B164</f>
        <v>89.786680308796946</v>
      </c>
      <c r="C289" s="1" t="s">
        <v>133</v>
      </c>
      <c r="D289" s="1"/>
      <c r="E289" s="1"/>
      <c r="F289" s="1"/>
      <c r="G289" s="1"/>
    </row>
    <row r="290" spans="1:7" x14ac:dyDescent="0.25">
      <c r="A290" s="4" t="s">
        <v>654</v>
      </c>
      <c r="B290" s="19">
        <f>B188</f>
        <v>17.45582608695652</v>
      </c>
      <c r="C290" s="1" t="s">
        <v>133</v>
      </c>
      <c r="D290" s="1"/>
      <c r="E290" s="1"/>
      <c r="F290" s="1"/>
      <c r="G290" s="1"/>
    </row>
    <row r="291" spans="1:7" x14ac:dyDescent="0.25">
      <c r="A291" s="1"/>
      <c r="B291" s="1"/>
      <c r="C291" s="1"/>
      <c r="D291" s="1"/>
      <c r="E291" s="1"/>
      <c r="F291" s="1"/>
      <c r="G291" s="1"/>
    </row>
    <row r="292" spans="1:7" x14ac:dyDescent="0.25">
      <c r="A292" s="4" t="s">
        <v>55</v>
      </c>
      <c r="B292" s="1"/>
      <c r="C292" s="1"/>
      <c r="D292" s="1"/>
      <c r="E292" s="1"/>
      <c r="F292" s="1"/>
      <c r="G292" s="1"/>
    </row>
    <row r="293" spans="1:7" x14ac:dyDescent="0.25">
      <c r="A293" s="4" t="s">
        <v>732</v>
      </c>
      <c r="B293" s="19">
        <f>B284+B285+B286+B287+B288+B289+B290</f>
        <v>197.64250639575346</v>
      </c>
      <c r="C293" s="1" t="s">
        <v>133</v>
      </c>
      <c r="D293" s="1"/>
      <c r="E293" s="1"/>
      <c r="F293" s="1"/>
      <c r="G293" s="1"/>
    </row>
    <row r="294" spans="1:7" x14ac:dyDescent="0.25">
      <c r="A294" s="1"/>
      <c r="B294" s="1"/>
      <c r="C294" s="1"/>
      <c r="D294" s="1"/>
      <c r="E294" s="1"/>
      <c r="F294" s="1"/>
      <c r="G294" s="1"/>
    </row>
    <row r="295" spans="1:7" x14ac:dyDescent="0.25">
      <c r="A295" s="3" t="s">
        <v>733</v>
      </c>
      <c r="B295" s="1"/>
      <c r="C295" s="1"/>
      <c r="D295" s="1"/>
      <c r="E295" s="1"/>
      <c r="F295" s="1"/>
      <c r="G295" s="1"/>
    </row>
    <row r="296" spans="1:7" x14ac:dyDescent="0.25">
      <c r="A296" s="3"/>
      <c r="B296" s="1"/>
      <c r="C296" s="1"/>
      <c r="D296" s="1"/>
      <c r="E296" s="1"/>
      <c r="F296" s="1"/>
      <c r="G296" s="1"/>
    </row>
    <row r="297" spans="1:7" x14ac:dyDescent="0.25">
      <c r="A297" s="1"/>
      <c r="B297" s="1" t="s">
        <v>734</v>
      </c>
      <c r="C297" s="1"/>
      <c r="D297" s="1"/>
      <c r="E297" s="1"/>
      <c r="F297" s="1"/>
      <c r="G297" s="1"/>
    </row>
    <row r="298" spans="1:7" x14ac:dyDescent="0.25">
      <c r="A298" s="1"/>
      <c r="B298" s="1"/>
      <c r="C298" s="1"/>
      <c r="D298" s="1"/>
      <c r="E298" s="1"/>
      <c r="F298" s="1"/>
      <c r="G298" s="1"/>
    </row>
    <row r="299" spans="1:7" x14ac:dyDescent="0.25">
      <c r="A299" s="1" t="s">
        <v>23</v>
      </c>
      <c r="B299" s="1"/>
      <c r="C299" s="1"/>
      <c r="D299" s="1"/>
      <c r="E299" s="1"/>
      <c r="F299" s="1"/>
      <c r="G299" s="1"/>
    </row>
    <row r="300" spans="1:7" x14ac:dyDescent="0.25">
      <c r="A300" s="1"/>
      <c r="B300" s="1" t="s">
        <v>735</v>
      </c>
      <c r="C300" s="1"/>
      <c r="D300" s="1"/>
      <c r="E300" s="1"/>
      <c r="F300" s="1"/>
      <c r="G300" s="1"/>
    </row>
    <row r="301" spans="1:7" x14ac:dyDescent="0.25">
      <c r="A301" s="1"/>
      <c r="B301" s="1" t="s">
        <v>736</v>
      </c>
      <c r="C301" s="1"/>
      <c r="D301" s="1"/>
      <c r="E301" s="1"/>
      <c r="F301" s="1"/>
      <c r="G301" s="1"/>
    </row>
    <row r="302" spans="1:7" x14ac:dyDescent="0.25">
      <c r="A302" s="1"/>
      <c r="B302" s="1" t="s">
        <v>737</v>
      </c>
      <c r="C302" s="1"/>
      <c r="D302" s="1"/>
      <c r="E302" s="1"/>
      <c r="F302" s="1"/>
      <c r="G302" s="1"/>
    </row>
    <row r="303" spans="1:7" x14ac:dyDescent="0.25">
      <c r="A303" s="1"/>
      <c r="B303" s="1" t="s">
        <v>738</v>
      </c>
      <c r="C303" s="1"/>
      <c r="D303" s="1"/>
      <c r="E303" s="1"/>
      <c r="F303" s="1"/>
      <c r="G303" s="1"/>
    </row>
    <row r="304" spans="1:7" x14ac:dyDescent="0.25">
      <c r="A304" s="1"/>
      <c r="B304" s="1" t="s">
        <v>739</v>
      </c>
      <c r="C304" s="1"/>
      <c r="D304" s="1"/>
      <c r="E304" s="1"/>
      <c r="F304" s="1"/>
      <c r="G304" s="1"/>
    </row>
    <row r="305" spans="1:7" x14ac:dyDescent="0.25">
      <c r="A305" s="1"/>
      <c r="B305" s="1" t="s">
        <v>740</v>
      </c>
      <c r="C305" s="1"/>
      <c r="D305" s="1"/>
      <c r="E305" s="1"/>
      <c r="F305" s="1"/>
      <c r="G305" s="1"/>
    </row>
    <row r="306" spans="1:7" x14ac:dyDescent="0.25">
      <c r="A306" s="1"/>
      <c r="B306" s="1" t="s">
        <v>741</v>
      </c>
      <c r="C306" s="1"/>
      <c r="D306" s="1"/>
      <c r="E306" s="1"/>
      <c r="F306" s="1"/>
      <c r="G306" s="1"/>
    </row>
    <row r="307" spans="1:7" x14ac:dyDescent="0.25">
      <c r="A307" s="1" t="s">
        <v>91</v>
      </c>
      <c r="B307" s="1"/>
      <c r="C307" s="1"/>
      <c r="D307" s="1"/>
      <c r="E307" s="1"/>
      <c r="F307" s="1"/>
      <c r="G307" s="1"/>
    </row>
    <row r="308" spans="1:7" x14ac:dyDescent="0.25">
      <c r="A308" s="4" t="s">
        <v>742</v>
      </c>
      <c r="B308" s="18">
        <v>11.3</v>
      </c>
      <c r="C308" s="1" t="s">
        <v>58</v>
      </c>
      <c r="D308" s="43">
        <f>DEGREES(ASIN(B309/B308))</f>
        <v>4.0597345265679401</v>
      </c>
      <c r="E308" s="38" t="s">
        <v>172</v>
      </c>
      <c r="F308" s="1"/>
      <c r="G308" s="1"/>
    </row>
    <row r="309" spans="1:7" x14ac:dyDescent="0.25">
      <c r="A309" s="4" t="s">
        <v>743</v>
      </c>
      <c r="B309" s="18">
        <v>0.8</v>
      </c>
      <c r="C309" s="1" t="s">
        <v>58</v>
      </c>
      <c r="D309" s="1"/>
      <c r="E309" s="1"/>
      <c r="F309" s="1"/>
      <c r="G309" s="1"/>
    </row>
    <row r="310" spans="1:7" x14ac:dyDescent="0.25">
      <c r="A310" s="4" t="s">
        <v>744</v>
      </c>
      <c r="B310" s="19">
        <f>B229</f>
        <v>76.762069276347987</v>
      </c>
      <c r="C310" s="1" t="s">
        <v>203</v>
      </c>
      <c r="D310" s="258" t="s">
        <v>691</v>
      </c>
      <c r="E310" s="258"/>
      <c r="F310" s="19">
        <f>B310+B311</f>
        <v>91.062069276347984</v>
      </c>
      <c r="G310" s="1" t="s">
        <v>203</v>
      </c>
    </row>
    <row r="311" spans="1:7" x14ac:dyDescent="0.25">
      <c r="A311" s="4" t="s">
        <v>715</v>
      </c>
      <c r="B311" s="19">
        <f>B265</f>
        <v>14.3</v>
      </c>
      <c r="C311" s="1" t="s">
        <v>203</v>
      </c>
      <c r="D311" s="1"/>
      <c r="E311" s="1"/>
      <c r="F311" s="1"/>
      <c r="G311" s="1"/>
    </row>
    <row r="312" spans="1:7" x14ac:dyDescent="0.25">
      <c r="A312" s="4" t="s">
        <v>745</v>
      </c>
      <c r="B312" s="19">
        <f>B268</f>
        <v>1.1119222071079167</v>
      </c>
      <c r="C312" s="1" t="s">
        <v>203</v>
      </c>
      <c r="D312" s="1"/>
      <c r="E312" s="1"/>
      <c r="F312" s="1"/>
      <c r="G312" s="1"/>
    </row>
    <row r="313" spans="1:7" x14ac:dyDescent="0.25">
      <c r="A313" s="4" t="s">
        <v>746</v>
      </c>
      <c r="B313" s="18">
        <v>3.5000000000000003E-2</v>
      </c>
      <c r="C313" s="1" t="s">
        <v>133</v>
      </c>
      <c r="D313" s="1"/>
      <c r="E313" s="1"/>
      <c r="F313" s="1"/>
      <c r="G313" s="1"/>
    </row>
    <row r="314" spans="1:7" x14ac:dyDescent="0.25">
      <c r="A314" s="4" t="s">
        <v>732</v>
      </c>
      <c r="B314" s="19">
        <f>B293</f>
        <v>197.64250639575346</v>
      </c>
      <c r="C314" s="1" t="s">
        <v>133</v>
      </c>
      <c r="D314" s="1"/>
      <c r="E314" s="1"/>
      <c r="F314" s="1"/>
      <c r="G314" s="1"/>
    </row>
    <row r="315" spans="1:7" x14ac:dyDescent="0.25">
      <c r="A315" s="1"/>
      <c r="B315" s="1"/>
      <c r="C315" s="1"/>
      <c r="D315" s="1"/>
      <c r="E315" s="1"/>
      <c r="F315" s="1"/>
      <c r="G315" s="1"/>
    </row>
    <row r="316" spans="1:7" x14ac:dyDescent="0.25">
      <c r="A316" s="4" t="s">
        <v>55</v>
      </c>
      <c r="B316" s="1"/>
      <c r="C316" s="1"/>
      <c r="D316" s="1"/>
      <c r="E316" s="1"/>
      <c r="F316" s="1"/>
      <c r="G316" s="1"/>
    </row>
    <row r="317" spans="1:7" x14ac:dyDescent="0.25">
      <c r="A317" s="4" t="s">
        <v>747</v>
      </c>
      <c r="B317" s="19">
        <f>B308*(B312+B313*(B310+B311)+0.015*B311)+B309*B310+B314</f>
        <v>310.05578115594693</v>
      </c>
      <c r="C317" s="1" t="s">
        <v>748</v>
      </c>
      <c r="D317" s="1"/>
      <c r="E317" s="1"/>
      <c r="F317" s="1"/>
      <c r="G317" s="1"/>
    </row>
    <row r="318" spans="1:7" x14ac:dyDescent="0.25">
      <c r="A318" s="1"/>
      <c r="B318" s="1"/>
      <c r="C318" s="1"/>
      <c r="D318" s="1"/>
      <c r="E318" s="1"/>
      <c r="F318" s="1"/>
      <c r="G318" s="1"/>
    </row>
    <row r="319" spans="1:7" x14ac:dyDescent="0.25">
      <c r="A319" s="3" t="s">
        <v>749</v>
      </c>
      <c r="B319" s="1"/>
      <c r="C319" s="1"/>
      <c r="D319" s="1"/>
      <c r="E319" s="1"/>
      <c r="F319" s="1"/>
      <c r="G319" s="1"/>
    </row>
    <row r="321" spans="1:9" x14ac:dyDescent="0.25">
      <c r="A321" s="1"/>
      <c r="B321" s="1" t="s">
        <v>750</v>
      </c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42" t="s">
        <v>751</v>
      </c>
      <c r="C322" s="1"/>
      <c r="D322" s="1"/>
      <c r="E322" s="1"/>
      <c r="F322" s="1"/>
      <c r="G322" s="1"/>
      <c r="H322" s="1"/>
      <c r="I322" s="1"/>
    </row>
    <row r="323" spans="1:9" x14ac:dyDescent="0.25">
      <c r="A323" s="42" t="s">
        <v>91</v>
      </c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4" t="s">
        <v>326</v>
      </c>
      <c r="B324" s="18">
        <v>0.95</v>
      </c>
      <c r="C324" s="1" t="s">
        <v>212</v>
      </c>
      <c r="D324" s="1"/>
      <c r="E324" s="1"/>
      <c r="F324" s="1"/>
      <c r="G324" s="1"/>
      <c r="H324" s="1"/>
      <c r="I324" s="1"/>
    </row>
    <row r="325" spans="1:9" x14ac:dyDescent="0.25">
      <c r="A325" s="4" t="s">
        <v>141</v>
      </c>
      <c r="B325" s="19">
        <f>B317</f>
        <v>310.05578115594693</v>
      </c>
      <c r="C325" s="1" t="s">
        <v>133</v>
      </c>
      <c r="D325" s="1"/>
      <c r="E325" s="1"/>
      <c r="F325" s="1"/>
      <c r="G325" s="1"/>
      <c r="H325" s="1"/>
      <c r="I325" s="1"/>
    </row>
    <row r="326" spans="1:9" x14ac:dyDescent="0.25">
      <c r="A326" s="4" t="s">
        <v>26</v>
      </c>
      <c r="B326" s="19">
        <f>B159</f>
        <v>1.08</v>
      </c>
      <c r="C326" s="1" t="s">
        <v>48</v>
      </c>
      <c r="D326" s="1"/>
      <c r="E326" s="1"/>
      <c r="F326" s="1"/>
      <c r="G326" s="1"/>
      <c r="H326" s="1"/>
      <c r="I326" s="1"/>
    </row>
    <row r="327" spans="1:9" x14ac:dyDescent="0.25">
      <c r="A327" s="42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4" t="s">
        <v>116</v>
      </c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4" t="s">
        <v>752</v>
      </c>
      <c r="B329" s="19">
        <f>B325*B326/(75*B324)</f>
        <v>4.6997928933111952</v>
      </c>
      <c r="C329" s="1" t="s">
        <v>249</v>
      </c>
      <c r="D329" s="1"/>
      <c r="E329" s="1" t="s">
        <v>753</v>
      </c>
      <c r="F329" s="1"/>
      <c r="G329" s="4" t="s">
        <v>754</v>
      </c>
      <c r="H329" s="19">
        <f>(9.8*B317*B491)/C497</f>
        <v>35.815069828384544</v>
      </c>
      <c r="I329" s="1" t="s">
        <v>755</v>
      </c>
    </row>
    <row r="330" spans="1:9" x14ac:dyDescent="0.25">
      <c r="A330" s="4" t="s">
        <v>756</v>
      </c>
      <c r="B330" s="18">
        <v>7.5</v>
      </c>
      <c r="C330" s="1" t="s">
        <v>330</v>
      </c>
      <c r="D330" s="1"/>
      <c r="E330" s="1"/>
      <c r="F330" s="1"/>
      <c r="G330" s="1"/>
      <c r="H330" s="1"/>
      <c r="I330" s="1"/>
    </row>
    <row r="331" spans="1:9" x14ac:dyDescent="0.25">
      <c r="A331" s="4" t="s">
        <v>331</v>
      </c>
      <c r="B331" s="19">
        <f>B330/B329</f>
        <v>1.595815000842717</v>
      </c>
      <c r="C331" s="1" t="s">
        <v>332</v>
      </c>
      <c r="D331" s="1"/>
      <c r="E331" s="1"/>
      <c r="F331" s="1"/>
      <c r="G331" s="1"/>
      <c r="H331" s="1"/>
      <c r="I331" s="1"/>
    </row>
    <row r="332" spans="1:9" x14ac:dyDescent="0.25">
      <c r="A332" s="4" t="s">
        <v>757</v>
      </c>
      <c r="B332" s="43">
        <f>B330*0.75</f>
        <v>5.625</v>
      </c>
      <c r="C332" s="1" t="s">
        <v>333</v>
      </c>
      <c r="D332" s="1"/>
      <c r="E332" s="1"/>
      <c r="F332" s="1"/>
      <c r="G332" s="1"/>
      <c r="H332" s="1"/>
      <c r="I332" s="1"/>
    </row>
    <row r="333" spans="1:9" x14ac:dyDescent="0.25">
      <c r="A333" s="42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3" t="s">
        <v>758</v>
      </c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3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3" t="s">
        <v>759</v>
      </c>
      <c r="B336" s="1"/>
      <c r="C336" s="1"/>
      <c r="D336" s="1"/>
      <c r="E336" s="1"/>
      <c r="F336" s="1"/>
      <c r="G336" s="1"/>
      <c r="H336" s="1"/>
      <c r="I336" s="1"/>
    </row>
    <row r="338" spans="1:3" x14ac:dyDescent="0.25">
      <c r="A338" s="1"/>
      <c r="B338" s="1" t="s">
        <v>760</v>
      </c>
      <c r="C338" s="1"/>
    </row>
    <row r="339" spans="1:3" x14ac:dyDescent="0.25">
      <c r="A339" s="1"/>
      <c r="B339" s="1" t="s">
        <v>761</v>
      </c>
      <c r="C339" s="1"/>
    </row>
    <row r="340" spans="1:3" x14ac:dyDescent="0.25">
      <c r="A340" s="1"/>
      <c r="B340" s="1" t="s">
        <v>762</v>
      </c>
      <c r="C340" s="1"/>
    </row>
    <row r="341" spans="1:3" x14ac:dyDescent="0.25">
      <c r="A341" s="1"/>
      <c r="B341" s="1"/>
      <c r="C341" s="1"/>
    </row>
    <row r="342" spans="1:3" x14ac:dyDescent="0.25">
      <c r="A342" s="1" t="s">
        <v>763</v>
      </c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 t="s">
        <v>764</v>
      </c>
      <c r="B344" s="1"/>
      <c r="C344" s="1"/>
    </row>
    <row r="345" spans="1:3" x14ac:dyDescent="0.25">
      <c r="A345" s="4" t="s">
        <v>744</v>
      </c>
      <c r="B345" s="19">
        <f>B229</f>
        <v>76.762069276347987</v>
      </c>
      <c r="C345" s="1" t="s">
        <v>203</v>
      </c>
    </row>
    <row r="346" spans="1:3" x14ac:dyDescent="0.25">
      <c r="A346" s="4" t="s">
        <v>715</v>
      </c>
      <c r="B346" s="19">
        <f>B265</f>
        <v>14.3</v>
      </c>
      <c r="C346" s="1" t="s">
        <v>203</v>
      </c>
    </row>
    <row r="347" spans="1:3" x14ac:dyDescent="0.25">
      <c r="A347" s="4" t="s">
        <v>714</v>
      </c>
      <c r="B347" s="19">
        <f>B264</f>
        <v>1</v>
      </c>
      <c r="C347" s="1" t="s">
        <v>58</v>
      </c>
    </row>
    <row r="348" spans="1:3" x14ac:dyDescent="0.25">
      <c r="A348" s="1"/>
      <c r="B348" s="1"/>
      <c r="C348" s="1"/>
    </row>
    <row r="349" spans="1:3" x14ac:dyDescent="0.25">
      <c r="A349" s="4" t="s">
        <v>116</v>
      </c>
      <c r="B349" s="1"/>
      <c r="C349" s="1"/>
    </row>
    <row r="350" spans="1:3" x14ac:dyDescent="0.25">
      <c r="A350" s="4" t="s">
        <v>765</v>
      </c>
      <c r="B350" s="19">
        <f>6.25*(B345+B346)*B347</f>
        <v>569.13793297717484</v>
      </c>
      <c r="C350" s="1" t="s">
        <v>133</v>
      </c>
    </row>
    <row r="351" spans="1:3" x14ac:dyDescent="0.25">
      <c r="A351" s="1"/>
      <c r="B351" s="1"/>
      <c r="C351" s="1"/>
    </row>
    <row r="352" spans="1:3" x14ac:dyDescent="0.25">
      <c r="A352" s="3" t="s">
        <v>766</v>
      </c>
      <c r="B352" s="1"/>
      <c r="C352" s="1"/>
    </row>
    <row r="354" spans="1:3" x14ac:dyDescent="0.25">
      <c r="A354" s="1"/>
      <c r="B354" s="1" t="s">
        <v>767</v>
      </c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 t="s">
        <v>768</v>
      </c>
      <c r="C356" s="1"/>
    </row>
    <row r="357" spans="1:3" x14ac:dyDescent="0.25">
      <c r="A357" s="1"/>
      <c r="B357" s="1"/>
      <c r="C357" s="1"/>
    </row>
    <row r="358" spans="1:3" x14ac:dyDescent="0.25">
      <c r="A358" s="4" t="s">
        <v>207</v>
      </c>
      <c r="B358" s="1"/>
      <c r="C358" s="1"/>
    </row>
    <row r="359" spans="1:3" x14ac:dyDescent="0.25">
      <c r="A359" s="4" t="s">
        <v>276</v>
      </c>
      <c r="B359" s="19">
        <f>B308</f>
        <v>11.3</v>
      </c>
      <c r="C359" s="1" t="s">
        <v>58</v>
      </c>
    </row>
    <row r="360" spans="1:3" x14ac:dyDescent="0.25">
      <c r="A360" s="4" t="s">
        <v>715</v>
      </c>
      <c r="B360" s="19">
        <f>B265</f>
        <v>14.3</v>
      </c>
      <c r="C360" s="1" t="s">
        <v>203</v>
      </c>
    </row>
    <row r="361" spans="1:3" x14ac:dyDescent="0.25">
      <c r="A361" s="1"/>
      <c r="B361" s="1"/>
      <c r="C361" s="1"/>
    </row>
    <row r="362" spans="1:3" x14ac:dyDescent="0.25">
      <c r="A362" s="4" t="s">
        <v>55</v>
      </c>
      <c r="B362" s="1"/>
      <c r="C362" s="1"/>
    </row>
    <row r="363" spans="1:3" x14ac:dyDescent="0.25">
      <c r="A363" s="4" t="s">
        <v>769</v>
      </c>
      <c r="B363" s="19">
        <f>0.015*B359*B360</f>
        <v>2.4238500000000003</v>
      </c>
      <c r="C363" s="1" t="s">
        <v>133</v>
      </c>
    </row>
    <row r="364" spans="1:3" x14ac:dyDescent="0.25">
      <c r="A364" s="1"/>
      <c r="B364" s="1"/>
      <c r="C364" s="1"/>
    </row>
    <row r="365" spans="1:3" x14ac:dyDescent="0.25">
      <c r="A365" s="3" t="s">
        <v>770</v>
      </c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 t="s">
        <v>162</v>
      </c>
      <c r="C367" s="1"/>
    </row>
    <row r="368" spans="1:3" x14ac:dyDescent="0.25">
      <c r="A368" s="1"/>
      <c r="B368" s="51" t="s">
        <v>163</v>
      </c>
      <c r="C368" s="1"/>
    </row>
    <row r="369" spans="1:3" x14ac:dyDescent="0.25">
      <c r="A369" s="1"/>
      <c r="B369" s="1" t="s">
        <v>164</v>
      </c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 t="s">
        <v>165</v>
      </c>
      <c r="C371" s="1"/>
    </row>
    <row r="372" spans="1:3" x14ac:dyDescent="0.25">
      <c r="A372" s="1"/>
      <c r="B372" s="1" t="s">
        <v>166</v>
      </c>
      <c r="C372" s="1"/>
    </row>
    <row r="373" spans="1:3" x14ac:dyDescent="0.25">
      <c r="A373" s="1"/>
      <c r="B373" s="1" t="s">
        <v>167</v>
      </c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 t="s">
        <v>168</v>
      </c>
      <c r="C375" s="1"/>
    </row>
    <row r="376" spans="1:3" x14ac:dyDescent="0.25">
      <c r="A376" s="1"/>
      <c r="B376" s="1" t="s">
        <v>169</v>
      </c>
      <c r="C376" s="1"/>
    </row>
    <row r="377" spans="1:3" x14ac:dyDescent="0.25">
      <c r="A377" s="1" t="s">
        <v>43</v>
      </c>
      <c r="B377" s="1"/>
      <c r="C377" s="1"/>
    </row>
    <row r="378" spans="1:3" x14ac:dyDescent="0.25">
      <c r="A378" s="4" t="s">
        <v>170</v>
      </c>
      <c r="B378" s="18">
        <v>0.35</v>
      </c>
      <c r="C378" s="1" t="s">
        <v>46</v>
      </c>
    </row>
    <row r="379" spans="1:3" x14ac:dyDescent="0.25">
      <c r="A379" s="4" t="s">
        <v>171</v>
      </c>
      <c r="B379" s="18">
        <v>180</v>
      </c>
      <c r="C379" s="1" t="s">
        <v>172</v>
      </c>
    </row>
    <row r="380" spans="1:3" x14ac:dyDescent="0.25">
      <c r="A380" s="1"/>
      <c r="B380" s="1"/>
      <c r="C380" s="1"/>
    </row>
    <row r="381" spans="1:3" x14ac:dyDescent="0.25">
      <c r="A381" s="4" t="s">
        <v>116</v>
      </c>
      <c r="B381" s="1"/>
      <c r="C381" s="1"/>
    </row>
    <row r="382" spans="1:3" x14ac:dyDescent="0.25">
      <c r="A382" s="4" t="s">
        <v>173</v>
      </c>
      <c r="B382" s="19">
        <f>1/(POWER(2.71828,(0.0174*B378*B379)))</f>
        <v>0.33413864657348746</v>
      </c>
      <c r="C382" s="1"/>
    </row>
    <row r="383" spans="1:3" x14ac:dyDescent="0.25">
      <c r="A383" s="1"/>
      <c r="B383" s="1"/>
      <c r="C383" s="1"/>
    </row>
    <row r="384" spans="1:3" x14ac:dyDescent="0.25">
      <c r="A384" s="3" t="s">
        <v>771</v>
      </c>
      <c r="B384" s="1"/>
      <c r="C384" s="1"/>
    </row>
    <row r="386" spans="1:2" x14ac:dyDescent="0.25">
      <c r="A386" s="1" t="s">
        <v>772</v>
      </c>
      <c r="B386" s="1"/>
    </row>
    <row r="387" spans="1:2" x14ac:dyDescent="0.25">
      <c r="A387" s="1"/>
      <c r="B387" s="1"/>
    </row>
    <row r="388" spans="1:2" x14ac:dyDescent="0.25">
      <c r="A388" s="1"/>
      <c r="B388" s="1" t="s">
        <v>773</v>
      </c>
    </row>
    <row r="389" spans="1:2" x14ac:dyDescent="0.25">
      <c r="A389" s="1"/>
      <c r="B389" s="1" t="s">
        <v>774</v>
      </c>
    </row>
    <row r="390" spans="1:2" x14ac:dyDescent="0.25">
      <c r="A390" s="1"/>
      <c r="B390" s="1"/>
    </row>
    <row r="391" spans="1:2" x14ac:dyDescent="0.25">
      <c r="A391" s="1"/>
      <c r="B391" s="1" t="s">
        <v>775</v>
      </c>
    </row>
    <row r="392" spans="1:2" x14ac:dyDescent="0.25">
      <c r="A392" s="1"/>
      <c r="B392" s="1" t="s">
        <v>776</v>
      </c>
    </row>
    <row r="393" spans="1:2" x14ac:dyDescent="0.25">
      <c r="A393" s="1"/>
      <c r="B393" s="1"/>
    </row>
    <row r="394" spans="1:2" x14ac:dyDescent="0.25">
      <c r="A394" s="1"/>
      <c r="B394" s="1" t="s">
        <v>777</v>
      </c>
    </row>
    <row r="395" spans="1:2" x14ac:dyDescent="0.25">
      <c r="A395" s="1"/>
      <c r="B395" s="1" t="s">
        <v>778</v>
      </c>
    </row>
    <row r="396" spans="1:2" x14ac:dyDescent="0.25">
      <c r="A396" s="1"/>
      <c r="B396" s="1"/>
    </row>
    <row r="397" spans="1:2" x14ac:dyDescent="0.25">
      <c r="A397" s="1"/>
      <c r="B397" s="1" t="s">
        <v>779</v>
      </c>
    </row>
    <row r="398" spans="1:2" x14ac:dyDescent="0.25">
      <c r="A398" s="1"/>
      <c r="B398" s="1"/>
    </row>
    <row r="399" spans="1:2" x14ac:dyDescent="0.25">
      <c r="A399" s="1"/>
      <c r="B399" s="1" t="s">
        <v>780</v>
      </c>
    </row>
    <row r="400" spans="1:2" x14ac:dyDescent="0.25">
      <c r="A400" s="1"/>
      <c r="B400" s="1" t="s">
        <v>781</v>
      </c>
    </row>
    <row r="401" spans="1:17" x14ac:dyDescent="0.25">
      <c r="A401" s="1"/>
      <c r="B401" s="1" t="s">
        <v>782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 t="s">
        <v>783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 t="s">
        <v>784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 t="s">
        <v>91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4" t="s">
        <v>173</v>
      </c>
      <c r="B406" s="19">
        <f>B382</f>
        <v>0.33413864657348746</v>
      </c>
      <c r="C406" s="1" t="s">
        <v>46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4" t="s">
        <v>141</v>
      </c>
      <c r="B407" s="19">
        <f>B317</f>
        <v>310.05578115594693</v>
      </c>
      <c r="C407" s="1" t="s">
        <v>133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4" t="s">
        <v>785</v>
      </c>
      <c r="B408" s="19">
        <f>B350</f>
        <v>569.13793297717484</v>
      </c>
      <c r="C408" s="1" t="s">
        <v>133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4" t="s">
        <v>111</v>
      </c>
      <c r="B409" s="19">
        <f>B309</f>
        <v>0.8</v>
      </c>
      <c r="C409" s="1" t="s">
        <v>58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4" t="s">
        <v>715</v>
      </c>
      <c r="B410" s="19">
        <f>B265</f>
        <v>14.3</v>
      </c>
      <c r="C410" s="1" t="s">
        <v>203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4" t="s">
        <v>769</v>
      </c>
      <c r="B411" s="19">
        <f>B363</f>
        <v>2.4238500000000003</v>
      </c>
      <c r="C411" s="1" t="s">
        <v>133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 t="s">
        <v>786</v>
      </c>
      <c r="K412" s="1"/>
      <c r="L412" s="1"/>
      <c r="M412" s="1"/>
      <c r="N412" s="1"/>
      <c r="O412" s="1" t="s">
        <v>787</v>
      </c>
      <c r="P412" s="1"/>
      <c r="Q412" s="1"/>
    </row>
    <row r="413" spans="1:17" x14ac:dyDescent="0.25">
      <c r="A413" s="4" t="s">
        <v>176</v>
      </c>
      <c r="B413" s="1"/>
      <c r="C413" s="1"/>
      <c r="D413" s="1"/>
      <c r="E413" s="1"/>
      <c r="F413" s="1"/>
      <c r="G413" s="1"/>
      <c r="H413" s="1"/>
      <c r="I413" s="1"/>
      <c r="J413" s="125" t="s">
        <v>788</v>
      </c>
      <c r="K413" s="18">
        <v>800</v>
      </c>
      <c r="L413" s="1" t="s">
        <v>133</v>
      </c>
      <c r="M413" s="1"/>
      <c r="N413" s="1"/>
      <c r="O413" s="1"/>
      <c r="P413" s="1"/>
      <c r="Q413" s="1"/>
    </row>
    <row r="414" spans="1:17" x14ac:dyDescent="0.25">
      <c r="A414" s="4" t="s">
        <v>197</v>
      </c>
      <c r="B414" s="19">
        <f>(1+B406)*B407</f>
        <v>413.65740023368045</v>
      </c>
      <c r="C414" s="1" t="s">
        <v>133</v>
      </c>
      <c r="D414" s="1"/>
      <c r="E414" s="1"/>
      <c r="F414" s="1"/>
      <c r="G414" s="1"/>
      <c r="H414" s="1"/>
      <c r="I414" s="1"/>
      <c r="J414" s="125" t="s">
        <v>789</v>
      </c>
      <c r="K414" s="18">
        <v>1200</v>
      </c>
      <c r="L414" s="1" t="s">
        <v>133</v>
      </c>
      <c r="M414" s="1"/>
      <c r="N414" s="1"/>
      <c r="O414" s="125" t="s">
        <v>790</v>
      </c>
      <c r="P414" s="18">
        <v>500</v>
      </c>
      <c r="Q414" s="1" t="s">
        <v>133</v>
      </c>
    </row>
    <row r="415" spans="1:17" x14ac:dyDescent="0.25">
      <c r="A415" s="4" t="s">
        <v>197</v>
      </c>
      <c r="B415" s="126">
        <f>B407+B408+B409*B410-B411</f>
        <v>888.20986413312187</v>
      </c>
      <c r="C415" s="1" t="s">
        <v>791</v>
      </c>
      <c r="D415" s="1"/>
      <c r="E415" s="1" t="s">
        <v>133</v>
      </c>
      <c r="F415" s="1"/>
      <c r="G415" s="1"/>
      <c r="H415" s="1"/>
      <c r="I415" s="1"/>
      <c r="J415" s="125" t="s">
        <v>792</v>
      </c>
      <c r="K415" s="43">
        <f>B419</f>
        <v>578.15408297717488</v>
      </c>
      <c r="L415" s="1" t="s">
        <v>133</v>
      </c>
      <c r="M415" s="1"/>
      <c r="N415" s="1"/>
      <c r="O415" s="125" t="s">
        <v>177</v>
      </c>
      <c r="P415" s="43">
        <f>B426</f>
        <v>207.20323815546706</v>
      </c>
      <c r="Q415" s="1" t="s">
        <v>133</v>
      </c>
    </row>
    <row r="416" spans="1:17" x14ac:dyDescent="0.25">
      <c r="A416" s="4"/>
      <c r="B416" s="1"/>
      <c r="C416" s="1"/>
      <c r="D416" s="1"/>
      <c r="E416" s="1"/>
      <c r="F416" s="1"/>
      <c r="G416" s="1"/>
      <c r="H416" s="1"/>
      <c r="I416" s="1"/>
      <c r="J416" s="125" t="s">
        <v>197</v>
      </c>
      <c r="K416" s="43">
        <f>B415</f>
        <v>888.20986413312187</v>
      </c>
      <c r="L416" s="1" t="s">
        <v>133</v>
      </c>
      <c r="M416" s="1"/>
      <c r="N416" s="1"/>
      <c r="O416" s="125" t="s">
        <v>793</v>
      </c>
      <c r="P416" s="43">
        <f>B422</f>
        <v>94.585469077733535</v>
      </c>
      <c r="Q416" s="1" t="s">
        <v>133</v>
      </c>
    </row>
    <row r="417" spans="1:17" x14ac:dyDescent="0.25">
      <c r="A417" s="4" t="s">
        <v>176</v>
      </c>
      <c r="B417" s="1"/>
      <c r="C417" s="1"/>
      <c r="D417" s="1"/>
      <c r="E417" s="1"/>
      <c r="F417" s="1"/>
      <c r="G417" s="1"/>
      <c r="H417" s="1"/>
      <c r="I417" s="1"/>
      <c r="J417" s="125" t="s">
        <v>794</v>
      </c>
      <c r="K417" s="18">
        <v>1.3</v>
      </c>
      <c r="L417" s="1"/>
      <c r="M417" s="1"/>
      <c r="N417" s="1"/>
      <c r="O417" s="125"/>
      <c r="P417" s="125"/>
      <c r="Q417" s="1"/>
    </row>
    <row r="418" spans="1:17" x14ac:dyDescent="0.25">
      <c r="A418" s="4" t="s">
        <v>792</v>
      </c>
      <c r="B418" s="19">
        <f>B406*B407</f>
        <v>103.60161907773353</v>
      </c>
      <c r="C418" s="1" t="s">
        <v>133</v>
      </c>
      <c r="D418" s="1"/>
      <c r="E418" s="1"/>
      <c r="F418" s="1"/>
      <c r="G418" s="1"/>
      <c r="H418" s="1"/>
      <c r="I418" s="1"/>
      <c r="J418" s="125" t="s">
        <v>795</v>
      </c>
      <c r="K418" s="18">
        <v>1.2</v>
      </c>
      <c r="L418" s="1"/>
      <c r="M418" s="1"/>
      <c r="N418" s="1"/>
      <c r="O418" s="125" t="s">
        <v>795</v>
      </c>
      <c r="P418" s="18">
        <v>1</v>
      </c>
      <c r="Q418" s="1"/>
    </row>
    <row r="419" spans="1:17" x14ac:dyDescent="0.25">
      <c r="A419" s="4" t="s">
        <v>792</v>
      </c>
      <c r="B419" s="19">
        <f>B408-B411+B409*B410</f>
        <v>578.15408297717488</v>
      </c>
      <c r="C419" s="1" t="s">
        <v>133</v>
      </c>
      <c r="D419" s="1"/>
      <c r="E419" s="1"/>
      <c r="F419" s="1"/>
      <c r="G419" s="1"/>
      <c r="H419" s="1"/>
      <c r="I419" s="1"/>
      <c r="J419" s="125" t="s">
        <v>796</v>
      </c>
      <c r="K419" s="18">
        <v>1</v>
      </c>
      <c r="L419" s="1"/>
      <c r="M419" s="1"/>
      <c r="N419" s="1"/>
      <c r="O419" s="125" t="s">
        <v>796</v>
      </c>
      <c r="P419" s="18">
        <v>0.6</v>
      </c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25"/>
      <c r="K420" s="125"/>
      <c r="L420" s="1"/>
      <c r="M420" s="1"/>
      <c r="N420" s="1"/>
      <c r="O420" s="125"/>
      <c r="P420" s="125"/>
      <c r="Q420" s="1"/>
    </row>
    <row r="421" spans="1:17" x14ac:dyDescent="0.25">
      <c r="A421" s="4" t="s">
        <v>176</v>
      </c>
      <c r="B421" s="1"/>
      <c r="C421" s="1"/>
      <c r="D421" s="1"/>
      <c r="E421" s="1"/>
      <c r="F421" s="1"/>
      <c r="G421" s="1"/>
      <c r="H421" s="1"/>
      <c r="I421" s="1"/>
      <c r="J421" s="125"/>
      <c r="K421" s="125"/>
      <c r="L421" s="1"/>
      <c r="M421" s="1"/>
      <c r="N421" s="1"/>
      <c r="O421" s="125"/>
      <c r="P421" s="125"/>
      <c r="Q421" s="1"/>
    </row>
    <row r="422" spans="1:17" x14ac:dyDescent="0.25">
      <c r="A422" s="4" t="s">
        <v>793</v>
      </c>
      <c r="B422" s="19">
        <f>B406*B407+B411-B409*B410</f>
        <v>94.585469077733535</v>
      </c>
      <c r="C422" s="1" t="s">
        <v>133</v>
      </c>
      <c r="D422" s="1"/>
      <c r="E422" s="1"/>
      <c r="F422" s="1"/>
      <c r="G422" s="1"/>
      <c r="H422" s="1"/>
      <c r="I422" s="1"/>
      <c r="J422" s="125" t="s">
        <v>797</v>
      </c>
      <c r="K422" s="43">
        <f>-(K415+K416)/4</f>
        <v>-366.59098677757419</v>
      </c>
      <c r="L422" s="1" t="s">
        <v>133</v>
      </c>
      <c r="M422" s="1"/>
      <c r="N422" s="1"/>
      <c r="O422" s="125" t="s">
        <v>798</v>
      </c>
      <c r="P422" s="43">
        <f>(P415+P416)/4</f>
        <v>75.447176808300156</v>
      </c>
      <c r="Q422" s="1" t="s">
        <v>133</v>
      </c>
    </row>
    <row r="423" spans="1:17" x14ac:dyDescent="0.25">
      <c r="A423" s="4" t="s">
        <v>793</v>
      </c>
      <c r="B423" s="19">
        <f>B408</f>
        <v>569.13793297717484</v>
      </c>
      <c r="C423" s="1" t="s">
        <v>133</v>
      </c>
      <c r="D423" s="1"/>
      <c r="E423" s="1"/>
      <c r="F423" s="1"/>
      <c r="G423" s="1"/>
      <c r="H423" s="1"/>
      <c r="I423" s="1"/>
      <c r="J423" s="125" t="s">
        <v>799</v>
      </c>
      <c r="K423" s="43">
        <f>((K415+K416-K414)*K418/K419)/2</f>
        <v>159.81836826617806</v>
      </c>
      <c r="L423" s="1" t="s">
        <v>133</v>
      </c>
      <c r="M423" s="1"/>
      <c r="N423" s="1"/>
      <c r="O423" s="125" t="s">
        <v>800</v>
      </c>
      <c r="P423" s="43">
        <f>-((P415+P416-P414/4)*P418*(1+B309/B308)/P419)/2</f>
        <v>-157.75393492048141</v>
      </c>
      <c r="Q423" s="1" t="s">
        <v>133</v>
      </c>
    </row>
    <row r="424" spans="1:17" x14ac:dyDescent="0.25">
      <c r="A424" s="4"/>
      <c r="B424"/>
      <c r="C424" s="1"/>
      <c r="D424" s="1"/>
      <c r="E424" s="1"/>
      <c r="F424" s="1"/>
      <c r="G424" s="1"/>
      <c r="H424" s="1"/>
      <c r="I424" s="1"/>
      <c r="J424" s="125" t="s">
        <v>801</v>
      </c>
      <c r="K424" s="43">
        <f>-((K415+K416+K414/4)*K418/K419)/2</f>
        <v>-1059.8183682661779</v>
      </c>
      <c r="L424" s="1" t="s">
        <v>133</v>
      </c>
      <c r="M424" s="1"/>
      <c r="N424" s="1"/>
      <c r="O424" s="125" t="s">
        <v>802</v>
      </c>
      <c r="P424" s="43">
        <f>((P415+P416+P414/4)*P418/P419)/2</f>
        <v>355.65725602766719</v>
      </c>
      <c r="Q424" s="1" t="s">
        <v>133</v>
      </c>
    </row>
    <row r="425" spans="1:17" x14ac:dyDescent="0.25">
      <c r="A425" s="4" t="s">
        <v>176</v>
      </c>
      <c r="B425"/>
      <c r="C425" s="1"/>
      <c r="D425" s="1"/>
      <c r="E425" s="1"/>
      <c r="F425" s="1"/>
      <c r="G425" s="1"/>
      <c r="H425" s="1"/>
      <c r="I425" s="1"/>
      <c r="J425" s="125" t="s">
        <v>803</v>
      </c>
      <c r="K425" s="43">
        <f>-((B407/(B491/2))/K417)/4</f>
        <v>-312.99796199873504</v>
      </c>
      <c r="L425" s="1" t="s">
        <v>133</v>
      </c>
      <c r="M425" s="1"/>
      <c r="N425" s="1"/>
      <c r="O425" s="1"/>
      <c r="P425" s="1"/>
      <c r="Q425" s="1"/>
    </row>
    <row r="426" spans="1:17" x14ac:dyDescent="0.25">
      <c r="A426" s="4" t="s">
        <v>177</v>
      </c>
      <c r="B426" s="19">
        <f>2*B406*B407</f>
        <v>207.20323815546706</v>
      </c>
      <c r="C426" s="1" t="s">
        <v>133</v>
      </c>
      <c r="D426" s="1" t="s">
        <v>804</v>
      </c>
      <c r="E426" s="1"/>
      <c r="F426" s="1"/>
      <c r="G426" s="1"/>
      <c r="H426" s="1"/>
      <c r="I426" s="1"/>
      <c r="J426" s="125" t="s">
        <v>805</v>
      </c>
      <c r="K426" s="43">
        <f>(((B407/(B491/2))/K418)-K413)/4</f>
        <v>139.08112549862966</v>
      </c>
      <c r="L426" s="1" t="s">
        <v>133</v>
      </c>
      <c r="M426" s="1"/>
      <c r="N426" s="1"/>
      <c r="O426" s="1"/>
      <c r="P426" s="1"/>
      <c r="Q426" s="1"/>
    </row>
    <row r="427" spans="1:17" x14ac:dyDescent="0.25">
      <c r="A427" s="4"/>
      <c r="B42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4" t="s">
        <v>178</v>
      </c>
      <c r="B428" s="44">
        <f>B308*1.5%</f>
        <v>0.16950000000000001</v>
      </c>
      <c r="C428" s="1" t="s">
        <v>58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4"/>
      <c r="B42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3" t="s">
        <v>806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3" spans="1:3" x14ac:dyDescent="0.25">
      <c r="A433" s="3" t="s">
        <v>807</v>
      </c>
      <c r="B433" s="1"/>
      <c r="C433" s="1"/>
    </row>
    <row r="434" spans="1:3" x14ac:dyDescent="0.25">
      <c r="A434" s="3"/>
      <c r="B434" s="1"/>
      <c r="C434" s="1"/>
    </row>
    <row r="435" spans="1:3" x14ac:dyDescent="0.25">
      <c r="A435" s="3"/>
      <c r="B435" s="1" t="s">
        <v>808</v>
      </c>
      <c r="C435" s="1"/>
    </row>
    <row r="436" spans="1:3" x14ac:dyDescent="0.25">
      <c r="A436" s="3"/>
      <c r="B436" s="42" t="s">
        <v>183</v>
      </c>
      <c r="C436" s="1"/>
    </row>
    <row r="437" spans="1:3" x14ac:dyDescent="0.25">
      <c r="A437" s="3"/>
      <c r="B437" s="42"/>
      <c r="C437" s="1"/>
    </row>
    <row r="438" spans="1:3" x14ac:dyDescent="0.25">
      <c r="A438" s="3"/>
      <c r="B438" s="1" t="s">
        <v>809</v>
      </c>
      <c r="C438" s="1"/>
    </row>
    <row r="439" spans="1:3" x14ac:dyDescent="0.25">
      <c r="A439" s="3"/>
      <c r="B439" s="1" t="s">
        <v>184</v>
      </c>
      <c r="C439" s="1"/>
    </row>
    <row r="440" spans="1:3" x14ac:dyDescent="0.25">
      <c r="A440" s="52" t="s">
        <v>185</v>
      </c>
      <c r="B440" s="1"/>
      <c r="C440" s="1"/>
    </row>
    <row r="441" spans="1:3" x14ac:dyDescent="0.25">
      <c r="A441" s="53" t="s">
        <v>186</v>
      </c>
      <c r="B441" s="1" t="s">
        <v>187</v>
      </c>
      <c r="C441" s="1"/>
    </row>
    <row r="442" spans="1:3" x14ac:dyDescent="0.25">
      <c r="A442" s="4" t="s">
        <v>188</v>
      </c>
      <c r="B442" s="1" t="s">
        <v>189</v>
      </c>
      <c r="C442" s="1"/>
    </row>
    <row r="443" spans="1:3" x14ac:dyDescent="0.25">
      <c r="A443" s="4" t="s">
        <v>190</v>
      </c>
      <c r="B443" s="1" t="s">
        <v>191</v>
      </c>
      <c r="C443" s="1"/>
    </row>
    <row r="444" spans="1:3" x14ac:dyDescent="0.25">
      <c r="A444" s="4" t="s">
        <v>197</v>
      </c>
      <c r="B444" s="1" t="s">
        <v>192</v>
      </c>
      <c r="C444" s="1"/>
    </row>
    <row r="445" spans="1:3" x14ac:dyDescent="0.25">
      <c r="A445" s="4" t="s">
        <v>70</v>
      </c>
      <c r="B445" s="1" t="s">
        <v>193</v>
      </c>
      <c r="C445" s="1"/>
    </row>
    <row r="446" spans="1:3" x14ac:dyDescent="0.25">
      <c r="A446" s="4" t="s">
        <v>194</v>
      </c>
      <c r="B446" s="1" t="s">
        <v>195</v>
      </c>
      <c r="C446" s="1"/>
    </row>
    <row r="447" spans="1:3" x14ac:dyDescent="0.25">
      <c r="A447" s="4" t="s">
        <v>810</v>
      </c>
      <c r="B447" s="1" t="s">
        <v>811</v>
      </c>
      <c r="C447" s="1"/>
    </row>
    <row r="448" spans="1:3" x14ac:dyDescent="0.25">
      <c r="A448" s="52" t="s">
        <v>43</v>
      </c>
      <c r="B448" s="1"/>
      <c r="C448" s="1"/>
    </row>
    <row r="449" spans="1:11" x14ac:dyDescent="0.25">
      <c r="A449" s="4" t="s">
        <v>190</v>
      </c>
      <c r="B449" s="19">
        <f>B117/10</f>
        <v>76.2</v>
      </c>
      <c r="C449" s="1" t="s">
        <v>196</v>
      </c>
      <c r="D449" s="1"/>
      <c r="E449" s="1"/>
      <c r="F449" s="1"/>
      <c r="G449" s="1"/>
      <c r="H449" s="1"/>
      <c r="I449" s="1"/>
    </row>
    <row r="450" spans="1:11" x14ac:dyDescent="0.25">
      <c r="A450" s="4" t="s">
        <v>197</v>
      </c>
      <c r="B450" s="19">
        <f>B415</f>
        <v>888.20986413312187</v>
      </c>
      <c r="C450" s="1" t="s">
        <v>133</v>
      </c>
      <c r="D450" s="1"/>
      <c r="E450" s="1"/>
      <c r="F450" s="1"/>
      <c r="G450" s="1"/>
      <c r="H450" s="1"/>
      <c r="I450" s="1"/>
    </row>
    <row r="451" spans="1:11" x14ac:dyDescent="0.25">
      <c r="A451" s="4" t="s">
        <v>188</v>
      </c>
      <c r="B451" s="19">
        <f>B450/B449</f>
        <v>11.656297429568529</v>
      </c>
      <c r="C451" s="1" t="s">
        <v>198</v>
      </c>
      <c r="D451" s="1"/>
      <c r="E451" s="1"/>
      <c r="F451" s="1"/>
      <c r="G451" s="1"/>
      <c r="H451" s="1"/>
      <c r="I451" s="1"/>
    </row>
    <row r="452" spans="1:11" x14ac:dyDescent="0.25">
      <c r="A452" s="4" t="s">
        <v>70</v>
      </c>
      <c r="B452" s="18">
        <v>22</v>
      </c>
      <c r="C452" s="1" t="s">
        <v>71</v>
      </c>
      <c r="D452" s="1"/>
      <c r="E452" s="127" t="s">
        <v>812</v>
      </c>
      <c r="F452" s="128"/>
      <c r="G452" s="128"/>
      <c r="H452" s="128"/>
      <c r="I452" s="128"/>
      <c r="J452" s="128"/>
      <c r="K452" s="129"/>
    </row>
    <row r="453" spans="1:11" x14ac:dyDescent="0.25">
      <c r="A453" s="4"/>
      <c r="B453" s="1"/>
      <c r="C453" s="1"/>
      <c r="D453" s="1"/>
      <c r="E453" s="1"/>
      <c r="F453" s="1"/>
      <c r="G453" s="1"/>
      <c r="H453" s="1"/>
      <c r="I453" s="1"/>
    </row>
    <row r="454" spans="1:11" x14ac:dyDescent="0.25">
      <c r="A454" s="52" t="s">
        <v>55</v>
      </c>
      <c r="B454" s="1"/>
      <c r="C454" s="1"/>
      <c r="D454" s="1"/>
      <c r="E454" s="1"/>
      <c r="F454" s="1"/>
      <c r="G454" s="1"/>
      <c r="H454" s="1"/>
      <c r="I454" s="1"/>
    </row>
    <row r="455" spans="1:11" x14ac:dyDescent="0.25">
      <c r="A455" s="4" t="s">
        <v>186</v>
      </c>
      <c r="B455" s="19">
        <f>B451/B452</f>
        <v>0.52983170134402402</v>
      </c>
      <c r="C455" s="1" t="s">
        <v>81</v>
      </c>
      <c r="D455" s="1"/>
      <c r="E455" s="1" t="s">
        <v>813</v>
      </c>
      <c r="F455" s="1"/>
      <c r="G455" s="1"/>
      <c r="H455" s="19">
        <f>B308/B139/60</f>
        <v>0.17438271604938274</v>
      </c>
      <c r="I455" s="1"/>
    </row>
    <row r="456" spans="1:11" x14ac:dyDescent="0.25">
      <c r="A456" s="38" t="s">
        <v>199</v>
      </c>
      <c r="B456" s="1"/>
      <c r="C456" s="1"/>
      <c r="D456" s="1"/>
      <c r="E456" s="1" t="s">
        <v>814</v>
      </c>
      <c r="F456" s="1"/>
      <c r="G456" s="1"/>
      <c r="H456" s="18">
        <v>5</v>
      </c>
      <c r="I456" s="1" t="s">
        <v>52</v>
      </c>
    </row>
    <row r="457" spans="1:11" x14ac:dyDescent="0.25">
      <c r="A457" s="4" t="s">
        <v>200</v>
      </c>
      <c r="B457" s="18">
        <v>2</v>
      </c>
      <c r="C457" s="1" t="s">
        <v>81</v>
      </c>
      <c r="D457" s="1"/>
      <c r="E457" s="1"/>
      <c r="F457" s="1"/>
      <c r="G457" s="1"/>
      <c r="H457" s="1"/>
      <c r="I457" s="1"/>
    </row>
    <row r="458" spans="1:11" x14ac:dyDescent="0.25">
      <c r="A458" s="4"/>
      <c r="B458" s="1"/>
      <c r="C458" s="1"/>
      <c r="D458" s="1"/>
      <c r="E458" s="1"/>
      <c r="F458" s="1"/>
      <c r="G458" s="1"/>
      <c r="H458" s="1"/>
      <c r="I458" s="1"/>
    </row>
    <row r="459" spans="1:11" x14ac:dyDescent="0.25">
      <c r="A459" s="4" t="s">
        <v>107</v>
      </c>
      <c r="B459" s="19">
        <f>(B308*2)+(B491*3.1415)+2</f>
        <v>25.7969115</v>
      </c>
      <c r="C459" s="1" t="s">
        <v>58</v>
      </c>
      <c r="D459" s="1"/>
      <c r="E459" s="1"/>
      <c r="F459" s="1"/>
      <c r="G459" s="1"/>
      <c r="H459" s="1"/>
      <c r="I459" s="1"/>
    </row>
    <row r="460" spans="1:11" x14ac:dyDescent="0.25">
      <c r="A460" s="4"/>
      <c r="B460" s="1"/>
      <c r="C460" s="1"/>
      <c r="D460" s="1"/>
      <c r="E460" s="1"/>
      <c r="F460" s="1"/>
      <c r="G460" s="1"/>
      <c r="H460" s="1"/>
      <c r="I460" s="1"/>
    </row>
    <row r="461" spans="1:11" x14ac:dyDescent="0.25">
      <c r="A461" s="3" t="s">
        <v>815</v>
      </c>
      <c r="B461" s="1"/>
      <c r="C461" s="1"/>
      <c r="D461" s="1"/>
      <c r="E461" s="1"/>
      <c r="F461" s="1"/>
      <c r="G461" s="1"/>
      <c r="H461" s="1"/>
      <c r="I461" s="1"/>
    </row>
    <row r="462" spans="1:11" x14ac:dyDescent="0.25">
      <c r="A462" s="4"/>
      <c r="B462" s="1"/>
      <c r="C462" s="1"/>
      <c r="D462" s="1"/>
      <c r="E462" s="1"/>
      <c r="F462" s="1"/>
      <c r="G462" s="1"/>
      <c r="H462" s="1"/>
      <c r="I462" s="1"/>
    </row>
    <row r="463" spans="1:11" x14ac:dyDescent="0.25">
      <c r="A463" s="1"/>
      <c r="B463" s="1" t="s">
        <v>205</v>
      </c>
      <c r="C463" s="1"/>
      <c r="D463" s="1"/>
      <c r="E463" s="1"/>
      <c r="F463" s="1"/>
      <c r="G463" s="1"/>
      <c r="H463" s="1"/>
      <c r="I463" s="1"/>
    </row>
    <row r="464" spans="1:11" x14ac:dyDescent="0.25">
      <c r="A464" s="1"/>
      <c r="B464" s="1" t="s">
        <v>206</v>
      </c>
      <c r="C464" s="1"/>
      <c r="D464" s="1"/>
      <c r="E464" s="1"/>
      <c r="F464" s="1"/>
      <c r="G464" s="1"/>
      <c r="H464" s="1"/>
      <c r="I464" s="1"/>
    </row>
    <row r="465" spans="1:8" x14ac:dyDescent="0.25">
      <c r="A465" s="1" t="s">
        <v>207</v>
      </c>
      <c r="B465" s="1"/>
      <c r="C465" s="1"/>
      <c r="D465" s="1"/>
      <c r="E465" s="1"/>
      <c r="F465" s="1"/>
      <c r="G465" s="1"/>
      <c r="H465" s="1"/>
    </row>
    <row r="466" spans="1:8" x14ac:dyDescent="0.25">
      <c r="A466" s="4" t="s">
        <v>197</v>
      </c>
      <c r="B466" s="19">
        <f>B450</f>
        <v>888.20986413312187</v>
      </c>
      <c r="C466" s="1" t="s">
        <v>133</v>
      </c>
      <c r="D466" s="1"/>
      <c r="E466" s="1"/>
      <c r="F466" s="1"/>
      <c r="G466" s="1"/>
      <c r="H466" s="1"/>
    </row>
    <row r="467" spans="1:8" x14ac:dyDescent="0.25">
      <c r="A467" s="4" t="s">
        <v>190</v>
      </c>
      <c r="B467" s="19">
        <f>B449</f>
        <v>76.2</v>
      </c>
      <c r="C467" s="1" t="s">
        <v>196</v>
      </c>
      <c r="D467" s="1"/>
      <c r="E467" s="1"/>
      <c r="F467" s="1"/>
      <c r="G467" s="1"/>
      <c r="H467" s="1"/>
    </row>
    <row r="468" spans="1:8" x14ac:dyDescent="0.25">
      <c r="A468" s="4" t="s">
        <v>208</v>
      </c>
      <c r="B468" s="19">
        <f>B457</f>
        <v>2</v>
      </c>
      <c r="C468" s="1" t="s">
        <v>46</v>
      </c>
      <c r="D468" s="1"/>
      <c r="E468" s="1"/>
      <c r="F468" s="1"/>
      <c r="G468" s="1"/>
      <c r="H468" s="1"/>
    </row>
    <row r="469" spans="1:8" x14ac:dyDescent="0.25">
      <c r="A469" s="4" t="s">
        <v>209</v>
      </c>
      <c r="B469" s="19">
        <f>B452</f>
        <v>22</v>
      </c>
      <c r="C469" s="1" t="s">
        <v>210</v>
      </c>
      <c r="D469" s="1"/>
      <c r="E469" s="1" t="s">
        <v>816</v>
      </c>
      <c r="F469" s="1"/>
      <c r="G469" s="19">
        <f>B457*B452*B449*9.8/1000</f>
        <v>32.857440000000004</v>
      </c>
      <c r="H469" s="1" t="s">
        <v>817</v>
      </c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4" t="s">
        <v>211</v>
      </c>
      <c r="B471" s="19">
        <f>B466*100/(B467*B468*B469)</f>
        <v>26.4915850672012</v>
      </c>
      <c r="C471" s="32" t="s">
        <v>212</v>
      </c>
      <c r="D471" s="1" t="s">
        <v>818</v>
      </c>
      <c r="E471" s="1"/>
      <c r="F471" s="19">
        <f>B457*B452*B449/B466</f>
        <v>3.7747835679265704</v>
      </c>
      <c r="G471" s="1"/>
      <c r="H471" s="1"/>
    </row>
    <row r="472" spans="1:8" x14ac:dyDescent="0.25">
      <c r="A472" s="3"/>
      <c r="B472" s="1"/>
      <c r="C472" s="1"/>
      <c r="D472" s="1"/>
      <c r="E472" s="1"/>
      <c r="F472" s="1"/>
      <c r="G472" s="1"/>
      <c r="H472" s="1"/>
    </row>
    <row r="473" spans="1:8" x14ac:dyDescent="0.25">
      <c r="A473" s="3" t="s">
        <v>819</v>
      </c>
      <c r="B473" s="1"/>
      <c r="C473" s="1"/>
      <c r="D473" s="1"/>
      <c r="E473" s="1"/>
      <c r="F473" s="1"/>
      <c r="G473" s="1"/>
      <c r="H473" s="1"/>
    </row>
    <row r="474" spans="1:8" x14ac:dyDescent="0.25">
      <c r="A474" s="3"/>
      <c r="B474" s="1"/>
      <c r="C474" s="1"/>
      <c r="D474" s="1"/>
      <c r="E474" s="1"/>
      <c r="F474" s="1"/>
      <c r="G474" s="1"/>
      <c r="H474" s="1"/>
    </row>
    <row r="475" spans="1:8" x14ac:dyDescent="0.25">
      <c r="A475" s="3" t="s">
        <v>820</v>
      </c>
      <c r="B475" s="1"/>
      <c r="C475" s="1"/>
      <c r="D475" s="1"/>
      <c r="E475" s="1"/>
      <c r="F475" s="1"/>
      <c r="G475" s="1"/>
      <c r="H475" s="1"/>
    </row>
    <row r="476" spans="1:8" x14ac:dyDescent="0.25">
      <c r="A476" s="3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52" t="s">
        <v>335</v>
      </c>
      <c r="C477" s="1"/>
      <c r="D477" s="1"/>
      <c r="E477" s="1"/>
      <c r="F477" s="1"/>
      <c r="G477" s="1"/>
      <c r="H477" s="1"/>
    </row>
    <row r="478" spans="1:8" x14ac:dyDescent="0.25">
      <c r="A478" s="1"/>
      <c r="B478" s="52" t="s">
        <v>336</v>
      </c>
      <c r="C478" s="1"/>
      <c r="D478" s="1"/>
      <c r="E478" s="1"/>
      <c r="F478" s="1"/>
      <c r="G478" s="1"/>
      <c r="H478" s="1"/>
    </row>
    <row r="479" spans="1:8" x14ac:dyDescent="0.25">
      <c r="A479" s="52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52" t="s">
        <v>337</v>
      </c>
      <c r="C480" s="1"/>
      <c r="D480" s="1"/>
      <c r="E480" s="1"/>
      <c r="F480" s="1"/>
      <c r="G480" s="1"/>
      <c r="H480" s="1"/>
    </row>
    <row r="481" spans="1:8" x14ac:dyDescent="0.25">
      <c r="A481" s="1"/>
      <c r="B481" s="52" t="s">
        <v>338</v>
      </c>
      <c r="C481" s="1"/>
      <c r="D481" s="1"/>
      <c r="E481" s="1"/>
      <c r="F481" s="1"/>
      <c r="G481" s="1"/>
      <c r="H481" s="1"/>
    </row>
    <row r="482" spans="1:8" x14ac:dyDescent="0.25">
      <c r="A482" s="52" t="s">
        <v>23</v>
      </c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 t="s">
        <v>339</v>
      </c>
      <c r="C483" s="1"/>
      <c r="D483" s="1"/>
      <c r="E483" s="1"/>
      <c r="F483" s="1"/>
      <c r="G483" s="1"/>
      <c r="H483" s="1"/>
    </row>
    <row r="484" spans="1:8" x14ac:dyDescent="0.25">
      <c r="A484" s="1"/>
      <c r="B484" s="1" t="s">
        <v>340</v>
      </c>
      <c r="C484" s="130"/>
      <c r="D484" s="1"/>
      <c r="E484" s="1"/>
      <c r="F484" s="1"/>
      <c r="G484" s="1"/>
      <c r="H484" s="1"/>
    </row>
    <row r="485" spans="1:8" x14ac:dyDescent="0.25">
      <c r="A485" s="1"/>
      <c r="B485" s="1" t="s">
        <v>341</v>
      </c>
      <c r="C485" s="1"/>
      <c r="D485" s="1"/>
      <c r="E485" s="1"/>
      <c r="F485" s="1"/>
      <c r="G485" s="1"/>
      <c r="H485" s="1"/>
    </row>
    <row r="486" spans="1:8" x14ac:dyDescent="0.25">
      <c r="A486" s="1"/>
      <c r="B486" s="1" t="s">
        <v>342</v>
      </c>
      <c r="C486" s="130"/>
      <c r="D486" s="1"/>
      <c r="E486" s="1"/>
      <c r="F486" s="1"/>
      <c r="G486" s="1"/>
      <c r="H486" s="1"/>
    </row>
    <row r="487" spans="1:8" x14ac:dyDescent="0.25">
      <c r="A487" s="1"/>
      <c r="B487" s="1" t="s">
        <v>343</v>
      </c>
      <c r="C487" s="130"/>
      <c r="D487" s="1"/>
      <c r="E487" s="1"/>
      <c r="F487" s="1"/>
      <c r="G487" s="1"/>
      <c r="H487" s="1"/>
    </row>
    <row r="488" spans="1:8" x14ac:dyDescent="0.25">
      <c r="A488" s="1"/>
      <c r="B488" s="130"/>
      <c r="C488" s="1"/>
      <c r="D488" s="1"/>
      <c r="E488" s="1"/>
      <c r="F488" s="1"/>
      <c r="G488" s="1"/>
      <c r="H488" s="1"/>
    </row>
    <row r="489" spans="1:8" x14ac:dyDescent="0.25">
      <c r="A489" s="1" t="s">
        <v>344</v>
      </c>
      <c r="B489" s="130"/>
      <c r="C489" s="1"/>
      <c r="D489" s="38"/>
      <c r="E489" s="1"/>
      <c r="F489" s="1"/>
      <c r="G489" s="1"/>
      <c r="H489" s="1"/>
    </row>
    <row r="490" spans="1:8" x14ac:dyDescent="0.25">
      <c r="A490" s="4" t="s">
        <v>345</v>
      </c>
      <c r="B490" s="44">
        <f>(POWER(((6.56-((100-B471)/40))*(2*POWER(B457,1/2)+0.0122*B452)),2))*1.05/1000</f>
        <v>0.2245579644347778</v>
      </c>
      <c r="C490" s="1" t="s">
        <v>58</v>
      </c>
      <c r="D490" s="38"/>
      <c r="E490" s="1"/>
      <c r="F490" s="1"/>
      <c r="G490" s="1"/>
      <c r="H490" s="1"/>
    </row>
    <row r="491" spans="1:8" x14ac:dyDescent="0.25">
      <c r="A491" s="4" t="s">
        <v>114</v>
      </c>
      <c r="B491" s="131">
        <f>0.355+0.026</f>
        <v>0.38100000000000001</v>
      </c>
      <c r="C491" s="1" t="s">
        <v>58</v>
      </c>
      <c r="D491" s="33">
        <f>B491/B490</f>
        <v>1.6966666088152056</v>
      </c>
      <c r="E491" s="1"/>
      <c r="F491" s="1" t="s">
        <v>821</v>
      </c>
      <c r="G491" s="1"/>
      <c r="H491" s="18">
        <v>5</v>
      </c>
    </row>
    <row r="492" spans="1:8" x14ac:dyDescent="0.25">
      <c r="A492" s="4" t="s">
        <v>26</v>
      </c>
      <c r="B492" s="17">
        <f>B139</f>
        <v>1.08</v>
      </c>
      <c r="C492" s="38" t="s">
        <v>48</v>
      </c>
      <c r="D492" s="1"/>
      <c r="E492" s="1"/>
      <c r="F492" s="1" t="s">
        <v>822</v>
      </c>
      <c r="G492" s="1"/>
      <c r="H492" s="18">
        <v>5</v>
      </c>
    </row>
    <row r="493" spans="1:8" x14ac:dyDescent="0.25">
      <c r="A493" s="4" t="s">
        <v>346</v>
      </c>
      <c r="B493" s="18">
        <v>1750</v>
      </c>
      <c r="C493" s="38" t="s">
        <v>347</v>
      </c>
      <c r="D493" s="1"/>
      <c r="E493" s="1"/>
      <c r="F493" s="1"/>
      <c r="G493" s="1"/>
      <c r="H493" s="1"/>
    </row>
    <row r="494" spans="1:8" x14ac:dyDescent="0.25">
      <c r="A494" s="4" t="s">
        <v>348</v>
      </c>
      <c r="B494" s="65">
        <f>B492*60/B491/3.1415</f>
        <v>54.139341129231369</v>
      </c>
      <c r="C494" s="38" t="s">
        <v>347</v>
      </c>
      <c r="D494" s="1"/>
      <c r="E494" s="1"/>
      <c r="F494" s="1"/>
      <c r="G494" s="1"/>
      <c r="H494" s="1"/>
    </row>
    <row r="495" spans="1:8" x14ac:dyDescent="0.25">
      <c r="A495" s="1"/>
      <c r="B495" s="130"/>
      <c r="C495" s="1"/>
      <c r="D495" s="38"/>
      <c r="E495" s="1"/>
      <c r="F495" s="1"/>
      <c r="G495" s="1"/>
      <c r="H495" s="1"/>
    </row>
    <row r="496" spans="1:8" x14ac:dyDescent="0.25">
      <c r="A496" s="1" t="s">
        <v>349</v>
      </c>
      <c r="B496" s="1"/>
      <c r="C496" s="1"/>
      <c r="D496" s="1"/>
      <c r="E496" s="1"/>
      <c r="F496" s="1"/>
      <c r="G496" s="1"/>
      <c r="H496" s="1"/>
    </row>
    <row r="497" spans="1:19" x14ac:dyDescent="0.25">
      <c r="A497" s="1" t="s">
        <v>823</v>
      </c>
      <c r="B497" s="66">
        <v>1</v>
      </c>
      <c r="C497" s="65">
        <f>B493/B494</f>
        <v>32.323998842592587</v>
      </c>
      <c r="D497" s="1"/>
      <c r="E497" s="1"/>
      <c r="F497" s="1" t="s">
        <v>824</v>
      </c>
      <c r="G497" s="1"/>
      <c r="H497" s="1"/>
      <c r="I497" s="240" t="str">
        <f>"MOTORREDUTOR 1:"&amp;ROUND(C497,2)&amp;" - "&amp;ROUND(B332,1)&amp;" kW, 4P, 60Hz, IP65"</f>
        <v>MOTORREDUTOR 1:32,32 - 5,6 kW, 4P, 60Hz, IP65</v>
      </c>
      <c r="J497" s="240"/>
      <c r="K497" s="240"/>
      <c r="L497" s="240"/>
      <c r="M497" s="240"/>
      <c r="N497" s="1"/>
    </row>
    <row r="498" spans="1:1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9" x14ac:dyDescent="0.25">
      <c r="A499" s="3" t="s">
        <v>825</v>
      </c>
      <c r="B499" s="1"/>
      <c r="C499" s="1"/>
      <c r="D499" s="1"/>
      <c r="E499" s="1"/>
      <c r="F499" s="1"/>
      <c r="G499" s="1"/>
      <c r="H499" s="1"/>
      <c r="I499" s="255" t="s">
        <v>1387</v>
      </c>
      <c r="J499" s="256"/>
      <c r="K499" s="256"/>
      <c r="L499" s="256"/>
      <c r="M499" s="256"/>
      <c r="N499" s="256"/>
      <c r="O499" s="256"/>
      <c r="P499" s="256"/>
      <c r="Q499" s="256"/>
      <c r="R499" s="256"/>
      <c r="S499" s="257"/>
    </row>
    <row r="500" spans="1:1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33"/>
      <c r="L500" s="1"/>
      <c r="M500" s="1"/>
      <c r="N500" s="1"/>
    </row>
    <row r="501" spans="1:19" x14ac:dyDescent="0.25">
      <c r="A501" s="1" t="s">
        <v>826</v>
      </c>
      <c r="B501" s="1"/>
      <c r="C501" s="1"/>
      <c r="D501" s="1"/>
      <c r="E501" s="1"/>
      <c r="F501" s="1"/>
      <c r="G501" s="1"/>
      <c r="H501" s="1"/>
    </row>
    <row r="502" spans="1:1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9" x14ac:dyDescent="0.25">
      <c r="A503" s="1"/>
      <c r="B503" s="1" t="s">
        <v>827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9" ht="15" x14ac:dyDescent="0.25">
      <c r="A505" s="1"/>
      <c r="B505" s="1" t="s">
        <v>216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9" x14ac:dyDescent="0.25">
      <c r="A506" s="1"/>
      <c r="B506" s="4">
        <v>2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9" ht="15" x14ac:dyDescent="0.25">
      <c r="A508" s="1"/>
      <c r="B508" s="1" t="s">
        <v>217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9" x14ac:dyDescent="0.25">
      <c r="A509" s="1"/>
      <c r="B509" s="1" t="s">
        <v>218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9" ht="17.399999999999999" x14ac:dyDescent="0.25">
      <c r="A511" s="1"/>
      <c r="B511" s="1" t="s">
        <v>219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4" spans="1:2" ht="15" x14ac:dyDescent="0.25">
      <c r="A514" s="1"/>
      <c r="B514" s="1" t="s">
        <v>220</v>
      </c>
    </row>
    <row r="515" spans="1:2" x14ac:dyDescent="0.25">
      <c r="A515" s="1"/>
      <c r="B515" s="1" t="s">
        <v>221</v>
      </c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 t="s">
        <v>828</v>
      </c>
    </row>
    <row r="519" spans="1:2" x14ac:dyDescent="0.25">
      <c r="A519" s="1"/>
      <c r="B519" s="1"/>
    </row>
    <row r="520" spans="1:2" x14ac:dyDescent="0.25">
      <c r="A520" s="1"/>
      <c r="B520" s="1" t="s">
        <v>829</v>
      </c>
    </row>
    <row r="521" spans="1:2" x14ac:dyDescent="0.25">
      <c r="A521" s="1"/>
      <c r="B521" s="1"/>
    </row>
    <row r="522" spans="1:2" ht="15" x14ac:dyDescent="0.25">
      <c r="A522" s="1"/>
      <c r="B522" s="1" t="s">
        <v>224</v>
      </c>
    </row>
    <row r="523" spans="1:2" x14ac:dyDescent="0.25">
      <c r="A523" s="1"/>
      <c r="B523" s="4">
        <v>2</v>
      </c>
    </row>
    <row r="524" spans="1:2" x14ac:dyDescent="0.25">
      <c r="A524" s="1"/>
      <c r="B524" s="1"/>
    </row>
    <row r="525" spans="1:2" ht="15" x14ac:dyDescent="0.25">
      <c r="A525" s="1"/>
      <c r="B525" s="1" t="s">
        <v>225</v>
      </c>
    </row>
    <row r="526" spans="1:2" x14ac:dyDescent="0.25">
      <c r="A526" s="1"/>
      <c r="B526" s="1" t="s">
        <v>221</v>
      </c>
    </row>
    <row r="527" spans="1:2" x14ac:dyDescent="0.25">
      <c r="A527" s="1"/>
      <c r="B527" s="1"/>
    </row>
    <row r="528" spans="1:2" x14ac:dyDescent="0.25">
      <c r="A528" s="1" t="s">
        <v>23</v>
      </c>
      <c r="B528" s="1"/>
    </row>
    <row r="529" spans="1:2" x14ac:dyDescent="0.25">
      <c r="A529" s="1"/>
      <c r="B529" s="38" t="s">
        <v>830</v>
      </c>
    </row>
    <row r="530" spans="1:2" x14ac:dyDescent="0.25">
      <c r="A530" s="1"/>
      <c r="B530" s="1" t="s">
        <v>226</v>
      </c>
    </row>
    <row r="531" spans="1:2" x14ac:dyDescent="0.25">
      <c r="A531" s="1"/>
      <c r="B531" s="1" t="s">
        <v>227</v>
      </c>
    </row>
    <row r="532" spans="1:2" x14ac:dyDescent="0.25">
      <c r="A532" s="1"/>
      <c r="B532" s="1" t="s">
        <v>831</v>
      </c>
    </row>
    <row r="533" spans="1:2" x14ac:dyDescent="0.25">
      <c r="A533" s="1"/>
      <c r="B533" s="1" t="s">
        <v>229</v>
      </c>
    </row>
    <row r="534" spans="1:2" ht="15.6" x14ac:dyDescent="0.25">
      <c r="A534" s="1"/>
      <c r="B534" s="52" t="s">
        <v>832</v>
      </c>
    </row>
    <row r="535" spans="1:2" x14ac:dyDescent="0.25">
      <c r="A535" s="1"/>
      <c r="B535" s="1" t="s">
        <v>231</v>
      </c>
    </row>
    <row r="536" spans="1:2" x14ac:dyDescent="0.25">
      <c r="A536" s="1"/>
      <c r="B536" s="1" t="s">
        <v>232</v>
      </c>
    </row>
    <row r="537" spans="1:2" x14ac:dyDescent="0.25">
      <c r="A537" s="1"/>
      <c r="B537" s="1" t="s">
        <v>233</v>
      </c>
    </row>
    <row r="538" spans="1:2" x14ac:dyDescent="0.25">
      <c r="A538" s="1"/>
      <c r="B538" s="1" t="s">
        <v>234</v>
      </c>
    </row>
    <row r="539" spans="1:2" x14ac:dyDescent="0.25">
      <c r="A539" s="1"/>
      <c r="B539" s="1" t="s">
        <v>235</v>
      </c>
    </row>
    <row r="540" spans="1:2" x14ac:dyDescent="0.25">
      <c r="A540" s="1"/>
      <c r="B540" s="1" t="s">
        <v>236</v>
      </c>
    </row>
    <row r="541" spans="1:2" x14ac:dyDescent="0.25">
      <c r="A541" s="1"/>
      <c r="B541" s="1" t="s">
        <v>833</v>
      </c>
    </row>
    <row r="542" spans="1:2" x14ac:dyDescent="0.25">
      <c r="A542" s="1"/>
      <c r="B542" s="1" t="s">
        <v>834</v>
      </c>
    </row>
    <row r="543" spans="1:2" x14ac:dyDescent="0.25">
      <c r="A543" s="1"/>
      <c r="B543" s="1" t="s">
        <v>239</v>
      </c>
    </row>
    <row r="545" spans="1:26" x14ac:dyDescent="0.25">
      <c r="A545" s="3" t="s">
        <v>835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26" ht="15.6" x14ac:dyDescent="0.3">
      <c r="A546" s="1" t="s">
        <v>243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26" ht="13.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9" t="s">
        <v>241</v>
      </c>
      <c r="L547" s="9"/>
      <c r="M547" s="1"/>
      <c r="N547" s="58" t="s">
        <v>285</v>
      </c>
      <c r="O547" s="1"/>
      <c r="P547" s="58" t="s">
        <v>286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4" t="s">
        <v>276</v>
      </c>
      <c r="B548" s="19">
        <f>IF(B116=60,212,IF(B116=54,195,IF(B116=30,126,IF(B116=36,142,IF(B116=42,157,IF(B116=48,178,IF(B116=24,110,0)))))))</f>
        <v>126</v>
      </c>
      <c r="C548" s="1" t="s">
        <v>196</v>
      </c>
      <c r="D548" s="1"/>
      <c r="E548" s="1"/>
      <c r="F548" s="1"/>
      <c r="G548" s="1"/>
      <c r="H548" s="1"/>
      <c r="I548" s="1"/>
      <c r="J548" s="1"/>
      <c r="K548" s="9" t="s">
        <v>244</v>
      </c>
      <c r="L548" s="9" t="s">
        <v>245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4" t="s">
        <v>246</v>
      </c>
      <c r="B549" s="18">
        <v>190</v>
      </c>
      <c r="C549" s="1" t="s">
        <v>133</v>
      </c>
      <c r="D549" s="1"/>
      <c r="E549" s="1"/>
      <c r="F549" s="1"/>
      <c r="G549" s="1"/>
      <c r="H549" s="1"/>
      <c r="I549" s="1"/>
      <c r="J549" s="1"/>
      <c r="K549" s="9">
        <v>20</v>
      </c>
      <c r="L549" s="9">
        <v>67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25">
      <c r="A550" s="4" t="s">
        <v>247</v>
      </c>
      <c r="B550" s="19">
        <f>(B548-(25.4*B183+105)/10)/2</f>
        <v>19.649999999999999</v>
      </c>
      <c r="C550" s="1" t="s">
        <v>196</v>
      </c>
      <c r="D550" s="1"/>
      <c r="E550" s="1"/>
      <c r="F550" s="1"/>
      <c r="G550" s="1"/>
      <c r="H550" s="1"/>
      <c r="I550" s="1"/>
      <c r="J550" s="1"/>
      <c r="K550" s="9">
        <v>25</v>
      </c>
      <c r="L550" s="9">
        <v>77</v>
      </c>
      <c r="M550" s="1"/>
      <c r="N550" s="1"/>
      <c r="O550" s="1"/>
      <c r="P550" s="1" t="s">
        <v>288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4" t="s">
        <v>248</v>
      </c>
      <c r="B551" s="19">
        <f>POWER(((B415+B419)*(B415+B419)+(B549)*(B549)),1/2)</f>
        <v>1478.6220698288287</v>
      </c>
      <c r="C551" s="1" t="s">
        <v>133</v>
      </c>
      <c r="D551" s="1"/>
      <c r="E551" s="1"/>
      <c r="F551" s="1"/>
      <c r="G551" s="1"/>
      <c r="H551" s="1"/>
      <c r="I551" s="1"/>
      <c r="J551" s="1"/>
      <c r="K551" s="9">
        <v>30</v>
      </c>
      <c r="L551" s="9">
        <v>82</v>
      </c>
      <c r="M551" s="1"/>
      <c r="N551" s="1"/>
      <c r="O551" s="1"/>
      <c r="P551" s="1" t="s">
        <v>289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4" t="s">
        <v>147</v>
      </c>
      <c r="B552" s="19">
        <f>B330</f>
        <v>7.5</v>
      </c>
      <c r="C552" s="1" t="s">
        <v>249</v>
      </c>
      <c r="D552" s="1"/>
      <c r="E552" s="1"/>
      <c r="F552" s="1"/>
      <c r="G552" s="1"/>
      <c r="H552" s="1"/>
      <c r="I552" s="1"/>
      <c r="J552" s="1"/>
      <c r="K552" s="9">
        <v>35</v>
      </c>
      <c r="L552" s="9">
        <v>85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4" t="s">
        <v>114</v>
      </c>
      <c r="B553" s="17">
        <f>B491*100</f>
        <v>38.1</v>
      </c>
      <c r="C553" s="1" t="s">
        <v>196</v>
      </c>
      <c r="D553" s="1"/>
      <c r="E553" s="1"/>
      <c r="F553" s="1"/>
      <c r="G553" s="1"/>
      <c r="H553" s="1"/>
      <c r="I553" s="1"/>
      <c r="J553" s="1"/>
      <c r="K553" s="9">
        <v>40</v>
      </c>
      <c r="L553" s="9">
        <v>85</v>
      </c>
      <c r="M553" s="1"/>
      <c r="N553" s="1"/>
      <c r="O553" s="4" t="s">
        <v>290</v>
      </c>
      <c r="P553" s="1" t="s">
        <v>291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4" t="s">
        <v>30</v>
      </c>
      <c r="B554" s="17">
        <f>B139</f>
        <v>1.08</v>
      </c>
      <c r="C554" s="1" t="s">
        <v>48</v>
      </c>
      <c r="D554" s="1"/>
      <c r="E554" s="1"/>
      <c r="F554" s="1"/>
      <c r="G554" s="1"/>
      <c r="H554" s="1"/>
      <c r="I554" s="1"/>
      <c r="J554" s="1"/>
      <c r="K554" s="9">
        <v>45</v>
      </c>
      <c r="L554" s="9">
        <v>90</v>
      </c>
      <c r="M554" s="1"/>
      <c r="N554" s="1"/>
      <c r="O554" s="4" t="s">
        <v>294</v>
      </c>
      <c r="P554" s="1" t="s">
        <v>295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4" t="s">
        <v>250</v>
      </c>
      <c r="B555" s="18">
        <v>2</v>
      </c>
      <c r="C555" s="1" t="s">
        <v>46</v>
      </c>
      <c r="D555" s="1"/>
      <c r="E555" s="1"/>
      <c r="F555" s="1"/>
      <c r="G555" s="1"/>
      <c r="H555" s="1"/>
      <c r="I555" s="1"/>
      <c r="J555" s="1"/>
      <c r="K555" s="9">
        <v>50</v>
      </c>
      <c r="L555" s="9">
        <v>95</v>
      </c>
      <c r="M555" s="1"/>
      <c r="N555" s="1"/>
      <c r="O555" s="4" t="s">
        <v>296</v>
      </c>
      <c r="P555" s="1" t="s">
        <v>297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4" t="s">
        <v>251</v>
      </c>
      <c r="B556" s="18">
        <v>1.5</v>
      </c>
      <c r="C556" s="1" t="s">
        <v>46</v>
      </c>
      <c r="D556" s="1"/>
      <c r="E556" s="1"/>
      <c r="F556" s="1"/>
      <c r="G556" s="1"/>
      <c r="H556" s="1"/>
      <c r="I556" s="1"/>
      <c r="J556" s="1"/>
      <c r="K556" s="9">
        <v>55</v>
      </c>
      <c r="L556" s="9">
        <v>105</v>
      </c>
      <c r="M556" s="1"/>
      <c r="N556" s="1"/>
      <c r="O556" s="4" t="s">
        <v>298</v>
      </c>
      <c r="P556" s="1" t="s">
        <v>299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4" t="s">
        <v>252</v>
      </c>
      <c r="B557" s="19">
        <f>B550*B551/2</f>
        <v>14527.46183606824</v>
      </c>
      <c r="C557" s="1" t="s">
        <v>837</v>
      </c>
      <c r="D557" s="1"/>
      <c r="E557" s="1"/>
      <c r="F557" s="1"/>
      <c r="G557" s="1"/>
      <c r="H557" s="1"/>
      <c r="I557" s="1"/>
      <c r="J557" s="1"/>
      <c r="K557" s="9">
        <v>60</v>
      </c>
      <c r="L557" s="9">
        <v>110</v>
      </c>
      <c r="M557" s="1"/>
      <c r="N557" s="1"/>
      <c r="O557" s="4" t="s">
        <v>114</v>
      </c>
      <c r="P557" s="1" t="s">
        <v>301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4" t="s">
        <v>254</v>
      </c>
      <c r="B558" s="19">
        <f>B552*38*B553/B554</f>
        <v>10054.166666666666</v>
      </c>
      <c r="C558" s="1" t="s">
        <v>837</v>
      </c>
      <c r="D558" s="1"/>
      <c r="E558" s="1"/>
      <c r="F558" s="1"/>
      <c r="G558" s="1"/>
      <c r="H558" s="1"/>
      <c r="I558" s="1"/>
      <c r="J558" s="1"/>
      <c r="K558" s="9">
        <v>65</v>
      </c>
      <c r="L558" s="9">
        <v>115</v>
      </c>
      <c r="M558" s="1"/>
      <c r="N558" s="1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4" t="s">
        <v>255</v>
      </c>
      <c r="B559" s="19">
        <f>POWER((POWER(B556*B557,2)+POWER(B555*B558,2)),0.5)</f>
        <v>29651.326295646333</v>
      </c>
      <c r="C559" s="1" t="s">
        <v>837</v>
      </c>
      <c r="D559" s="1"/>
      <c r="E559" s="1"/>
      <c r="F559" s="1"/>
      <c r="G559" s="1"/>
      <c r="H559" s="1"/>
      <c r="I559" s="1"/>
      <c r="J559" s="1"/>
      <c r="K559" s="9">
        <v>70</v>
      </c>
      <c r="L559" s="9">
        <v>120</v>
      </c>
      <c r="M559" s="1"/>
      <c r="N559" s="1"/>
      <c r="O559" s="4" t="s">
        <v>294</v>
      </c>
      <c r="P559" s="43">
        <f>B551/B449</f>
        <v>19.404489105365204</v>
      </c>
      <c r="Q559" s="1" t="s">
        <v>198</v>
      </c>
      <c r="R559" s="1"/>
      <c r="S559" s="1" t="s">
        <v>302</v>
      </c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9">
        <v>75</v>
      </c>
      <c r="L560" s="9">
        <v>125</v>
      </c>
      <c r="M560" s="1"/>
      <c r="N560" s="1"/>
      <c r="O560" s="4" t="s">
        <v>296</v>
      </c>
      <c r="P560" s="50">
        <v>2.92E-2</v>
      </c>
      <c r="Q560" s="1" t="s">
        <v>303</v>
      </c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 t="s">
        <v>838</v>
      </c>
      <c r="B561" s="1"/>
      <c r="C561" s="1"/>
      <c r="D561" s="1" t="s">
        <v>257</v>
      </c>
      <c r="E561" s="1"/>
      <c r="F561" s="1"/>
      <c r="G561" s="1"/>
      <c r="H561" s="1"/>
      <c r="I561" s="1"/>
      <c r="J561" s="1"/>
      <c r="K561" s="9">
        <v>80</v>
      </c>
      <c r="L561" s="9">
        <v>140</v>
      </c>
      <c r="M561" s="1"/>
      <c r="N561" s="1"/>
      <c r="O561" s="4" t="s">
        <v>298</v>
      </c>
      <c r="P561" s="50">
        <v>560</v>
      </c>
      <c r="Q561" s="38" t="s">
        <v>305</v>
      </c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4" t="s">
        <v>258</v>
      </c>
      <c r="B562" s="19">
        <f>10*POWER(((16*B559)/(3.1415*560)),1/3)</f>
        <v>64.607014377827085</v>
      </c>
      <c r="C562" s="1" t="s">
        <v>52</v>
      </c>
      <c r="D562" s="4" t="s">
        <v>258</v>
      </c>
      <c r="E562" s="19">
        <f>B625</f>
        <v>106.54397383032311</v>
      </c>
      <c r="F562" s="1" t="s">
        <v>52</v>
      </c>
      <c r="G562" s="1"/>
      <c r="H562" s="4" t="s">
        <v>259</v>
      </c>
      <c r="I562" s="19" cm="1">
        <f t="array" ref="I562">SUMPRODUCT(LARGE((K549:K577&gt;B564)*(K549:K577),COUNTIF(K549:K577,"&gt;"&amp;B564)))-25</f>
        <v>90</v>
      </c>
      <c r="J562" s="1" t="s">
        <v>52</v>
      </c>
      <c r="K562" s="9">
        <v>85</v>
      </c>
      <c r="L562" s="9">
        <v>145</v>
      </c>
      <c r="M562" s="1"/>
      <c r="N562" s="1"/>
      <c r="O562" s="4" t="s">
        <v>306</v>
      </c>
      <c r="P562" s="17">
        <f>B553</f>
        <v>38.1</v>
      </c>
      <c r="Q562" s="1" t="s">
        <v>307</v>
      </c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 t="s">
        <v>199</v>
      </c>
      <c r="B563" s="1"/>
      <c r="C563" s="1"/>
      <c r="D563" s="1"/>
      <c r="E563" s="1"/>
      <c r="F563" s="1"/>
      <c r="G563" s="1"/>
      <c r="H563" s="1"/>
      <c r="I563" s="1"/>
      <c r="J563" s="1"/>
      <c r="K563" s="9">
        <v>90</v>
      </c>
      <c r="L563" s="9">
        <v>160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4" t="s">
        <v>261</v>
      </c>
      <c r="B564" s="18">
        <f>4.5*25.4</f>
        <v>114.3</v>
      </c>
      <c r="C564" s="1" t="s">
        <v>52</v>
      </c>
      <c r="D564" s="1" t="s">
        <v>839</v>
      </c>
      <c r="E564" s="43">
        <f>8000*((E566/1000)*(3.1415*(B564/1000)^2)/4)</f>
        <v>149.3932270194</v>
      </c>
      <c r="F564" s="1" t="s">
        <v>68</v>
      </c>
      <c r="G564" s="1"/>
      <c r="H564" s="1"/>
      <c r="I564" s="1"/>
      <c r="J564" s="1"/>
      <c r="K564" s="9">
        <v>100</v>
      </c>
      <c r="L564" s="9">
        <v>175</v>
      </c>
      <c r="M564" s="1"/>
      <c r="N564" s="1"/>
      <c r="O564" s="4" t="s">
        <v>290</v>
      </c>
      <c r="P564" s="17">
        <f>10*(P560*(3*P559*P562)/P561)^0.5</f>
        <v>3.4007259376938999</v>
      </c>
      <c r="Q564" s="1" t="s">
        <v>52</v>
      </c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9">
        <v>110</v>
      </c>
      <c r="L565" s="9">
        <v>185</v>
      </c>
      <c r="M565" s="1"/>
      <c r="N565" s="1"/>
      <c r="O565" s="4" t="s">
        <v>290</v>
      </c>
      <c r="P565" s="18">
        <v>6</v>
      </c>
      <c r="Q565" s="1" t="s">
        <v>52</v>
      </c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3" t="s">
        <v>840</v>
      </c>
      <c r="B566" s="1"/>
      <c r="C566" s="1"/>
      <c r="D566" s="1"/>
      <c r="E566" s="1">
        <f>B548*10+L563+50+350</f>
        <v>1820</v>
      </c>
      <c r="F566" s="1" t="s">
        <v>52</v>
      </c>
      <c r="G566" s="1"/>
      <c r="H566" s="1"/>
      <c r="I566" s="1"/>
      <c r="J566" s="1"/>
      <c r="K566" s="9">
        <v>115</v>
      </c>
      <c r="L566" s="9">
        <v>190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 t="s">
        <v>243</v>
      </c>
      <c r="B567" s="1"/>
      <c r="C567" s="1"/>
      <c r="D567" s="1"/>
      <c r="E567" s="1"/>
      <c r="F567" s="1"/>
      <c r="G567" s="1"/>
      <c r="H567" s="1"/>
      <c r="I567"/>
      <c r="J567" s="1"/>
      <c r="K567" s="9">
        <v>125</v>
      </c>
      <c r="L567" s="9">
        <v>205</v>
      </c>
      <c r="M567" s="1"/>
      <c r="N567" s="1"/>
      <c r="O567" s="1"/>
      <c r="P567" s="1"/>
      <c r="Q567" s="62"/>
      <c r="R567" s="38" t="s">
        <v>1299</v>
      </c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4" t="s">
        <v>247</v>
      </c>
      <c r="B568" s="19">
        <f>(B615-B616)/2</f>
        <v>19.649999999999999</v>
      </c>
      <c r="C568" s="1" t="s">
        <v>196</v>
      </c>
      <c r="D568" s="1"/>
      <c r="E568" s="1"/>
      <c r="F568" s="1"/>
      <c r="G568" s="1"/>
      <c r="H568" s="1"/>
      <c r="I568" s="1"/>
      <c r="J568" s="1"/>
      <c r="K568" s="9">
        <v>135</v>
      </c>
      <c r="L568" s="9">
        <v>180</v>
      </c>
      <c r="M568" s="1"/>
      <c r="N568" s="1"/>
      <c r="O568" s="1"/>
      <c r="P568" s="1" t="s">
        <v>1300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4" t="s">
        <v>263</v>
      </c>
      <c r="B569" s="19">
        <f>POWER(((2*B422)^2+(B549)^2),1/2)</f>
        <v>268.1149825030663</v>
      </c>
      <c r="C569" s="1" t="s">
        <v>68</v>
      </c>
      <c r="D569" s="1"/>
      <c r="E569" s="1"/>
      <c r="F569" s="1"/>
      <c r="G569" s="1"/>
      <c r="H569" s="1"/>
      <c r="I569" s="1"/>
      <c r="J569" s="1"/>
      <c r="K569" s="9">
        <v>140</v>
      </c>
      <c r="L569" s="9">
        <v>190</v>
      </c>
      <c r="M569" s="1"/>
      <c r="N569" s="1"/>
      <c r="O569" s="1"/>
      <c r="P569" s="1" t="s">
        <v>311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4" t="s">
        <v>251</v>
      </c>
      <c r="B570" s="18">
        <v>2</v>
      </c>
      <c r="C570" s="1" t="s">
        <v>46</v>
      </c>
      <c r="D570" s="1"/>
      <c r="E570" s="1"/>
      <c r="F570" s="1"/>
      <c r="G570" s="1"/>
      <c r="H570" s="1"/>
      <c r="I570" s="1"/>
      <c r="J570" s="1"/>
      <c r="K570" s="9">
        <v>150</v>
      </c>
      <c r="L570" s="9">
        <v>205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4"/>
      <c r="B571" s="1"/>
      <c r="C571" s="1"/>
      <c r="D571" s="1"/>
      <c r="E571" s="1"/>
      <c r="F571" s="1"/>
      <c r="G571" s="1"/>
      <c r="H571" s="1"/>
      <c r="I571" s="1"/>
      <c r="J571" s="1"/>
      <c r="K571" s="9">
        <v>160</v>
      </c>
      <c r="L571" s="9">
        <v>210</v>
      </c>
      <c r="M571" s="1"/>
      <c r="N571" s="1"/>
      <c r="O571" s="4" t="s">
        <v>290</v>
      </c>
      <c r="P571" s="1" t="s">
        <v>312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 t="s">
        <v>838</v>
      </c>
      <c r="B572" s="1"/>
      <c r="C572" s="1"/>
      <c r="D572" s="1" t="s">
        <v>257</v>
      </c>
      <c r="E572" s="1"/>
      <c r="F572" s="1"/>
      <c r="G572" s="1"/>
      <c r="H572" s="1"/>
      <c r="I572" s="1"/>
      <c r="J572" s="1"/>
      <c r="K572" s="9">
        <v>170</v>
      </c>
      <c r="L572" s="9">
        <v>220</v>
      </c>
      <c r="M572" s="1"/>
      <c r="N572" s="1"/>
      <c r="O572" s="4" t="s">
        <v>294</v>
      </c>
      <c r="P572" s="1" t="s">
        <v>295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4" t="s">
        <v>258</v>
      </c>
      <c r="B573" s="19">
        <f>10*POWER((32*B568*B569*B570)/(3.1415*560*2),1/3)</f>
        <v>45.761772929016146</v>
      </c>
      <c r="C573" s="1" t="s">
        <v>52</v>
      </c>
      <c r="D573" s="4" t="s">
        <v>258</v>
      </c>
      <c r="E573" s="17">
        <f>B647</f>
        <v>61.258236254541032</v>
      </c>
      <c r="F573" s="1" t="s">
        <v>52</v>
      </c>
      <c r="G573" s="1"/>
      <c r="H573" s="4" t="s">
        <v>259</v>
      </c>
      <c r="I573" s="19" cm="1">
        <f t="array" ref="I573">SUMPRODUCT(LARGE((K549:K577&gt;B575)*(K549:K577),COUNTIF(K549:K577,"&gt;"&amp;B575)))-10</f>
        <v>55</v>
      </c>
      <c r="J573" s="1" t="s">
        <v>52</v>
      </c>
      <c r="K573" s="9">
        <v>180</v>
      </c>
      <c r="L573" s="9">
        <v>235</v>
      </c>
      <c r="M573" s="1"/>
      <c r="N573" s="1"/>
      <c r="O573" s="4" t="s">
        <v>313</v>
      </c>
      <c r="P573" s="1" t="s">
        <v>314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 t="s">
        <v>265</v>
      </c>
      <c r="B574" s="1"/>
      <c r="C574" s="1"/>
      <c r="D574" s="1"/>
      <c r="E574" s="1"/>
      <c r="F574" s="1"/>
      <c r="G574" s="1"/>
      <c r="H574" s="1"/>
      <c r="I574" s="1"/>
      <c r="J574" s="1"/>
      <c r="K574" s="9">
        <v>200</v>
      </c>
      <c r="L574" s="9">
        <v>255</v>
      </c>
      <c r="M574" s="1"/>
      <c r="N574" s="1"/>
      <c r="O574" s="4" t="s">
        <v>278</v>
      </c>
      <c r="P574" s="1" t="s">
        <v>315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25">
      <c r="A575" s="4" t="s">
        <v>266</v>
      </c>
      <c r="B575" s="18">
        <f>2.5*25.4</f>
        <v>63.5</v>
      </c>
      <c r="C575" s="1" t="s">
        <v>52</v>
      </c>
      <c r="D575" s="1" t="s">
        <v>839</v>
      </c>
      <c r="E575" s="43">
        <f>8000*((G575/1000)*(3.1415*(B575/1000)^2)/4)</f>
        <v>34.285350380775</v>
      </c>
      <c r="F575" s="1" t="s">
        <v>68</v>
      </c>
      <c r="G575" s="1">
        <f>B548*10*0.955+L554+60</f>
        <v>1353.3</v>
      </c>
      <c r="H575" s="1" t="s">
        <v>52</v>
      </c>
      <c r="I575" s="1"/>
      <c r="J575" s="1"/>
      <c r="K575" s="9">
        <v>220</v>
      </c>
      <c r="L575" s="9">
        <v>265</v>
      </c>
      <c r="M575" s="1"/>
      <c r="N575" s="1"/>
      <c r="O575" s="4" t="s">
        <v>317</v>
      </c>
      <c r="P575" s="52" t="s">
        <v>283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9">
        <v>240</v>
      </c>
      <c r="L576" s="9">
        <v>285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3" t="s">
        <v>841</v>
      </c>
      <c r="B577" s="1"/>
      <c r="C577" s="1"/>
      <c r="D577" s="1"/>
      <c r="E577" s="1"/>
      <c r="F577" s="1"/>
      <c r="G577" s="1"/>
      <c r="H577" s="1"/>
      <c r="I577" s="1"/>
      <c r="J577" s="1"/>
      <c r="K577" s="9">
        <v>260</v>
      </c>
      <c r="L577" s="9">
        <v>295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42"/>
      <c r="L578" s="42"/>
      <c r="N578" s="1"/>
      <c r="O578" s="4" t="s">
        <v>290</v>
      </c>
      <c r="P578" s="17">
        <f>P565/10</f>
        <v>0.6</v>
      </c>
      <c r="Q578" s="1" t="s">
        <v>307</v>
      </c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4" t="s">
        <v>263</v>
      </c>
      <c r="B579" s="132">
        <f>POWER(((B422)^2+(B422+200)^2),1/2)</f>
        <v>309.39781762708537</v>
      </c>
      <c r="C579" s="1" t="s">
        <v>68</v>
      </c>
      <c r="D579" s="1"/>
      <c r="E579" s="1"/>
      <c r="F579" s="1"/>
      <c r="G579" s="1"/>
      <c r="H579" s="1"/>
      <c r="I579" s="1"/>
      <c r="J579" s="1"/>
      <c r="K579" s="42"/>
      <c r="L579" s="42"/>
      <c r="N579" s="1"/>
      <c r="O579" s="4" t="s">
        <v>313</v>
      </c>
      <c r="P579" s="43">
        <f>B449</f>
        <v>76.2</v>
      </c>
      <c r="Q579" s="1" t="s">
        <v>307</v>
      </c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4"/>
      <c r="B580" s="133"/>
      <c r="C580" s="1"/>
      <c r="D580" s="1"/>
      <c r="E580" s="1"/>
      <c r="F580" s="1"/>
      <c r="G580" s="1"/>
      <c r="H580" s="1"/>
      <c r="I580" s="1"/>
      <c r="J580" s="1"/>
      <c r="K580" s="42"/>
      <c r="L580" s="42"/>
      <c r="N580" s="1"/>
      <c r="O580" s="4" t="s">
        <v>321</v>
      </c>
      <c r="P580" s="43">
        <f>B553/2</f>
        <v>19.05</v>
      </c>
      <c r="Q580" s="1" t="s">
        <v>307</v>
      </c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4" t="s">
        <v>842</v>
      </c>
      <c r="B581" s="134">
        <f>E573*0.83</f>
        <v>50.844336091269057</v>
      </c>
      <c r="C581" s="1"/>
      <c r="D581" s="1"/>
      <c r="E581" s="1"/>
      <c r="F581" s="1"/>
      <c r="G581" s="1"/>
      <c r="H581" s="4" t="s">
        <v>259</v>
      </c>
      <c r="I581" s="19">
        <f t="array" ref="I581">SUMPRODUCT(LARGE((K549:K577&gt;B583)*(K549:K577),COUNTIF(K549:K577,"&gt;"&amp;B583)))-20</f>
        <v>50</v>
      </c>
      <c r="J581" s="1" t="s">
        <v>52</v>
      </c>
      <c r="K581" s="42"/>
      <c r="L581" s="4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 t="s">
        <v>265</v>
      </c>
      <c r="B582" s="135"/>
      <c r="C582" s="1"/>
      <c r="D582" s="1"/>
      <c r="E582" s="135"/>
      <c r="F582" s="1"/>
      <c r="G582" s="1"/>
      <c r="H582" s="1"/>
      <c r="I582" s="1"/>
      <c r="J582" s="1"/>
      <c r="K582" s="42"/>
      <c r="L582" s="42"/>
      <c r="N582" s="3"/>
      <c r="O582" s="4" t="s">
        <v>324</v>
      </c>
      <c r="P582" s="44">
        <f>(B618*P579*P580*(P578^3)/P559)^0.25</f>
        <v>76.322958423091251</v>
      </c>
      <c r="Q582" s="3"/>
      <c r="R582" s="4" t="s">
        <v>278</v>
      </c>
      <c r="S582" s="60">
        <f>B608</f>
        <v>38.1</v>
      </c>
      <c r="T582" s="1" t="s">
        <v>196</v>
      </c>
      <c r="U582" s="3"/>
      <c r="V582" s="3"/>
      <c r="W582" s="3"/>
      <c r="X582" s="3"/>
      <c r="Y582" s="3"/>
      <c r="Z582" s="3"/>
    </row>
    <row r="583" spans="1:26" x14ac:dyDescent="0.25">
      <c r="A583" s="4" t="s">
        <v>842</v>
      </c>
      <c r="B583" s="18">
        <f>2.75*25.4</f>
        <v>69.849999999999994</v>
      </c>
      <c r="C583" s="1"/>
      <c r="D583" s="1" t="s">
        <v>843</v>
      </c>
      <c r="E583" s="43">
        <f>8000*((G583/1000)*(3.1415*(B583/1000)^2)/4)</f>
        <v>44.55076379748774</v>
      </c>
      <c r="F583" s="1" t="s">
        <v>68</v>
      </c>
      <c r="G583" s="1">
        <f>B548*10*0.955+L566+60</f>
        <v>1453.3</v>
      </c>
      <c r="H583" s="1" t="s">
        <v>52</v>
      </c>
      <c r="I583" s="1"/>
      <c r="J583" s="1"/>
      <c r="K583" s="1"/>
      <c r="L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4"/>
      <c r="B584"/>
      <c r="C584" s="1"/>
      <c r="D584" s="1"/>
      <c r="E584" s="135"/>
      <c r="F584" s="1"/>
      <c r="G584" s="1"/>
      <c r="H584" s="1"/>
      <c r="I584" s="1"/>
      <c r="J584" s="1"/>
      <c r="K584" s="1"/>
      <c r="L584" s="1"/>
      <c r="N584" s="1"/>
      <c r="O584" s="1"/>
      <c r="P584" s="1" t="s">
        <v>1302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3" t="s">
        <v>844</v>
      </c>
      <c r="B585" s="1"/>
      <c r="C585" s="1"/>
      <c r="D585" s="1"/>
      <c r="E585" s="1"/>
      <c r="F585" s="1"/>
      <c r="G585" s="1"/>
      <c r="H585" s="1"/>
      <c r="I585" s="1"/>
      <c r="J585" s="1"/>
      <c r="K585" s="136"/>
      <c r="L585" s="136"/>
    </row>
    <row r="586" spans="1:26" x14ac:dyDescent="0.2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42"/>
      <c r="L586" s="42"/>
    </row>
    <row r="587" spans="1:26" x14ac:dyDescent="0.25">
      <c r="A587" s="4" t="s">
        <v>263</v>
      </c>
      <c r="B587" s="19">
        <f>ABS((2*B422)-(B426))</f>
        <v>18.032299999999992</v>
      </c>
      <c r="C587" s="1" t="s">
        <v>68</v>
      </c>
      <c r="D587" s="1"/>
      <c r="E587" s="1"/>
      <c r="F587" s="1"/>
      <c r="G587" s="1"/>
      <c r="H587" s="4" t="s">
        <v>259</v>
      </c>
      <c r="I587" s="19">
        <f>I573</f>
        <v>55</v>
      </c>
      <c r="J587" s="1" t="s">
        <v>52</v>
      </c>
      <c r="K587" s="42"/>
      <c r="L587" s="42"/>
    </row>
    <row r="588" spans="1:26" x14ac:dyDescent="0.2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42"/>
      <c r="L588" s="42"/>
    </row>
    <row r="589" spans="1:26" x14ac:dyDescent="0.25">
      <c r="A589" s="4" t="s">
        <v>842</v>
      </c>
      <c r="B589" s="43">
        <f>B575</f>
        <v>63.5</v>
      </c>
      <c r="C589" s="1"/>
      <c r="D589" s="1" t="s">
        <v>845</v>
      </c>
      <c r="E589" s="43">
        <f>8000*((G589/1000)*(3.1415*(B589/1000)^2)/4)</f>
        <v>34.285350380775</v>
      </c>
      <c r="F589" s="1" t="s">
        <v>68</v>
      </c>
      <c r="G589" s="1">
        <f>G575</f>
        <v>1353.3</v>
      </c>
      <c r="H589" s="1" t="s">
        <v>52</v>
      </c>
      <c r="I589" s="1"/>
      <c r="J589" s="1"/>
      <c r="K589" s="42"/>
      <c r="L589" s="42"/>
    </row>
    <row r="590" spans="1:26" x14ac:dyDescent="0.25">
      <c r="A590" s="4"/>
      <c r="B590"/>
      <c r="C590" s="1"/>
      <c r="D590" s="1"/>
      <c r="E590" s="135"/>
      <c r="F590" s="1"/>
      <c r="G590" s="1"/>
      <c r="H590" s="1"/>
      <c r="I590" s="1"/>
      <c r="J590" s="1"/>
      <c r="K590" s="1"/>
      <c r="L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26" x14ac:dyDescent="0.25">
      <c r="A592" s="3" t="s">
        <v>846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4" spans="1:19" x14ac:dyDescent="0.25">
      <c r="A594" s="1" t="s">
        <v>270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25">
      <c r="A595" s="4" t="s">
        <v>271</v>
      </c>
      <c r="B595" s="1" t="s">
        <v>272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25">
      <c r="A596" s="4" t="s">
        <v>248</v>
      </c>
      <c r="B596" s="1" t="s">
        <v>273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25">
      <c r="A597" s="4" t="s">
        <v>274</v>
      </c>
      <c r="B597" s="1" t="s">
        <v>275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25">
      <c r="A598" s="4" t="s">
        <v>276</v>
      </c>
      <c r="B598" s="1" t="s">
        <v>277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25">
      <c r="A599" s="4" t="s">
        <v>278</v>
      </c>
      <c r="B599" s="1" t="s">
        <v>279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25">
      <c r="A600" s="4" t="s">
        <v>280</v>
      </c>
      <c r="B600" s="1" t="s">
        <v>281</v>
      </c>
      <c r="C600" s="1"/>
      <c r="D600" s="13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6" x14ac:dyDescent="0.25">
      <c r="A601" s="4" t="s">
        <v>282</v>
      </c>
      <c r="B601" s="137" t="s">
        <v>283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25">
      <c r="A602" s="4" t="s">
        <v>847</v>
      </c>
      <c r="B602" s="137" t="s">
        <v>848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25">
      <c r="A603" s="4" t="s">
        <v>849</v>
      </c>
      <c r="B603" s="137" t="s">
        <v>850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25">
      <c r="A604" s="4" t="s">
        <v>851</v>
      </c>
      <c r="B604" s="137" t="s">
        <v>852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39.6" x14ac:dyDescent="0.25">
      <c r="A605" s="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38" t="s">
        <v>853</v>
      </c>
      <c r="S605" s="139" t="s">
        <v>854</v>
      </c>
    </row>
    <row r="606" spans="1:19" x14ac:dyDescent="0.25">
      <c r="A606" s="1" t="s">
        <v>855</v>
      </c>
      <c r="B606" s="1"/>
      <c r="C606" s="1"/>
      <c r="D606" s="1"/>
      <c r="E606" s="1"/>
      <c r="F606" s="1"/>
      <c r="G606" s="1"/>
      <c r="H606" s="1"/>
      <c r="I606" s="1" t="s">
        <v>856</v>
      </c>
      <c r="J606" s="1"/>
      <c r="K606" s="1"/>
      <c r="L606" s="1"/>
      <c r="M606" s="1"/>
      <c r="N606" s="249" t="s">
        <v>857</v>
      </c>
      <c r="O606" s="250"/>
      <c r="P606" s="1"/>
      <c r="Q606" s="1"/>
      <c r="R606" s="9">
        <v>0</v>
      </c>
      <c r="S606" s="9">
        <v>0</v>
      </c>
    </row>
    <row r="607" spans="1:19" x14ac:dyDescent="0.25">
      <c r="A607" s="1"/>
      <c r="B607" s="1"/>
      <c r="C607" s="1"/>
      <c r="D607" s="1"/>
      <c r="E607" s="1"/>
      <c r="F607" s="1"/>
      <c r="G607" s="1"/>
      <c r="H607" s="4" t="s">
        <v>858</v>
      </c>
      <c r="I607" s="44">
        <f>VLOOKUP(B116,N608:O617,2,0)/1000</f>
        <v>0.87</v>
      </c>
      <c r="J607" s="1" t="s">
        <v>859</v>
      </c>
      <c r="K607" s="1"/>
      <c r="L607" s="1"/>
      <c r="M607" s="1"/>
      <c r="N607" s="9" t="s">
        <v>860</v>
      </c>
      <c r="O607" s="9" t="s">
        <v>861</v>
      </c>
      <c r="P607" s="1"/>
      <c r="Q607" s="1"/>
      <c r="R607" s="9">
        <v>20</v>
      </c>
      <c r="S607" s="9">
        <v>6.8500000000000005E-2</v>
      </c>
    </row>
    <row r="608" spans="1:19" x14ac:dyDescent="0.25">
      <c r="A608" s="4" t="s">
        <v>487</v>
      </c>
      <c r="B608" s="17">
        <f>B491*100</f>
        <v>38.1</v>
      </c>
      <c r="C608" s="1" t="s">
        <v>196</v>
      </c>
      <c r="D608" s="1"/>
      <c r="E608" s="1"/>
      <c r="F608" s="1"/>
      <c r="G608" s="1"/>
      <c r="H608" s="4" t="s">
        <v>487</v>
      </c>
      <c r="I608" s="44">
        <f>B491</f>
        <v>0.38100000000000001</v>
      </c>
      <c r="J608" s="1" t="s">
        <v>862</v>
      </c>
      <c r="K608" s="1"/>
      <c r="L608" s="1"/>
      <c r="M608" s="1"/>
      <c r="N608" s="9">
        <v>16</v>
      </c>
      <c r="O608" s="9">
        <v>510</v>
      </c>
      <c r="P608" s="1"/>
      <c r="Q608" s="1"/>
      <c r="R608" s="9">
        <v>40</v>
      </c>
      <c r="S608" s="9">
        <v>0.10970000000000001</v>
      </c>
    </row>
    <row r="609" spans="1:19" x14ac:dyDescent="0.25">
      <c r="A609" s="4" t="s">
        <v>851</v>
      </c>
      <c r="B609" s="131">
        <v>1.0309999999999999</v>
      </c>
      <c r="C609" s="1" t="s">
        <v>196</v>
      </c>
      <c r="D609" s="1"/>
      <c r="E609" s="1"/>
      <c r="F609" s="1"/>
      <c r="G609" s="4" t="s">
        <v>863</v>
      </c>
      <c r="H609" s="4" t="s">
        <v>622</v>
      </c>
      <c r="I609" s="140">
        <f>(POWER((S615*3*(B415/B449)*B491*100)/560,1/2))/100</f>
        <v>2.635729502197729E-3</v>
      </c>
      <c r="J609" s="1" t="s">
        <v>864</v>
      </c>
      <c r="K609" s="1"/>
      <c r="L609" s="1"/>
      <c r="M609" s="1"/>
      <c r="N609" s="9">
        <v>20</v>
      </c>
      <c r="O609" s="9">
        <v>610</v>
      </c>
      <c r="P609" s="1"/>
      <c r="Q609" s="1"/>
      <c r="R609" s="9">
        <v>60</v>
      </c>
      <c r="S609" s="141">
        <v>0.127</v>
      </c>
    </row>
    <row r="610" spans="1:19" x14ac:dyDescent="0.25">
      <c r="A610" s="4" t="s">
        <v>847</v>
      </c>
      <c r="B610" s="17">
        <f>B612+(B609*2)</f>
        <v>17.062000000000001</v>
      </c>
      <c r="C610" s="1" t="s">
        <v>196</v>
      </c>
      <c r="D610" s="1"/>
      <c r="E610" s="1"/>
      <c r="F610" s="1"/>
      <c r="G610" s="4" t="s">
        <v>865</v>
      </c>
      <c r="H610" s="4" t="s">
        <v>866</v>
      </c>
      <c r="I610" s="142">
        <v>6.3499999999999997E-3</v>
      </c>
      <c r="J610" s="1" t="s">
        <v>867</v>
      </c>
      <c r="K610" s="1"/>
      <c r="L610" s="1"/>
      <c r="M610" s="1"/>
      <c r="N610" s="9">
        <v>24</v>
      </c>
      <c r="O610" s="9">
        <v>710</v>
      </c>
      <c r="P610" s="1"/>
      <c r="Q610" s="1"/>
      <c r="R610" s="9">
        <v>80</v>
      </c>
      <c r="S610" s="9">
        <v>0.1249</v>
      </c>
    </row>
    <row r="611" spans="1:19" x14ac:dyDescent="0.25">
      <c r="A611" s="4" t="s">
        <v>849</v>
      </c>
      <c r="B611" s="19">
        <f>B564*1.2/10</f>
        <v>13.715999999999999</v>
      </c>
      <c r="C611" s="1" t="s">
        <v>196</v>
      </c>
      <c r="D611" s="1" t="s">
        <v>863</v>
      </c>
      <c r="E611" s="1"/>
      <c r="F611" s="1"/>
      <c r="G611" s="1"/>
      <c r="H611" s="4" t="s">
        <v>868</v>
      </c>
      <c r="I611" s="19">
        <f>B609/100</f>
        <v>1.031E-2</v>
      </c>
      <c r="J611" s="1" t="s">
        <v>869</v>
      </c>
      <c r="K611" s="1"/>
      <c r="L611" s="1"/>
      <c r="M611" s="1"/>
      <c r="N611" s="9">
        <v>30</v>
      </c>
      <c r="O611" s="9">
        <v>870</v>
      </c>
      <c r="P611" s="1"/>
      <c r="Q611" s="1"/>
      <c r="R611" s="9">
        <v>100</v>
      </c>
      <c r="S611" s="9">
        <v>0.10920000000000001</v>
      </c>
    </row>
    <row r="612" spans="1:19" x14ac:dyDescent="0.25">
      <c r="A612" s="4" t="s">
        <v>849</v>
      </c>
      <c r="B612" s="18">
        <v>15</v>
      </c>
      <c r="C612" s="1" t="s">
        <v>196</v>
      </c>
      <c r="D612" s="1" t="s">
        <v>865</v>
      </c>
      <c r="E612" s="1"/>
      <c r="F612" s="1"/>
      <c r="G612" s="1"/>
      <c r="H612" s="4" t="s">
        <v>870</v>
      </c>
      <c r="I612" s="44">
        <f>(I607-2*I617)</f>
        <v>0.72836999999999996</v>
      </c>
      <c r="J612" s="1" t="s">
        <v>871</v>
      </c>
      <c r="K612" s="1"/>
      <c r="L612" s="1"/>
      <c r="M612" s="1"/>
      <c r="N612" s="9">
        <v>36</v>
      </c>
      <c r="O612" s="9">
        <v>1020</v>
      </c>
      <c r="P612" s="1"/>
      <c r="Q612" s="1"/>
      <c r="R612" s="9">
        <v>120</v>
      </c>
      <c r="S612" s="9">
        <v>0.10059999999999999</v>
      </c>
    </row>
    <row r="613" spans="1:19" x14ac:dyDescent="0.25">
      <c r="A613" s="4" t="s">
        <v>248</v>
      </c>
      <c r="B613" s="19">
        <f>B551</f>
        <v>1478.6220698288287</v>
      </c>
      <c r="C613" s="1" t="s">
        <v>133</v>
      </c>
      <c r="D613" s="1"/>
      <c r="E613" s="1"/>
      <c r="F613" s="1"/>
      <c r="G613" s="1"/>
      <c r="H613" s="4" t="s">
        <v>872</v>
      </c>
      <c r="I613" s="44">
        <f>I608-I610*2</f>
        <v>0.36830000000000002</v>
      </c>
      <c r="J613" s="1" t="s">
        <v>873</v>
      </c>
      <c r="K613" s="1"/>
      <c r="L613" s="1"/>
      <c r="M613" s="1"/>
      <c r="N613" s="9">
        <v>42</v>
      </c>
      <c r="O613" s="9">
        <v>1170</v>
      </c>
      <c r="P613" s="1"/>
      <c r="Q613" s="1"/>
      <c r="R613" s="9">
        <v>140</v>
      </c>
      <c r="S613" s="141">
        <v>8.1000000000000003E-2</v>
      </c>
    </row>
    <row r="614" spans="1:19" x14ac:dyDescent="0.25">
      <c r="A614" s="4" t="s">
        <v>274</v>
      </c>
      <c r="B614" s="18">
        <v>1.5</v>
      </c>
      <c r="C614" s="1" t="s">
        <v>287</v>
      </c>
      <c r="D614" s="1"/>
      <c r="E614" s="1"/>
      <c r="F614" s="1"/>
      <c r="G614" s="1"/>
      <c r="H614" s="4" t="s">
        <v>874</v>
      </c>
      <c r="I614" s="44">
        <f>B610/100</f>
        <v>0.17062000000000002</v>
      </c>
      <c r="J614" s="1" t="s">
        <v>875</v>
      </c>
      <c r="K614" s="1"/>
      <c r="L614" s="1"/>
      <c r="M614" s="1"/>
      <c r="N614" s="9">
        <v>48</v>
      </c>
      <c r="O614" s="9">
        <v>1370</v>
      </c>
      <c r="P614" s="1"/>
      <c r="Q614" s="1"/>
      <c r="R614" s="9">
        <v>160</v>
      </c>
      <c r="S614" s="9">
        <v>5.5100000000000003E-2</v>
      </c>
    </row>
    <row r="615" spans="1:19" x14ac:dyDescent="0.25">
      <c r="A615" s="4" t="s">
        <v>276</v>
      </c>
      <c r="B615" s="19">
        <f>B548</f>
        <v>126</v>
      </c>
      <c r="C615" s="1" t="s">
        <v>196</v>
      </c>
      <c r="D615" s="1"/>
      <c r="E615" s="1"/>
      <c r="F615" s="1"/>
      <c r="G615" s="1"/>
      <c r="H615" s="4" t="s">
        <v>876</v>
      </c>
      <c r="I615" s="142">
        <v>6.3499999999999997E-3</v>
      </c>
      <c r="J615" s="1" t="s">
        <v>877</v>
      </c>
      <c r="K615" s="1"/>
      <c r="L615" s="1"/>
      <c r="M615" s="1"/>
      <c r="N615" s="9">
        <v>54</v>
      </c>
      <c r="O615" s="9">
        <v>1530</v>
      </c>
      <c r="P615" s="1"/>
      <c r="Q615" s="1"/>
      <c r="R615" s="9">
        <v>180</v>
      </c>
      <c r="S615" s="9">
        <v>2.92E-2</v>
      </c>
    </row>
    <row r="616" spans="1:19" x14ac:dyDescent="0.25">
      <c r="A616" s="4" t="s">
        <v>278</v>
      </c>
      <c r="B616" s="43">
        <f>(B183*25.4+105)/10</f>
        <v>86.7</v>
      </c>
      <c r="C616" s="1" t="s">
        <v>196</v>
      </c>
      <c r="D616" s="1"/>
      <c r="E616" s="1"/>
      <c r="F616" s="1"/>
      <c r="G616" s="1"/>
      <c r="H616" s="4" t="s">
        <v>878</v>
      </c>
      <c r="I616" s="44">
        <f>I614*1.5</f>
        <v>0.25593000000000005</v>
      </c>
      <c r="J616" s="1" t="s">
        <v>879</v>
      </c>
      <c r="K616" s="1"/>
      <c r="L616" s="1"/>
      <c r="M616" s="1"/>
      <c r="N616" s="9">
        <v>60</v>
      </c>
      <c r="O616" s="9">
        <v>1680</v>
      </c>
      <c r="P616" s="1"/>
      <c r="Q616" s="1"/>
      <c r="R616" s="9">
        <v>200</v>
      </c>
      <c r="S616" s="9">
        <v>5.5100000000000003E-2</v>
      </c>
    </row>
    <row r="617" spans="1:19" x14ac:dyDescent="0.25">
      <c r="A617" s="4" t="s">
        <v>280</v>
      </c>
      <c r="B617" s="17">
        <f>B564/10</f>
        <v>11.43</v>
      </c>
      <c r="C617" s="1" t="s">
        <v>196</v>
      </c>
      <c r="D617" s="1"/>
      <c r="E617" s="1"/>
      <c r="F617" s="1"/>
      <c r="G617" s="1"/>
      <c r="H617" s="4" t="s">
        <v>880</v>
      </c>
      <c r="I617" s="44">
        <f>(I616-B564/1000)/2</f>
        <v>7.0815000000000017E-2</v>
      </c>
      <c r="J617" s="1" t="s">
        <v>881</v>
      </c>
      <c r="K617" s="1"/>
      <c r="L617" s="1"/>
      <c r="M617" s="1"/>
      <c r="N617" s="9">
        <v>72</v>
      </c>
      <c r="O617" s="9">
        <v>1990</v>
      </c>
      <c r="P617" s="1"/>
      <c r="Q617" s="1"/>
      <c r="R617" s="9">
        <v>240</v>
      </c>
      <c r="S617" s="9">
        <v>0.10059999999999999</v>
      </c>
    </row>
    <row r="618" spans="1:19" x14ac:dyDescent="0.25">
      <c r="A618" s="4" t="s">
        <v>282</v>
      </c>
      <c r="B618" s="143">
        <v>2100000</v>
      </c>
      <c r="C618" s="1" t="s">
        <v>292</v>
      </c>
      <c r="D618" s="1"/>
      <c r="E618" s="1" t="s">
        <v>882</v>
      </c>
      <c r="F618" s="1"/>
      <c r="G618" s="1"/>
      <c r="H618" s="4" t="s">
        <v>883</v>
      </c>
      <c r="I618" s="44">
        <f>I617*1.2</f>
        <v>8.4978000000000012E-2</v>
      </c>
      <c r="J618" s="1" t="s">
        <v>884</v>
      </c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25">
      <c r="A619" s="1"/>
      <c r="B619" s="1"/>
      <c r="C619" s="1"/>
      <c r="D619" s="1"/>
      <c r="E619" s="4">
        <v>2000</v>
      </c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25">
      <c r="A620" s="1"/>
      <c r="B620" s="1"/>
      <c r="C620" s="1"/>
      <c r="D620" s="1"/>
      <c r="E620" s="4"/>
      <c r="F620" s="1"/>
      <c r="G620" s="1"/>
      <c r="H620" s="1" t="s">
        <v>885</v>
      </c>
      <c r="I620" s="43">
        <f>8000*(I612)*((3.1415*(I614)^2)/4-(3.1415*(I614-2*I611)^2)/4)</f>
        <v>30.255085200512131</v>
      </c>
      <c r="J620" s="1" t="s">
        <v>68</v>
      </c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25">
      <c r="A621" s="4" t="s">
        <v>886</v>
      </c>
      <c r="B621" s="43">
        <f>PI()*(B608^4+B610^4+B612^4)/64</f>
        <v>110080.55726286837</v>
      </c>
      <c r="C621" s="1" t="s">
        <v>887</v>
      </c>
      <c r="D621" s="1"/>
      <c r="E621" s="4"/>
      <c r="F621" s="1"/>
      <c r="G621" s="1"/>
      <c r="H621" s="1" t="s">
        <v>888</v>
      </c>
      <c r="I621" s="43">
        <f>8000*(I607)*((3.1415*(I608)^2)/4-(3.1415*(I608-2*I610)^2)/4)</f>
        <v>52.01705564309998</v>
      </c>
      <c r="J621" s="1" t="s">
        <v>68</v>
      </c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25">
      <c r="A622" s="1"/>
      <c r="B622" s="1"/>
      <c r="C622" s="1"/>
      <c r="D622" s="1"/>
      <c r="E622" s="4"/>
      <c r="F622" s="1"/>
      <c r="G622" s="1">
        <v>2</v>
      </c>
      <c r="H622" s="1" t="s">
        <v>889</v>
      </c>
      <c r="I622" s="43">
        <f>2*8000*(I618)*((3.1415*(I616)^2)/4-(3.1415*(I616-2*I617)^2)/4)</f>
        <v>55.992572770241573</v>
      </c>
      <c r="J622" s="1" t="s">
        <v>68</v>
      </c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25">
      <c r="A623" s="4" t="s">
        <v>271</v>
      </c>
      <c r="B623" s="61">
        <f>(4*B613*B614*(B615-B616)*(2*B615^2+2*B615*B616-B616^2))/(3*PI()*B618*B617^4)</f>
        <v>4.7563213754235979E-2</v>
      </c>
      <c r="C623" s="1" t="s">
        <v>196</v>
      </c>
      <c r="D623" s="1" t="s">
        <v>300</v>
      </c>
      <c r="E623" s="61">
        <f>B615/E619</f>
        <v>6.3E-2</v>
      </c>
      <c r="F623" s="1" t="s">
        <v>196</v>
      </c>
      <c r="G623" s="1">
        <f>I628</f>
        <v>2</v>
      </c>
      <c r="H623" s="1" t="s">
        <v>890</v>
      </c>
      <c r="I623" s="43">
        <f>I628*8000*(I615)*((3.1415*(I613)^2)/4-(3.1415*(I614)^2)/4)</f>
        <v>8.5007611580169602</v>
      </c>
      <c r="J623" s="1" t="s">
        <v>68</v>
      </c>
      <c r="K623" s="1"/>
      <c r="L623" s="1"/>
      <c r="M623" s="1"/>
      <c r="N623" s="1"/>
      <c r="O623" s="1"/>
      <c r="P623" s="1"/>
      <c r="Q623" s="1"/>
      <c r="R623" s="1"/>
      <c r="S623" s="1"/>
    </row>
    <row r="625" spans="1:20" x14ac:dyDescent="0.25">
      <c r="A625" s="4" t="s">
        <v>280</v>
      </c>
      <c r="B625" s="61">
        <f>10*((E619*4*B613*B614*(B615-B616)*(2*B615^2+2*B615*B616-B616^2))/(3*PI()*B618*B615))^(1/4)</f>
        <v>106.54397383032311</v>
      </c>
      <c r="C625" s="1" t="s">
        <v>52</v>
      </c>
      <c r="D625" s="1"/>
      <c r="E625" s="1"/>
      <c r="F625" s="1"/>
      <c r="G625" s="1"/>
      <c r="H625" s="1" t="s">
        <v>891</v>
      </c>
      <c r="I625" s="144">
        <f>SUM(I620:I623)</f>
        <v>146.76547477187063</v>
      </c>
      <c r="J625" s="1" t="s">
        <v>68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4"/>
      <c r="B626" s="145"/>
      <c r="C626" s="1"/>
      <c r="D626" s="1"/>
      <c r="E626" s="1"/>
      <c r="F626" s="1"/>
      <c r="G626" s="1"/>
      <c r="H626" s="1"/>
      <c r="I626" s="14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4"/>
      <c r="B627" s="145" t="s">
        <v>892</v>
      </c>
      <c r="C627" s="1"/>
      <c r="D627" s="1"/>
      <c r="E627" s="1"/>
      <c r="F627" s="1"/>
      <c r="G627" s="1"/>
      <c r="H627" s="1"/>
      <c r="I627" s="14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4" t="s">
        <v>278</v>
      </c>
      <c r="B628" s="43">
        <f>B616</f>
        <v>86.7</v>
      </c>
      <c r="C628" s="1" t="s">
        <v>196</v>
      </c>
      <c r="D628" s="1"/>
      <c r="E628" s="4" t="s">
        <v>893</v>
      </c>
      <c r="F628" s="43">
        <f>POWER(B618*B116*2.54*(100*B491/2)*((100*I610)^3)/B451,1/4)</f>
        <v>90.460180572618938</v>
      </c>
      <c r="G628" s="1" t="s">
        <v>196</v>
      </c>
      <c r="H628" s="4" t="s">
        <v>894</v>
      </c>
      <c r="I628" s="134">
        <f>ROUNDUP(B628/F628,0)+1</f>
        <v>2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1"/>
      <c r="D629" s="1"/>
      <c r="E629" s="13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 t="s">
        <v>895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 t="s">
        <v>896</v>
      </c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1"/>
      <c r="D631" s="1"/>
      <c r="E631" s="1"/>
      <c r="F631" s="1"/>
      <c r="G631" s="1"/>
      <c r="H631" s="1"/>
      <c r="I631" s="1" t="s">
        <v>897</v>
      </c>
      <c r="J631" s="1"/>
      <c r="K631" s="1"/>
      <c r="L631" s="1"/>
      <c r="M631" s="1"/>
      <c r="N631" s="1"/>
      <c r="O631" s="1"/>
      <c r="P631" s="1"/>
      <c r="Q631" s="1"/>
      <c r="R631" s="1"/>
      <c r="S631" s="1" t="s">
        <v>898</v>
      </c>
      <c r="T631" s="1"/>
    </row>
    <row r="632" spans="1:20" x14ac:dyDescent="0.25">
      <c r="A632" s="4" t="s">
        <v>851</v>
      </c>
      <c r="B632" s="35">
        <v>0.81799999999999995</v>
      </c>
      <c r="C632" s="1" t="s">
        <v>196</v>
      </c>
      <c r="D632" s="1"/>
      <c r="E632" s="1"/>
      <c r="F632" s="1"/>
      <c r="G632" s="1"/>
      <c r="H632" s="4" t="s">
        <v>858</v>
      </c>
      <c r="I632" s="44">
        <f>I607</f>
        <v>0.87</v>
      </c>
      <c r="J632" s="1" t="s">
        <v>859</v>
      </c>
      <c r="K632" s="1"/>
      <c r="L632" s="1"/>
      <c r="M632" s="4" t="s">
        <v>851</v>
      </c>
      <c r="N632" s="35">
        <v>0.81799999999999995</v>
      </c>
      <c r="O632" s="1" t="s">
        <v>196</v>
      </c>
      <c r="P632" s="1"/>
      <c r="Q632" s="1"/>
      <c r="R632" s="4" t="s">
        <v>858</v>
      </c>
      <c r="S632" s="44">
        <f>I632</f>
        <v>0.87</v>
      </c>
      <c r="T632" s="1" t="s">
        <v>859</v>
      </c>
    </row>
    <row r="633" spans="1:20" x14ac:dyDescent="0.25">
      <c r="A633" s="4" t="s">
        <v>847</v>
      </c>
      <c r="B633" s="17">
        <f>B635+B632*2</f>
        <v>9.6359999999999992</v>
      </c>
      <c r="C633" s="1" t="s">
        <v>196</v>
      </c>
      <c r="D633" s="1"/>
      <c r="E633" s="1"/>
      <c r="F633" s="1"/>
      <c r="G633" s="1"/>
      <c r="H633" s="4" t="s">
        <v>487</v>
      </c>
      <c r="I633" s="44">
        <f>B490</f>
        <v>0.2245579644347778</v>
      </c>
      <c r="J633" s="1" t="s">
        <v>862</v>
      </c>
      <c r="K633" s="1"/>
      <c r="L633" s="1"/>
      <c r="M633" s="4" t="s">
        <v>847</v>
      </c>
      <c r="N633" s="17">
        <f>N635+N632*2</f>
        <v>21.91</v>
      </c>
      <c r="O633" s="1" t="s">
        <v>196</v>
      </c>
      <c r="P633" s="1"/>
      <c r="Q633" s="1"/>
      <c r="R633" s="4" t="s">
        <v>487</v>
      </c>
      <c r="S633" s="44">
        <f>I633*0.83</f>
        <v>0.18638311048086556</v>
      </c>
      <c r="T633" s="1" t="s">
        <v>862</v>
      </c>
    </row>
    <row r="634" spans="1:20" x14ac:dyDescent="0.25">
      <c r="A634" s="4" t="s">
        <v>849</v>
      </c>
      <c r="B634" s="19">
        <f>B640*1.2</f>
        <v>7.6199999999999992</v>
      </c>
      <c r="C634" s="1" t="s">
        <v>196</v>
      </c>
      <c r="D634" s="1" t="s">
        <v>863</v>
      </c>
      <c r="E634" s="1"/>
      <c r="F634" s="1"/>
      <c r="G634" s="1"/>
      <c r="H634" s="4" t="s">
        <v>622</v>
      </c>
      <c r="I634" s="44">
        <f>(POWER((S615*3*(B423/B449)*(I633*100))/560,1/2))/100</f>
        <v>1.619770747413701E-3</v>
      </c>
      <c r="J634" s="1" t="s">
        <v>864</v>
      </c>
      <c r="K634" s="1"/>
      <c r="L634" s="1"/>
      <c r="M634" s="4" t="s">
        <v>849</v>
      </c>
      <c r="N634" s="19">
        <f>(B583/10)*1.2</f>
        <v>8.3819999999999997</v>
      </c>
      <c r="O634" s="1" t="s">
        <v>196</v>
      </c>
      <c r="P634" s="1" t="s">
        <v>863</v>
      </c>
      <c r="Q634" s="1"/>
      <c r="R634" s="4" t="s">
        <v>622</v>
      </c>
      <c r="S634" s="44">
        <f>(POWER((S615*3*(B423/B449)*(S632*100))/560,1/2))/100</f>
        <v>3.1882248783557223E-3</v>
      </c>
      <c r="T634" s="1" t="s">
        <v>864</v>
      </c>
    </row>
    <row r="635" spans="1:20" x14ac:dyDescent="0.25">
      <c r="A635" s="4" t="s">
        <v>849</v>
      </c>
      <c r="B635" s="18">
        <v>8</v>
      </c>
      <c r="C635" s="1" t="s">
        <v>196</v>
      </c>
      <c r="D635" s="1" t="s">
        <v>865</v>
      </c>
      <c r="E635" s="1"/>
      <c r="F635" s="1"/>
      <c r="G635" s="1"/>
      <c r="H635" s="4" t="s">
        <v>866</v>
      </c>
      <c r="I635" s="142">
        <v>4.7600000000000003E-3</v>
      </c>
      <c r="J635" s="1" t="s">
        <v>867</v>
      </c>
      <c r="K635" s="1"/>
      <c r="L635" s="1"/>
      <c r="M635" s="4" t="s">
        <v>849</v>
      </c>
      <c r="N635" s="18">
        <v>20.274000000000001</v>
      </c>
      <c r="O635" s="1" t="s">
        <v>196</v>
      </c>
      <c r="P635" s="1" t="s">
        <v>865</v>
      </c>
      <c r="Q635" s="1"/>
      <c r="R635" s="4" t="s">
        <v>866</v>
      </c>
      <c r="S635" s="142">
        <v>6.3499999999999997E-3</v>
      </c>
      <c r="T635" s="1" t="s">
        <v>867</v>
      </c>
    </row>
    <row r="636" spans="1:20" x14ac:dyDescent="0.25">
      <c r="A636" s="4" t="s">
        <v>248</v>
      </c>
      <c r="B636" s="19">
        <f>B569</f>
        <v>268.1149825030663</v>
      </c>
      <c r="C636" s="1" t="s">
        <v>133</v>
      </c>
      <c r="D636" s="1"/>
      <c r="E636" s="1"/>
      <c r="F636" s="1"/>
      <c r="G636" s="1"/>
      <c r="H636" s="4" t="s">
        <v>868</v>
      </c>
      <c r="I636" s="19">
        <f>B632/100</f>
        <v>8.1799999999999998E-3</v>
      </c>
      <c r="J636" s="1" t="s">
        <v>899</v>
      </c>
      <c r="K636" s="1"/>
      <c r="L636" s="1"/>
      <c r="M636" s="1"/>
      <c r="N636" s="1"/>
      <c r="O636" s="1"/>
      <c r="P636" s="1"/>
      <c r="Q636" s="1"/>
      <c r="R636" s="4" t="s">
        <v>868</v>
      </c>
      <c r="S636" s="44">
        <f>N632/100</f>
        <v>8.1799999999999998E-3</v>
      </c>
      <c r="T636" s="1" t="s">
        <v>899</v>
      </c>
    </row>
    <row r="637" spans="1:20" x14ac:dyDescent="0.25">
      <c r="A637" s="4" t="s">
        <v>274</v>
      </c>
      <c r="B637" s="18">
        <v>1.5</v>
      </c>
      <c r="C637" s="1" t="s">
        <v>287</v>
      </c>
      <c r="D637" s="1"/>
      <c r="E637" s="1"/>
      <c r="F637" s="1"/>
      <c r="G637" s="1"/>
      <c r="H637" s="4" t="s">
        <v>870</v>
      </c>
      <c r="I637" s="44">
        <f>(I632-2*I642)</f>
        <v>0.78895999999999999</v>
      </c>
      <c r="J637" s="1" t="s">
        <v>871</v>
      </c>
      <c r="K637" s="1"/>
      <c r="L637" s="1"/>
      <c r="M637" s="1"/>
      <c r="N637" s="1"/>
      <c r="O637" s="1"/>
      <c r="P637" s="1"/>
      <c r="Q637" s="1"/>
      <c r="R637" s="4" t="s">
        <v>870</v>
      </c>
      <c r="S637" s="44">
        <f>(S632-2*S642)</f>
        <v>0.59219433609126904</v>
      </c>
      <c r="T637" s="1" t="s">
        <v>871</v>
      </c>
    </row>
    <row r="638" spans="1:20" x14ac:dyDescent="0.25">
      <c r="A638" s="4" t="s">
        <v>276</v>
      </c>
      <c r="B638" s="19">
        <f>B548*0.95</f>
        <v>119.69999999999999</v>
      </c>
      <c r="C638" s="1" t="s">
        <v>196</v>
      </c>
      <c r="D638" s="1"/>
      <c r="E638" s="1"/>
      <c r="F638" s="1"/>
      <c r="G638" s="1"/>
      <c r="H638" s="4" t="s">
        <v>872</v>
      </c>
      <c r="I638" s="44">
        <f>I633-I635*2</f>
        <v>0.2150379644347778</v>
      </c>
      <c r="J638" s="1" t="s">
        <v>873</v>
      </c>
      <c r="K638" s="1"/>
      <c r="L638" s="1"/>
      <c r="M638" s="1"/>
      <c r="N638" s="1"/>
      <c r="O638" s="1"/>
      <c r="P638" s="1"/>
      <c r="Q638" s="1"/>
      <c r="R638" s="4" t="s">
        <v>872</v>
      </c>
      <c r="S638" s="44">
        <f>S633-S635*2</f>
        <v>0.17368311048086557</v>
      </c>
      <c r="T638" s="1" t="s">
        <v>873</v>
      </c>
    </row>
    <row r="639" spans="1:20" x14ac:dyDescent="0.25">
      <c r="A639" s="4" t="s">
        <v>278</v>
      </c>
      <c r="B639" s="19">
        <f>B616</f>
        <v>86.7</v>
      </c>
      <c r="C639" s="1" t="s">
        <v>196</v>
      </c>
      <c r="D639" s="1"/>
      <c r="E639" s="1"/>
      <c r="F639" s="1"/>
      <c r="G639" s="1"/>
      <c r="H639" s="4" t="s">
        <v>874</v>
      </c>
      <c r="I639" s="44">
        <f>B633/100</f>
        <v>9.6359999999999987E-2</v>
      </c>
      <c r="J639" s="1" t="s">
        <v>875</v>
      </c>
      <c r="K639" s="1"/>
      <c r="L639" s="1"/>
      <c r="M639" s="1"/>
      <c r="N639" s="1"/>
      <c r="O639" s="1"/>
      <c r="P639" s="1"/>
      <c r="Q639" s="1"/>
      <c r="R639" s="4" t="s">
        <v>874</v>
      </c>
      <c r="S639" s="44">
        <f>N633/100</f>
        <v>0.21909999999999999</v>
      </c>
      <c r="T639" s="1" t="s">
        <v>875</v>
      </c>
    </row>
    <row r="640" spans="1:20" x14ac:dyDescent="0.25">
      <c r="A640" s="4" t="s">
        <v>280</v>
      </c>
      <c r="B640" s="17">
        <f>B575/10</f>
        <v>6.35</v>
      </c>
      <c r="C640" s="1" t="s">
        <v>196</v>
      </c>
      <c r="D640" s="1"/>
      <c r="E640" s="1"/>
      <c r="F640" s="1"/>
      <c r="G640" s="1"/>
      <c r="H640" s="4" t="s">
        <v>876</v>
      </c>
      <c r="I640" s="142">
        <v>4.7600000000000003E-3</v>
      </c>
      <c r="J640" s="1" t="s">
        <v>877</v>
      </c>
      <c r="K640" s="1"/>
      <c r="L640" s="1"/>
      <c r="M640" s="1"/>
      <c r="N640" s="1"/>
      <c r="O640" s="1"/>
      <c r="P640" s="1"/>
      <c r="Q640" s="1"/>
      <c r="R640" s="4" t="s">
        <v>876</v>
      </c>
      <c r="S640" s="142">
        <v>6.3499999999999997E-3</v>
      </c>
      <c r="T640" s="1" t="s">
        <v>877</v>
      </c>
    </row>
    <row r="641" spans="1:21" x14ac:dyDescent="0.25">
      <c r="A641" s="4" t="s">
        <v>282</v>
      </c>
      <c r="B641" s="143">
        <v>2100000</v>
      </c>
      <c r="C641" s="1" t="s">
        <v>292</v>
      </c>
      <c r="D641" s="1"/>
      <c r="E641" s="1" t="s">
        <v>882</v>
      </c>
      <c r="F641" s="1"/>
      <c r="G641" s="1"/>
      <c r="H641" s="4" t="s">
        <v>878</v>
      </c>
      <c r="I641" s="44">
        <f>I639*1.5</f>
        <v>0.14453999999999997</v>
      </c>
      <c r="J641" s="1" t="s">
        <v>879</v>
      </c>
      <c r="K641" s="1"/>
      <c r="L641" s="1"/>
      <c r="M641" s="1"/>
      <c r="N641" s="1"/>
      <c r="O641" s="1"/>
      <c r="P641" s="1"/>
      <c r="Q641" s="1"/>
      <c r="R641" s="4" t="s">
        <v>878</v>
      </c>
      <c r="S641" s="44">
        <f>S639*1.5</f>
        <v>0.32865</v>
      </c>
      <c r="T641" s="1" t="s">
        <v>879</v>
      </c>
      <c r="U641" s="1"/>
    </row>
    <row r="642" spans="1:21" x14ac:dyDescent="0.25">
      <c r="A642" s="1"/>
      <c r="B642" s="1"/>
      <c r="C642" s="1"/>
      <c r="D642" s="1"/>
      <c r="E642" s="4">
        <v>1500</v>
      </c>
      <c r="F642" s="1"/>
      <c r="G642" s="1"/>
      <c r="H642" s="4" t="s">
        <v>880</v>
      </c>
      <c r="I642" s="44">
        <f>(I641-B575/1000)/2</f>
        <v>4.0519999999999987E-2</v>
      </c>
      <c r="J642" s="1" t="s">
        <v>881</v>
      </c>
      <c r="K642" s="1"/>
      <c r="L642" s="1"/>
      <c r="M642" s="1"/>
      <c r="N642" s="1"/>
      <c r="O642" s="1"/>
      <c r="P642" s="1"/>
      <c r="Q642" s="1"/>
      <c r="R642" s="4" t="s">
        <v>880</v>
      </c>
      <c r="S642" s="44">
        <f>(S641-B581/1000)/2</f>
        <v>0.13890283195436548</v>
      </c>
      <c r="T642" s="1" t="s">
        <v>900</v>
      </c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4" t="s">
        <v>883</v>
      </c>
      <c r="I643" s="44">
        <f>I642*1.2</f>
        <v>4.862399999999998E-2</v>
      </c>
      <c r="J643" s="1" t="s">
        <v>884</v>
      </c>
      <c r="K643" s="1"/>
      <c r="L643" s="1"/>
      <c r="M643" s="1"/>
      <c r="N643" s="1"/>
      <c r="O643" s="1"/>
      <c r="P643" s="1"/>
      <c r="Q643" s="1"/>
      <c r="R643" s="4" t="s">
        <v>883</v>
      </c>
      <c r="S643" s="44">
        <f>S642*1.2</f>
        <v>0.16668339834523857</v>
      </c>
      <c r="T643" s="1" t="s">
        <v>884</v>
      </c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4"/>
      <c r="S644" s="1"/>
      <c r="T644" s="1"/>
      <c r="U644" s="1"/>
    </row>
    <row r="645" spans="1:21" x14ac:dyDescent="0.25">
      <c r="A645" s="4" t="s">
        <v>271</v>
      </c>
      <c r="B645" s="61">
        <f>4*B636*B637*(B638-B639)*(2*B638*B638+2*B638*B639-B639*B639)/(3*3.1415*B641*(POWER(B640,4)))</f>
        <v>6.9116024936015819E-2</v>
      </c>
      <c r="C645" s="1" t="s">
        <v>196</v>
      </c>
      <c r="D645" s="1" t="s">
        <v>300</v>
      </c>
      <c r="E645" s="61">
        <f>B638/E642</f>
        <v>7.9799999999999996E-2</v>
      </c>
      <c r="F645" s="1" t="s">
        <v>196</v>
      </c>
      <c r="G645" s="1"/>
      <c r="H645" s="1" t="s">
        <v>885</v>
      </c>
      <c r="I645" s="43">
        <f>8000*(I637)*((3.1415*(I639)^2)/4-(3.1415*(I639-2*I636)^2)/4)</f>
        <v>14.302285212905732</v>
      </c>
      <c r="J645" s="1" t="s">
        <v>68</v>
      </c>
      <c r="K645" s="1"/>
      <c r="L645" s="1"/>
      <c r="M645" s="1"/>
      <c r="N645" s="1"/>
      <c r="O645" s="1"/>
      <c r="P645" s="1"/>
      <c r="Q645" s="1"/>
      <c r="R645" s="1" t="s">
        <v>885</v>
      </c>
      <c r="S645" s="43">
        <f>8000*(S637)*((3.1415*(S639)^2)/4-(3.1415*(S639-2*S636)^2)/4)</f>
        <v>25.67806930819858</v>
      </c>
      <c r="T645" s="1" t="s">
        <v>68</v>
      </c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 t="s">
        <v>888</v>
      </c>
      <c r="I646" s="43">
        <f>8000*(I632)*((3.1415*(I633)^2)/4-(3.1415*(I633-2*I635)^2)/4)</f>
        <v>22.875833265534411</v>
      </c>
      <c r="J646" s="1" t="s">
        <v>68</v>
      </c>
      <c r="K646" s="1"/>
      <c r="L646" s="1"/>
      <c r="M646" s="1"/>
      <c r="N646" s="1"/>
      <c r="O646" s="1"/>
      <c r="P646" s="1"/>
      <c r="Q646" s="1"/>
      <c r="R646" s="1" t="s">
        <v>888</v>
      </c>
      <c r="S646" s="43">
        <f>8000*(S632)*((3.1415*(S633)^2)/4-(3.1415*(S633-2*S635)^2)/4)</f>
        <v>24.996109236576938</v>
      </c>
      <c r="T646" s="1" t="s">
        <v>68</v>
      </c>
      <c r="U646" s="1"/>
    </row>
    <row r="647" spans="1:21" x14ac:dyDescent="0.25">
      <c r="A647" s="4" t="s">
        <v>280</v>
      </c>
      <c r="B647" s="61">
        <f>10*((E642*4*B636*B637*(B638-B639)*(2*B638^2+2*B638*B639-B639^2))/(3*PI()*B641*B638))^(1/4)</f>
        <v>61.258236254541032</v>
      </c>
      <c r="C647" s="1" t="s">
        <v>52</v>
      </c>
      <c r="D647" s="1"/>
      <c r="E647" s="1"/>
      <c r="F647" s="1"/>
      <c r="G647" s="1">
        <v>2</v>
      </c>
      <c r="H647" s="1" t="s">
        <v>889</v>
      </c>
      <c r="I647" s="43">
        <f>2*8000*(I643)*((3.1415*(I641)^2)/4-(3.1415*(I641-2*I642)^2)/4)</f>
        <v>10.301346975813727</v>
      </c>
      <c r="J647" s="1" t="s">
        <v>68</v>
      </c>
      <c r="K647" s="1"/>
      <c r="L647" s="1"/>
      <c r="M647" s="1"/>
      <c r="N647" s="1"/>
      <c r="O647" s="1"/>
      <c r="P647" s="1"/>
      <c r="Q647" s="1">
        <v>2</v>
      </c>
      <c r="R647" s="1" t="s">
        <v>889</v>
      </c>
      <c r="S647" s="43">
        <f>2*8000*(S643)*((3.1415*(S641)^2)/4-(3.1415*(S641-2*S642)^2)/4)</f>
        <v>220.81867318684178</v>
      </c>
      <c r="T647" s="1" t="s">
        <v>68</v>
      </c>
      <c r="U647" s="1"/>
    </row>
    <row r="648" spans="1:21" x14ac:dyDescent="0.25">
      <c r="A648" s="4"/>
      <c r="B648" s="145"/>
      <c r="C648" s="1"/>
      <c r="D648" s="1"/>
      <c r="E648" s="1"/>
      <c r="F648" s="1"/>
      <c r="G648" s="1">
        <f>I653</f>
        <v>3</v>
      </c>
      <c r="H648" s="1" t="s">
        <v>890</v>
      </c>
      <c r="I648" s="43">
        <f>I653*8000*(I640)*((3.1415*(I638)^2)/4-(3.1415*(I639)^2)/4)</f>
        <v>3.315745013444158</v>
      </c>
      <c r="J648" s="1" t="s">
        <v>68</v>
      </c>
      <c r="K648" s="1"/>
      <c r="L648" s="1"/>
      <c r="M648" s="1"/>
      <c r="N648" s="1"/>
      <c r="O648" s="1"/>
      <c r="P648" s="1"/>
      <c r="Q648" s="148">
        <f>U653</f>
        <v>3</v>
      </c>
      <c r="R648" s="1" t="s">
        <v>890</v>
      </c>
      <c r="S648" s="43">
        <f>U653*8000*(S640)*((3.1415*(S638)^2)/4-(3.1415*(S639)^2)/4)</f>
        <v>-2.1351688848667325</v>
      </c>
      <c r="T648" s="1" t="s">
        <v>68</v>
      </c>
      <c r="U648" s="1"/>
    </row>
    <row r="649" spans="1:21" x14ac:dyDescent="0.25">
      <c r="A649" s="4"/>
      <c r="B649" s="145"/>
      <c r="C649" s="1"/>
      <c r="D649" s="1"/>
      <c r="E649" s="1"/>
      <c r="F649" s="1"/>
      <c r="G649" s="1"/>
      <c r="H649" s="1"/>
      <c r="I649" s="135"/>
      <c r="J649" s="1"/>
      <c r="K649" s="1"/>
      <c r="L649" s="1"/>
      <c r="M649" s="1"/>
      <c r="N649" s="1"/>
      <c r="O649" s="1"/>
      <c r="P649" s="1"/>
      <c r="Q649" s="1"/>
      <c r="R649" s="1"/>
      <c r="S649" s="135"/>
      <c r="T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 t="s">
        <v>891</v>
      </c>
      <c r="I650" s="43">
        <f>SUM(I645:I648)</f>
        <v>50.795210467698027</v>
      </c>
      <c r="J650" s="1" t="s">
        <v>68</v>
      </c>
      <c r="K650" s="1"/>
      <c r="L650" s="1"/>
      <c r="M650" s="1"/>
      <c r="N650" s="1"/>
      <c r="O650" s="1"/>
      <c r="P650" s="1"/>
      <c r="Q650" s="1"/>
      <c r="R650" s="1" t="s">
        <v>891</v>
      </c>
      <c r="S650" s="43">
        <f>SUM(S645:S648)</f>
        <v>269.35768284675055</v>
      </c>
      <c r="T650" s="1" t="s">
        <v>68</v>
      </c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35"/>
      <c r="J651" s="1"/>
      <c r="K651" s="1"/>
      <c r="L651" s="1"/>
      <c r="M651" s="1"/>
      <c r="N651" s="1"/>
      <c r="O651" s="1"/>
      <c r="P651" s="1"/>
      <c r="Q651" s="1"/>
      <c r="R651" s="1"/>
      <c r="S651" s="135"/>
      <c r="T651" s="1"/>
      <c r="U651" s="1"/>
    </row>
    <row r="652" spans="1:21" x14ac:dyDescent="0.25">
      <c r="A652" s="4"/>
      <c r="B652" s="145" t="s">
        <v>892</v>
      </c>
      <c r="C652" s="1"/>
      <c r="D652" s="1"/>
      <c r="E652" s="1"/>
      <c r="F652" s="1"/>
      <c r="G652" s="1"/>
      <c r="H652" s="1"/>
      <c r="I652" s="135"/>
      <c r="J652" s="1"/>
      <c r="K652" s="1"/>
      <c r="L652" s="1"/>
      <c r="M652" s="4"/>
      <c r="N652" s="145" t="s">
        <v>892</v>
      </c>
      <c r="O652" s="1"/>
      <c r="P652" s="1"/>
      <c r="Q652" s="1"/>
      <c r="R652" s="1"/>
      <c r="S652" s="1"/>
      <c r="T652" s="1"/>
      <c r="U652" s="147"/>
    </row>
    <row r="653" spans="1:21" x14ac:dyDescent="0.25">
      <c r="A653" s="4" t="s">
        <v>278</v>
      </c>
      <c r="B653" s="43">
        <f>B639</f>
        <v>86.7</v>
      </c>
      <c r="C653" s="1" t="s">
        <v>196</v>
      </c>
      <c r="D653" s="4" t="s">
        <v>893</v>
      </c>
      <c r="E653" s="43">
        <f>POWER(B618*B116*2.54*(100*I633/2)*((100*I635)^3)/B451,1/4)</f>
        <v>63.853284674301769</v>
      </c>
      <c r="F653" s="1" t="s">
        <v>196</v>
      </c>
      <c r="G653" s="1"/>
      <c r="H653" s="4" t="s">
        <v>894</v>
      </c>
      <c r="I653" s="43">
        <f>ROUNDUP(B653/E653,0)+1</f>
        <v>3</v>
      </c>
      <c r="J653" s="1"/>
      <c r="K653" s="1"/>
      <c r="L653" s="1"/>
      <c r="M653" s="4" t="s">
        <v>278</v>
      </c>
      <c r="N653" s="43">
        <f>B639</f>
        <v>86.7</v>
      </c>
      <c r="O653" s="1" t="s">
        <v>196</v>
      </c>
      <c r="P653" s="4" t="s">
        <v>893</v>
      </c>
      <c r="Q653" s="43">
        <f>POWER(B618*B116*2.54*(100*S633/2)*((100*S635)^3)/B451,1/4)</f>
        <v>75.653294513944886</v>
      </c>
      <c r="R653" s="1" t="s">
        <v>196</v>
      </c>
      <c r="S653" s="1"/>
      <c r="T653" s="4" t="s">
        <v>894</v>
      </c>
      <c r="U653" s="134">
        <f>ROUNDUP(N653/Q653,0)+1</f>
        <v>3</v>
      </c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35"/>
      <c r="J654" s="1"/>
      <c r="K654" s="1"/>
      <c r="L654" s="1"/>
      <c r="M654" s="1"/>
      <c r="N654" s="1"/>
      <c r="O654" s="1"/>
      <c r="P654" s="1"/>
      <c r="Q654" s="1"/>
      <c r="R654" s="1"/>
      <c r="S654" s="135"/>
      <c r="T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25">
      <c r="A656" s="3" t="s">
        <v>901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8" spans="1:2" x14ac:dyDescent="0.25">
      <c r="A658" s="3" t="s">
        <v>902</v>
      </c>
      <c r="B658" s="1"/>
    </row>
    <row r="659" spans="1:2" ht="15" x14ac:dyDescent="0.25">
      <c r="A659" s="1" t="s">
        <v>903</v>
      </c>
      <c r="B659" s="1"/>
    </row>
    <row r="660" spans="1:2" x14ac:dyDescent="0.25">
      <c r="A660" s="1" t="s">
        <v>354</v>
      </c>
      <c r="B660" s="1"/>
    </row>
    <row r="661" spans="1:2" x14ac:dyDescent="0.25">
      <c r="A661" s="1" t="s">
        <v>355</v>
      </c>
      <c r="B661" s="1"/>
    </row>
    <row r="662" spans="1:2" x14ac:dyDescent="0.25">
      <c r="A662" s="1"/>
      <c r="B662" s="1" t="s">
        <v>356</v>
      </c>
    </row>
    <row r="663" spans="1:2" x14ac:dyDescent="0.25">
      <c r="A663" s="1"/>
      <c r="B663" s="1" t="s">
        <v>357</v>
      </c>
    </row>
    <row r="664" spans="1:2" x14ac:dyDescent="0.25">
      <c r="A664" s="1"/>
      <c r="B664" s="1" t="s">
        <v>358</v>
      </c>
    </row>
    <row r="665" spans="1:2" x14ac:dyDescent="0.25">
      <c r="A665" s="1"/>
      <c r="B665" s="1" t="s">
        <v>904</v>
      </c>
    </row>
    <row r="666" spans="1:2" x14ac:dyDescent="0.25">
      <c r="A666" s="1"/>
      <c r="B666" s="1" t="s">
        <v>905</v>
      </c>
    </row>
    <row r="667" spans="1:2" x14ac:dyDescent="0.25">
      <c r="A667" s="1"/>
      <c r="B667" s="1" t="s">
        <v>906</v>
      </c>
    </row>
    <row r="668" spans="1:2" x14ac:dyDescent="0.25">
      <c r="A668" s="1"/>
      <c r="B668" s="1" t="s">
        <v>907</v>
      </c>
    </row>
    <row r="669" spans="1:2" x14ac:dyDescent="0.25">
      <c r="A669" s="1"/>
      <c r="B669" s="1" t="s">
        <v>908</v>
      </c>
    </row>
    <row r="670" spans="1:2" x14ac:dyDescent="0.25">
      <c r="A670" s="1"/>
      <c r="B670" s="1" t="s">
        <v>909</v>
      </c>
    </row>
    <row r="671" spans="1:2" x14ac:dyDescent="0.25">
      <c r="A671" s="1"/>
      <c r="B671" s="1" t="s">
        <v>910</v>
      </c>
    </row>
    <row r="672" spans="1:2" x14ac:dyDescent="0.25">
      <c r="A672" s="1"/>
      <c r="B672" s="1" t="s">
        <v>911</v>
      </c>
    </row>
    <row r="673" spans="1:4" x14ac:dyDescent="0.25">
      <c r="A673" s="1"/>
      <c r="B673" s="1" t="s">
        <v>912</v>
      </c>
      <c r="C673" s="1"/>
      <c r="D673" s="1"/>
    </row>
    <row r="674" spans="1:4" x14ac:dyDescent="0.25">
      <c r="A674" s="1"/>
      <c r="B674" s="1" t="s">
        <v>913</v>
      </c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 t="s">
        <v>55</v>
      </c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3" t="s">
        <v>914</v>
      </c>
      <c r="B678" s="1"/>
      <c r="C678" s="1"/>
      <c r="D678" s="1"/>
    </row>
    <row r="679" spans="1:4" x14ac:dyDescent="0.25">
      <c r="A679" s="1"/>
      <c r="B679" s="4" t="s">
        <v>278</v>
      </c>
      <c r="C679" s="54">
        <v>7030</v>
      </c>
      <c r="D679" s="1" t="s">
        <v>46</v>
      </c>
    </row>
    <row r="680" spans="1:4" x14ac:dyDescent="0.25">
      <c r="A680" s="1"/>
      <c r="B680" s="4" t="s">
        <v>363</v>
      </c>
      <c r="C680" s="54">
        <v>4</v>
      </c>
      <c r="D680" s="1" t="s">
        <v>46</v>
      </c>
    </row>
    <row r="681" spans="1:4" x14ac:dyDescent="0.25">
      <c r="A681" s="1"/>
      <c r="B681" s="4" t="s">
        <v>364</v>
      </c>
      <c r="C681" s="66">
        <f>B330</f>
        <v>7.5</v>
      </c>
      <c r="D681" s="1" t="s">
        <v>249</v>
      </c>
    </row>
    <row r="682" spans="1:4" x14ac:dyDescent="0.25">
      <c r="A682" s="1"/>
      <c r="B682" s="4" t="s">
        <v>365</v>
      </c>
      <c r="C682" s="68">
        <f>B494</f>
        <v>54.139341129231369</v>
      </c>
      <c r="D682" s="1" t="s">
        <v>347</v>
      </c>
    </row>
    <row r="683" spans="1:4" x14ac:dyDescent="0.25">
      <c r="A683" s="1"/>
      <c r="B683" s="1"/>
      <c r="C683" s="1"/>
      <c r="D683" s="1"/>
    </row>
    <row r="684" spans="1:4" x14ac:dyDescent="0.25">
      <c r="A684" s="4" t="s">
        <v>394</v>
      </c>
      <c r="B684" s="4" t="s">
        <v>915</v>
      </c>
      <c r="C684" s="19">
        <f>C679*C680*C681/C682</f>
        <v>3895.5036319444439</v>
      </c>
      <c r="D684" s="1" t="s">
        <v>367</v>
      </c>
    </row>
    <row r="685" spans="1:4" x14ac:dyDescent="0.25">
      <c r="A685" s="1"/>
      <c r="B685" s="1"/>
      <c r="C685" s="1"/>
      <c r="D685" s="1"/>
    </row>
    <row r="686" spans="1:4" x14ac:dyDescent="0.25">
      <c r="A686" s="1" t="s">
        <v>916</v>
      </c>
      <c r="B686" s="1"/>
      <c r="C686" s="1"/>
      <c r="D686" s="1"/>
    </row>
    <row r="687" spans="1:4" x14ac:dyDescent="0.25">
      <c r="A687" s="1" t="s">
        <v>917</v>
      </c>
      <c r="B687" t="s">
        <v>918</v>
      </c>
      <c r="C687" s="1"/>
      <c r="D687" s="1"/>
    </row>
    <row r="689" spans="1:26" x14ac:dyDescent="0.25">
      <c r="A689" s="1"/>
      <c r="B689" s="4" t="s">
        <v>836</v>
      </c>
      <c r="C689" s="68">
        <f>10*B617</f>
        <v>114.3</v>
      </c>
      <c r="D689" s="1" t="s">
        <v>52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 t="s">
        <v>919</v>
      </c>
      <c r="Y689" s="1" t="s">
        <v>920</v>
      </c>
      <c r="Z689" s="1" t="s">
        <v>921</v>
      </c>
    </row>
    <row r="690" spans="1:26" x14ac:dyDescent="0.25">
      <c r="A690" s="1"/>
      <c r="B690" s="4" t="s">
        <v>922</v>
      </c>
      <c r="C690" s="54">
        <v>11209</v>
      </c>
      <c r="D690" s="1" t="s">
        <v>367</v>
      </c>
      <c r="E690" s="114" t="s">
        <v>923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 t="s">
        <v>924</v>
      </c>
      <c r="X690" s="1" t="s">
        <v>925</v>
      </c>
      <c r="Y690" s="1" t="s">
        <v>926</v>
      </c>
      <c r="Z690" s="1" t="s">
        <v>927</v>
      </c>
    </row>
    <row r="691" spans="1:26" x14ac:dyDescent="0.25">
      <c r="A691" s="1"/>
      <c r="B691" s="4" t="s">
        <v>928</v>
      </c>
      <c r="C691" s="54">
        <v>95</v>
      </c>
      <c r="D691" s="1" t="s">
        <v>52</v>
      </c>
      <c r="E691" s="114" t="s">
        <v>923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 t="s">
        <v>929</v>
      </c>
      <c r="X691" s="1" t="s">
        <v>930</v>
      </c>
      <c r="Y691" s="1" t="s">
        <v>926</v>
      </c>
      <c r="Z691" s="1" t="s">
        <v>931</v>
      </c>
    </row>
    <row r="692" spans="1:26" x14ac:dyDescent="0.25">
      <c r="A692" s="1"/>
      <c r="B692" s="4" t="s">
        <v>932</v>
      </c>
      <c r="C692" s="54">
        <v>135</v>
      </c>
      <c r="D692" s="1" t="s">
        <v>52</v>
      </c>
      <c r="E692" s="114" t="s">
        <v>923</v>
      </c>
      <c r="F692" s="12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 t="s">
        <v>933</v>
      </c>
      <c r="X692" s="1" t="s">
        <v>934</v>
      </c>
      <c r="Y692" s="1" t="s">
        <v>926</v>
      </c>
      <c r="Z692" s="1" t="s">
        <v>935</v>
      </c>
    </row>
    <row r="693" spans="1:26" x14ac:dyDescent="0.25">
      <c r="A693" s="1"/>
      <c r="B693" s="4" t="s">
        <v>936</v>
      </c>
      <c r="C693" s="54">
        <v>129</v>
      </c>
      <c r="D693" s="1" t="s">
        <v>937</v>
      </c>
      <c r="E693" s="114" t="s">
        <v>923</v>
      </c>
      <c r="F693" s="14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 t="s">
        <v>938</v>
      </c>
      <c r="X693" s="1" t="s">
        <v>939</v>
      </c>
      <c r="Y693" s="1" t="s">
        <v>940</v>
      </c>
      <c r="Z693" s="1" t="s">
        <v>941</v>
      </c>
    </row>
    <row r="694" spans="1:26" x14ac:dyDescent="0.25">
      <c r="A694" s="1"/>
      <c r="B694" s="4" t="s">
        <v>942</v>
      </c>
      <c r="C694" s="54">
        <v>0.6</v>
      </c>
      <c r="D694" s="1" t="s">
        <v>943</v>
      </c>
      <c r="E694" s="114" t="s">
        <v>944</v>
      </c>
      <c r="F694" s="12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 t="s">
        <v>945</v>
      </c>
      <c r="X694" s="150" t="s">
        <v>946</v>
      </c>
      <c r="Y694" s="1" t="s">
        <v>940</v>
      </c>
      <c r="Z694" s="1" t="s">
        <v>947</v>
      </c>
    </row>
    <row r="695" spans="1:26" x14ac:dyDescent="0.25">
      <c r="A695" s="1"/>
      <c r="B695" s="4" t="s">
        <v>948</v>
      </c>
      <c r="C695" s="54">
        <v>1.38</v>
      </c>
      <c r="D695" s="1" t="s">
        <v>943</v>
      </c>
      <c r="E695" s="114" t="s">
        <v>949</v>
      </c>
      <c r="F695" s="14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 t="s">
        <v>950</v>
      </c>
      <c r="X695" s="150" t="s">
        <v>951</v>
      </c>
      <c r="Y695" s="1" t="s">
        <v>940</v>
      </c>
      <c r="Z695" s="1" t="s">
        <v>952</v>
      </c>
    </row>
    <row r="696" spans="1:26" x14ac:dyDescent="0.25">
      <c r="A696" s="1"/>
      <c r="B696" s="1"/>
      <c r="C696" s="1"/>
      <c r="D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 t="s">
        <v>953</v>
      </c>
      <c r="X696" s="150" t="s">
        <v>954</v>
      </c>
      <c r="Y696" s="1" t="s">
        <v>940</v>
      </c>
      <c r="Z696" s="1" t="s">
        <v>955</v>
      </c>
    </row>
    <row r="697" spans="1:26" x14ac:dyDescent="0.25">
      <c r="A697" s="4" t="s">
        <v>394</v>
      </c>
      <c r="B697" s="4" t="s">
        <v>956</v>
      </c>
      <c r="C697" s="19">
        <f>C692*C695</f>
        <v>186.29999999999998</v>
      </c>
      <c r="D697" s="1" t="s">
        <v>52</v>
      </c>
      <c r="E697" s="151" t="s">
        <v>957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 t="s">
        <v>958</v>
      </c>
      <c r="X697" s="150" t="s">
        <v>959</v>
      </c>
      <c r="Y697" s="1" t="s">
        <v>940</v>
      </c>
      <c r="Z697" s="1" t="s">
        <v>960</v>
      </c>
    </row>
    <row r="698" spans="1:26" x14ac:dyDescent="0.25">
      <c r="A698" s="4" t="s">
        <v>865</v>
      </c>
      <c r="B698" s="4" t="s">
        <v>956</v>
      </c>
      <c r="C698" s="152">
        <v>190</v>
      </c>
      <c r="D698" s="1" t="s">
        <v>52</v>
      </c>
      <c r="E698" s="151" t="s">
        <v>961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 t="s">
        <v>962</v>
      </c>
      <c r="X698" s="150" t="s">
        <v>959</v>
      </c>
      <c r="Y698" s="1" t="s">
        <v>940</v>
      </c>
      <c r="Z698" s="1"/>
    </row>
    <row r="699" spans="1:26" x14ac:dyDescent="0.25">
      <c r="A699" s="1"/>
      <c r="B699" s="4" t="s">
        <v>963</v>
      </c>
      <c r="C699" s="19">
        <f>(C698-C692)/2</f>
        <v>27.5</v>
      </c>
      <c r="D699" s="1" t="s">
        <v>52</v>
      </c>
      <c r="E699" s="151" t="s">
        <v>964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 t="s">
        <v>917</v>
      </c>
      <c r="B700" s="1" t="s">
        <v>965</v>
      </c>
      <c r="C700" s="1"/>
      <c r="D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3" t="s">
        <v>966</v>
      </c>
      <c r="B702" s="1"/>
      <c r="C702" s="1"/>
      <c r="D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4" t="s">
        <v>836</v>
      </c>
      <c r="C704" s="68">
        <f>10*B640</f>
        <v>63.5</v>
      </c>
      <c r="D704" s="1" t="s">
        <v>52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5" x14ac:dyDescent="0.25">
      <c r="A705" s="1"/>
      <c r="B705" s="4" t="s">
        <v>928</v>
      </c>
      <c r="C705" s="54">
        <v>55</v>
      </c>
      <c r="D705" s="1" t="s">
        <v>52</v>
      </c>
      <c r="E705" s="114" t="s">
        <v>923</v>
      </c>
    </row>
    <row r="706" spans="1:5" x14ac:dyDescent="0.25">
      <c r="A706" s="1"/>
      <c r="B706" s="4" t="s">
        <v>932</v>
      </c>
      <c r="C706" s="54">
        <v>85</v>
      </c>
      <c r="D706" s="1" t="s">
        <v>52</v>
      </c>
      <c r="E706" s="114" t="s">
        <v>923</v>
      </c>
    </row>
    <row r="707" spans="1:5" x14ac:dyDescent="0.25">
      <c r="A707" s="1"/>
      <c r="B707" s="4" t="s">
        <v>936</v>
      </c>
      <c r="C707" s="54">
        <v>135</v>
      </c>
      <c r="D707" s="1" t="s">
        <v>937</v>
      </c>
      <c r="E707" s="114" t="s">
        <v>923</v>
      </c>
    </row>
    <row r="708" spans="1:5" x14ac:dyDescent="0.25">
      <c r="A708" s="1"/>
      <c r="B708" s="4" t="s">
        <v>942</v>
      </c>
      <c r="C708" s="54">
        <v>0.6</v>
      </c>
      <c r="D708" s="1" t="s">
        <v>943</v>
      </c>
    </row>
    <row r="709" spans="1:5" x14ac:dyDescent="0.25">
      <c r="A709" s="1"/>
      <c r="B709" s="4" t="s">
        <v>948</v>
      </c>
      <c r="C709" s="54">
        <v>1.4</v>
      </c>
      <c r="D709" s="1" t="s">
        <v>943</v>
      </c>
      <c r="E709" s="153"/>
    </row>
    <row r="710" spans="1:5" x14ac:dyDescent="0.25">
      <c r="A710" s="1"/>
      <c r="B710" s="1"/>
      <c r="C710" s="1"/>
      <c r="D710" s="1"/>
    </row>
    <row r="711" spans="1:5" x14ac:dyDescent="0.25">
      <c r="A711" s="1" t="s">
        <v>967</v>
      </c>
      <c r="B711" s="1"/>
      <c r="C711" s="1"/>
      <c r="D711" s="1"/>
    </row>
    <row r="712" spans="1:5" x14ac:dyDescent="0.25">
      <c r="A712" s="1" t="s">
        <v>917</v>
      </c>
      <c r="B712" s="114" t="s">
        <v>968</v>
      </c>
      <c r="C712" s="1"/>
      <c r="D712" s="1"/>
    </row>
    <row r="713" spans="1:5" x14ac:dyDescent="0.25">
      <c r="A713" s="1"/>
      <c r="B713"/>
      <c r="C713" s="1"/>
      <c r="D713" s="1"/>
      <c r="E713" s="1"/>
    </row>
    <row r="714" spans="1:5" x14ac:dyDescent="0.25">
      <c r="A714" s="4" t="s">
        <v>394</v>
      </c>
      <c r="B714" s="4" t="s">
        <v>956</v>
      </c>
      <c r="C714" s="19">
        <f>C706*C709</f>
        <v>118.99999999999999</v>
      </c>
      <c r="D714" s="1" t="s">
        <v>52</v>
      </c>
      <c r="E714" s="1"/>
    </row>
    <row r="715" spans="1:5" x14ac:dyDescent="0.25">
      <c r="A715" s="1" t="s">
        <v>865</v>
      </c>
      <c r="B715" s="4" t="s">
        <v>956</v>
      </c>
      <c r="C715" s="152">
        <v>120</v>
      </c>
      <c r="D715" s="1" t="s">
        <v>52</v>
      </c>
      <c r="E715" s="154" t="s">
        <v>961</v>
      </c>
    </row>
    <row r="716" spans="1:5" x14ac:dyDescent="0.25">
      <c r="A716" s="1"/>
      <c r="B716" s="4" t="s">
        <v>963</v>
      </c>
      <c r="C716" s="19">
        <f>(C715-C706)/2</f>
        <v>17.5</v>
      </c>
      <c r="D716" s="1" t="s">
        <v>52</v>
      </c>
      <c r="E716" s="154" t="s">
        <v>964</v>
      </c>
    </row>
    <row r="717" spans="1:5" x14ac:dyDescent="0.25">
      <c r="A717" s="1" t="s">
        <v>917</v>
      </c>
      <c r="B717" s="1" t="s">
        <v>969</v>
      </c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3" t="s">
        <v>970</v>
      </c>
      <c r="B720" s="1"/>
      <c r="C720" s="1"/>
      <c r="D720" s="1"/>
      <c r="E720" s="1"/>
    </row>
    <row r="722" spans="1:5" x14ac:dyDescent="0.25">
      <c r="A722" s="1"/>
      <c r="B722" s="4" t="s">
        <v>836</v>
      </c>
      <c r="C722" s="68">
        <f>B583</f>
        <v>69.849999999999994</v>
      </c>
      <c r="D722" s="114" t="s">
        <v>52</v>
      </c>
    </row>
    <row r="723" spans="1:5" x14ac:dyDescent="0.25">
      <c r="A723" s="1"/>
      <c r="B723" s="4" t="s">
        <v>928</v>
      </c>
      <c r="C723" s="54">
        <v>120</v>
      </c>
      <c r="D723" s="114" t="s">
        <v>52</v>
      </c>
      <c r="E723" s="114" t="s">
        <v>923</v>
      </c>
    </row>
    <row r="724" spans="1:5" x14ac:dyDescent="0.25">
      <c r="A724" s="1"/>
      <c r="B724" s="4" t="s">
        <v>932</v>
      </c>
      <c r="C724" s="54">
        <v>165</v>
      </c>
      <c r="D724" s="114" t="s">
        <v>52</v>
      </c>
      <c r="E724" s="114" t="s">
        <v>923</v>
      </c>
    </row>
    <row r="725" spans="1:5" x14ac:dyDescent="0.25">
      <c r="A725" s="1"/>
      <c r="B725" s="4" t="s">
        <v>936</v>
      </c>
      <c r="C725" s="54">
        <v>88</v>
      </c>
      <c r="D725" s="114" t="s">
        <v>937</v>
      </c>
      <c r="E725" s="114" t="s">
        <v>923</v>
      </c>
    </row>
    <row r="726" spans="1:5" x14ac:dyDescent="0.25">
      <c r="A726" s="1"/>
      <c r="B726" s="4" t="s">
        <v>942</v>
      </c>
      <c r="C726" s="54">
        <v>0.6</v>
      </c>
      <c r="D726" s="114" t="s">
        <v>943</v>
      </c>
    </row>
    <row r="727" spans="1:5" x14ac:dyDescent="0.25">
      <c r="A727" s="1"/>
      <c r="B727" s="4" t="s">
        <v>948</v>
      </c>
      <c r="C727" s="54">
        <v>1.24</v>
      </c>
      <c r="D727" s="114" t="s">
        <v>943</v>
      </c>
      <c r="E727" s="153"/>
    </row>
    <row r="728" spans="1:5" x14ac:dyDescent="0.25">
      <c r="A728" s="1"/>
      <c r="B728" s="1"/>
      <c r="C728" s="1"/>
    </row>
    <row r="729" spans="1:5" x14ac:dyDescent="0.25">
      <c r="A729" s="1" t="s">
        <v>967</v>
      </c>
      <c r="B729" s="1"/>
      <c r="C729" s="1"/>
    </row>
    <row r="730" spans="1:5" x14ac:dyDescent="0.25">
      <c r="A730" s="1" t="s">
        <v>917</v>
      </c>
      <c r="B730" t="s">
        <v>971</v>
      </c>
      <c r="C730" s="1"/>
    </row>
    <row r="731" spans="1:5" x14ac:dyDescent="0.25">
      <c r="A731" s="1"/>
      <c r="B731"/>
      <c r="C731" s="1"/>
    </row>
    <row r="732" spans="1:5" x14ac:dyDescent="0.25">
      <c r="A732" s="4" t="s">
        <v>394</v>
      </c>
      <c r="B732" s="4" t="s">
        <v>956</v>
      </c>
      <c r="C732" s="19">
        <f>C724*C727</f>
        <v>204.6</v>
      </c>
      <c r="D732" s="114" t="s">
        <v>52</v>
      </c>
    </row>
    <row r="733" spans="1:5" x14ac:dyDescent="0.25">
      <c r="A733" s="1" t="s">
        <v>865</v>
      </c>
      <c r="B733" s="4" t="s">
        <v>956</v>
      </c>
      <c r="C733" s="152">
        <v>205</v>
      </c>
      <c r="D733" s="114" t="s">
        <v>52</v>
      </c>
      <c r="E733" s="151" t="s">
        <v>961</v>
      </c>
    </row>
    <row r="734" spans="1:5" x14ac:dyDescent="0.25">
      <c r="A734" s="1"/>
      <c r="B734" s="4" t="s">
        <v>963</v>
      </c>
      <c r="C734" s="19">
        <f>(C733-C724)/2</f>
        <v>20</v>
      </c>
      <c r="D734" s="114" t="s">
        <v>52</v>
      </c>
      <c r="E734" s="151" t="s">
        <v>964</v>
      </c>
    </row>
    <row r="735" spans="1:5" x14ac:dyDescent="0.25">
      <c r="A735" s="1" t="s">
        <v>917</v>
      </c>
      <c r="B735" s="1" t="s">
        <v>972</v>
      </c>
      <c r="C735" s="1"/>
    </row>
    <row r="738" spans="1:19" x14ac:dyDescent="0.25">
      <c r="A738" s="3" t="s">
        <v>973</v>
      </c>
      <c r="B738" s="1"/>
      <c r="C738" s="1"/>
      <c r="H738" s="1"/>
      <c r="K738" s="124"/>
      <c r="L738" s="124"/>
      <c r="R738" s="1"/>
      <c r="S738" s="1"/>
    </row>
    <row r="739" spans="1:19" x14ac:dyDescent="0.25">
      <c r="A739" s="1"/>
      <c r="B739" s="1"/>
      <c r="C739" s="1"/>
      <c r="D739" s="1"/>
      <c r="E739" s="1"/>
      <c r="F739" s="1"/>
      <c r="G739" s="1"/>
      <c r="H739" s="1"/>
      <c r="R739" s="1"/>
      <c r="S739" s="1"/>
    </row>
    <row r="740" spans="1:19" x14ac:dyDescent="0.25">
      <c r="A740" s="1" t="s">
        <v>974</v>
      </c>
      <c r="B740" s="1"/>
      <c r="C740" s="1"/>
      <c r="D740" s="1" t="s">
        <v>975</v>
      </c>
      <c r="E740" s="1"/>
      <c r="F740" s="1"/>
      <c r="G740" s="1"/>
      <c r="H740" s="1"/>
      <c r="R740" s="1"/>
      <c r="S740" s="1"/>
    </row>
    <row r="741" spans="1:19" ht="15.6" x14ac:dyDescent="0.35">
      <c r="A741" s="42">
        <v>4</v>
      </c>
      <c r="B741" s="1"/>
      <c r="C741" s="1"/>
      <c r="D741" s="1"/>
      <c r="E741" s="4" t="s">
        <v>976</v>
      </c>
      <c r="F741" s="1"/>
      <c r="G741" s="1"/>
      <c r="H741" s="1"/>
      <c r="R741" s="1"/>
      <c r="S741" s="1"/>
    </row>
    <row r="742" spans="1:19" x14ac:dyDescent="0.25">
      <c r="A742" s="1"/>
      <c r="B742" s="1"/>
      <c r="C742" s="1"/>
      <c r="D742" s="1"/>
      <c r="E742" s="42" t="s">
        <v>977</v>
      </c>
      <c r="F742" s="1"/>
      <c r="G742" s="1"/>
      <c r="H742" s="1"/>
      <c r="R742" s="1"/>
      <c r="S742" s="1"/>
    </row>
    <row r="743" spans="1:19" x14ac:dyDescent="0.25">
      <c r="A743" s="1"/>
      <c r="B743" s="1"/>
      <c r="C743" s="1"/>
      <c r="D743" s="1"/>
      <c r="E743" s="4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6" x14ac:dyDescent="0.35">
      <c r="A744" s="1" t="s">
        <v>978</v>
      </c>
      <c r="B744" s="1"/>
      <c r="C744" s="1" t="s">
        <v>979</v>
      </c>
      <c r="D744" s="1"/>
      <c r="E744" s="1"/>
      <c r="F744" s="1" t="s">
        <v>980</v>
      </c>
      <c r="G744" s="1"/>
      <c r="H744" s="1"/>
      <c r="I744" s="1" t="s">
        <v>981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6" x14ac:dyDescent="0.35">
      <c r="A745" s="42" t="s">
        <v>982</v>
      </c>
      <c r="B745" s="1"/>
      <c r="C745" s="1"/>
      <c r="D745" s="38" t="s">
        <v>983</v>
      </c>
      <c r="E745" s="1"/>
      <c r="F745" s="1"/>
      <c r="G745" s="1" t="s">
        <v>984</v>
      </c>
      <c r="H745" s="1"/>
      <c r="I745" s="1"/>
      <c r="J745" s="1" t="s">
        <v>985</v>
      </c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25">
      <c r="A746" s="1"/>
      <c r="B746" s="4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6" x14ac:dyDescent="0.35">
      <c r="A747" s="1" t="s">
        <v>986</v>
      </c>
      <c r="B747" s="1"/>
      <c r="C747" s="1"/>
      <c r="D747" s="1"/>
      <c r="E747" s="1" t="s">
        <v>987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25">
      <c r="A748" s="4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25">
      <c r="A750" s="1" t="s">
        <v>23</v>
      </c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25">
      <c r="A751" s="4" t="s">
        <v>988</v>
      </c>
      <c r="B751" s="1" t="s">
        <v>989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9" x14ac:dyDescent="0.25">
      <c r="A752" s="4" t="s">
        <v>248</v>
      </c>
      <c r="B752" s="1" t="s">
        <v>990</v>
      </c>
      <c r="C752" s="1"/>
      <c r="D752" s="1"/>
      <c r="E752" s="1"/>
      <c r="F752" s="1"/>
      <c r="G752" s="1"/>
      <c r="H752" s="1"/>
      <c r="I752" s="1"/>
      <c r="J752" s="1"/>
      <c r="K752" s="1"/>
      <c r="L752" s="139" t="s">
        <v>991</v>
      </c>
      <c r="M752" s="18">
        <v>0.656389</v>
      </c>
      <c r="O752" s="155" t="s">
        <v>991</v>
      </c>
      <c r="P752" s="156" t="s">
        <v>992</v>
      </c>
      <c r="Q752" s="156" t="s">
        <v>993</v>
      </c>
      <c r="R752" s="157" t="s">
        <v>994</v>
      </c>
      <c r="S752" s="157" t="s">
        <v>994</v>
      </c>
    </row>
    <row r="753" spans="1:22" x14ac:dyDescent="0.25">
      <c r="A753" s="4" t="s">
        <v>276</v>
      </c>
      <c r="B753" s="1" t="s">
        <v>995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O753" s="156">
        <v>0.2</v>
      </c>
      <c r="P753" s="156">
        <v>0.59599999999999997</v>
      </c>
      <c r="Q753" s="156">
        <v>4.4080000000000004</v>
      </c>
      <c r="R753" s="156">
        <f>IF(O752&lt;=$M$752,IF(O753&gt;$M$752,P753-(((O753-$M$752)*(P753-P752))/(O753-O752)),0),0)</f>
        <v>0</v>
      </c>
      <c r="S753" s="156">
        <f t="shared" ref="S753:S762" si="2">IF(O752&lt;=$M$752,IF(O753&gt;$M$752,Q753-(((O753-$M$752)*(Q753-Q752))/(O753-O752)),0),0)</f>
        <v>0</v>
      </c>
      <c r="U753" s="1"/>
      <c r="V753" s="1"/>
    </row>
    <row r="754" spans="1:22" x14ac:dyDescent="0.25">
      <c r="A754" s="4" t="s">
        <v>278</v>
      </c>
      <c r="B754" s="1" t="s">
        <v>996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58"/>
      <c r="O754" s="156">
        <v>0.25</v>
      </c>
      <c r="P754" s="156">
        <v>0.438</v>
      </c>
      <c r="Q754" s="156">
        <v>3.37</v>
      </c>
      <c r="R754" s="156">
        <f t="shared" ref="R754:R762" si="3">IF(O753&lt;=$M$752,IF(O754&gt;$M$752,P754-(((O754-$M$752)*(P754-P753))/(O754-O753)),0),0)</f>
        <v>0</v>
      </c>
      <c r="S754" s="156">
        <f t="shared" si="2"/>
        <v>0</v>
      </c>
      <c r="U754" s="1"/>
      <c r="V754" s="1"/>
    </row>
    <row r="755" spans="1:22" x14ac:dyDescent="0.25">
      <c r="A755" s="4" t="s">
        <v>997</v>
      </c>
      <c r="B755" s="1" t="s">
        <v>998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58"/>
      <c r="O755" s="156">
        <v>0.3</v>
      </c>
      <c r="P755" s="156">
        <v>0.32100000000000001</v>
      </c>
      <c r="Q755" s="156">
        <v>2.6579999999999999</v>
      </c>
      <c r="R755" s="156">
        <f t="shared" si="3"/>
        <v>0</v>
      </c>
      <c r="S755" s="156">
        <f t="shared" si="2"/>
        <v>0</v>
      </c>
      <c r="U755" s="1"/>
      <c r="V755" s="1"/>
    </row>
    <row r="756" spans="1:22" ht="15.6" x14ac:dyDescent="0.35">
      <c r="A756" s="4" t="s">
        <v>999</v>
      </c>
      <c r="B756" s="1" t="s">
        <v>1000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58"/>
      <c r="O756" s="156">
        <v>0.35</v>
      </c>
      <c r="P756" s="156">
        <v>0.23200000000000001</v>
      </c>
      <c r="Q756" s="156">
        <v>2.13</v>
      </c>
      <c r="R756" s="156">
        <f t="shared" si="3"/>
        <v>0</v>
      </c>
      <c r="S756" s="156">
        <f t="shared" si="2"/>
        <v>0</v>
      </c>
      <c r="U756" s="1"/>
      <c r="V756" s="1"/>
    </row>
    <row r="757" spans="1:22" ht="15.6" x14ac:dyDescent="0.25">
      <c r="A757" s="4" t="s">
        <v>1001</v>
      </c>
      <c r="B757" s="1" t="s">
        <v>1002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58"/>
      <c r="O757" s="156">
        <v>0.4</v>
      </c>
      <c r="P757" s="156">
        <v>0.16700000000000001</v>
      </c>
      <c r="Q757" s="156">
        <v>1.7290000000000001</v>
      </c>
      <c r="R757" s="156">
        <f t="shared" si="3"/>
        <v>0</v>
      </c>
      <c r="S757" s="156">
        <f t="shared" si="2"/>
        <v>0</v>
      </c>
      <c r="U757" s="1"/>
      <c r="V757" s="1"/>
    </row>
    <row r="758" spans="1:22" x14ac:dyDescent="0.25">
      <c r="A758" s="4" t="s">
        <v>512</v>
      </c>
      <c r="B758" s="1" t="s">
        <v>1003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58"/>
      <c r="O758" s="156">
        <v>0.45</v>
      </c>
      <c r="P758" s="156">
        <v>0.11899999999999999</v>
      </c>
      <c r="Q758" s="156">
        <v>1.403</v>
      </c>
      <c r="R758" s="156">
        <f t="shared" si="3"/>
        <v>0</v>
      </c>
      <c r="S758" s="156">
        <f t="shared" si="2"/>
        <v>0</v>
      </c>
      <c r="U758" s="1"/>
      <c r="V758" s="1"/>
    </row>
    <row r="759" spans="1:22" ht="15.6" x14ac:dyDescent="0.35">
      <c r="A759" s="4" t="s">
        <v>1004</v>
      </c>
      <c r="B759" s="1" t="s">
        <v>1005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58"/>
      <c r="O759" s="156">
        <v>0.5</v>
      </c>
      <c r="P759" s="156">
        <v>8.1000000000000003E-2</v>
      </c>
      <c r="Q759" s="156">
        <v>1.1459999999999999</v>
      </c>
      <c r="R759" s="156">
        <f t="shared" si="3"/>
        <v>0</v>
      </c>
      <c r="S759" s="156">
        <f t="shared" si="2"/>
        <v>0</v>
      </c>
      <c r="U759" s="1"/>
      <c r="V759" s="1"/>
    </row>
    <row r="760" spans="1:22" ht="15.6" x14ac:dyDescent="0.35">
      <c r="A760" s="4" t="s">
        <v>1006</v>
      </c>
      <c r="B760" s="1" t="s">
        <v>1007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O760" s="156">
        <v>0.6</v>
      </c>
      <c r="P760" s="156">
        <v>3.5000000000000003E-2</v>
      </c>
      <c r="Q760" s="156">
        <v>0.749</v>
      </c>
      <c r="R760" s="156">
        <f t="shared" si="3"/>
        <v>0</v>
      </c>
      <c r="S760" s="156">
        <f t="shared" si="2"/>
        <v>0</v>
      </c>
      <c r="U760" s="1"/>
      <c r="V760" s="1"/>
    </row>
    <row r="761" spans="1:22" ht="15.6" x14ac:dyDescent="0.35">
      <c r="A761" s="4" t="s">
        <v>1008</v>
      </c>
      <c r="B761" s="1" t="s">
        <v>1009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O761" s="156">
        <v>0.7</v>
      </c>
      <c r="P761" s="156">
        <v>1.2999999999999999E-2</v>
      </c>
      <c r="Q761" s="156">
        <v>0.47099999999999997</v>
      </c>
      <c r="R761" s="156">
        <f t="shared" si="3"/>
        <v>2.2594419999999994E-2</v>
      </c>
      <c r="S761" s="156">
        <f t="shared" si="2"/>
        <v>0.59223857999999985</v>
      </c>
      <c r="U761" s="1"/>
      <c r="V761" s="1"/>
    </row>
    <row r="762" spans="1:22" x14ac:dyDescent="0.25">
      <c r="A762" s="4" t="s">
        <v>1010</v>
      </c>
      <c r="B762" s="1" t="s">
        <v>1011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O762" s="156">
        <v>0.8</v>
      </c>
      <c r="P762" s="156">
        <v>3.0000000000000001E-3</v>
      </c>
      <c r="Q762" s="156">
        <v>0.26200000000000001</v>
      </c>
      <c r="R762" s="156">
        <f t="shared" si="3"/>
        <v>0</v>
      </c>
      <c r="S762" s="156">
        <f t="shared" si="2"/>
        <v>0</v>
      </c>
      <c r="U762" s="1"/>
      <c r="V762" s="1"/>
    </row>
    <row r="763" spans="1:22" ht="15.6" x14ac:dyDescent="0.35">
      <c r="A763" s="4" t="s">
        <v>1012</v>
      </c>
      <c r="B763" s="1" t="s">
        <v>1013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U763" s="1"/>
      <c r="V763" s="1"/>
    </row>
    <row r="764" spans="1:22" ht="15.6" x14ac:dyDescent="0.35">
      <c r="A764" s="4" t="s">
        <v>1014</v>
      </c>
      <c r="B764" s="1" t="s">
        <v>1015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5">
      <c r="A766" s="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5">
      <c r="A767" s="4" t="s">
        <v>1016</v>
      </c>
      <c r="B767" s="1"/>
      <c r="C767" s="1"/>
      <c r="D767" s="1"/>
      <c r="E767" s="1"/>
      <c r="F767" s="1"/>
      <c r="G767" s="4" t="s">
        <v>1017</v>
      </c>
      <c r="H767" s="1"/>
      <c r="I767" s="1"/>
      <c r="J767" s="1"/>
      <c r="K767" s="1"/>
      <c r="L767" s="4" t="s">
        <v>1018</v>
      </c>
      <c r="M767" s="1"/>
      <c r="N767" s="1"/>
      <c r="O767" s="1"/>
      <c r="P767" s="1"/>
      <c r="Q767" s="4" t="s">
        <v>1019</v>
      </c>
      <c r="R767" s="1"/>
      <c r="S767" s="1"/>
      <c r="T767" s="4"/>
      <c r="U767" s="1"/>
      <c r="V767" s="4" t="s">
        <v>1020</v>
      </c>
    </row>
    <row r="769" spans="1:22" x14ac:dyDescent="0.25">
      <c r="A769" s="4" t="s">
        <v>988</v>
      </c>
      <c r="B769" s="19">
        <f>(B551/4)*(B615-B616)</f>
        <v>14527.46183606824</v>
      </c>
      <c r="C769" s="1" t="s">
        <v>1021</v>
      </c>
      <c r="D769" s="1"/>
      <c r="E769" s="1"/>
      <c r="F769" s="4" t="s">
        <v>988</v>
      </c>
      <c r="G769" s="19">
        <f>(B569/4)*(B638-B639)</f>
        <v>2211.948605650296</v>
      </c>
      <c r="H769" s="1" t="s">
        <v>1021</v>
      </c>
      <c r="I769" s="1"/>
      <c r="J769" s="1"/>
      <c r="K769" s="4" t="s">
        <v>988</v>
      </c>
      <c r="L769" s="19">
        <f>(B579/4)*(B638-B639)</f>
        <v>2552.5319954234533</v>
      </c>
      <c r="M769" s="1" t="s">
        <v>1021</v>
      </c>
      <c r="N769" s="1"/>
      <c r="O769" s="1"/>
      <c r="P769" s="4" t="s">
        <v>988</v>
      </c>
      <c r="Q769" s="19">
        <f>(B587/4)*(B638-B639)</f>
        <v>148.76647499999987</v>
      </c>
      <c r="R769" s="1" t="s">
        <v>1021</v>
      </c>
      <c r="S769" s="1"/>
      <c r="T769" s="55" t="s">
        <v>988</v>
      </c>
      <c r="U769" s="159">
        <f>(K578/4)*(K637-K638)</f>
        <v>0</v>
      </c>
      <c r="V769" s="160" t="s">
        <v>1021</v>
      </c>
    </row>
    <row r="770" spans="1:22" x14ac:dyDescent="0.25">
      <c r="A770" s="4" t="s">
        <v>1022</v>
      </c>
      <c r="B770" s="19">
        <f>(1.07*C698/10)/B608</f>
        <v>0.53359580052493438</v>
      </c>
      <c r="C770" s="1" t="s">
        <v>943</v>
      </c>
      <c r="D770" s="1"/>
      <c r="E770" s="1"/>
      <c r="F770" s="4" t="s">
        <v>1022</v>
      </c>
      <c r="G770" s="19">
        <f>(1.07*C715/10)/(I633*100)</f>
        <v>0.57179000675032121</v>
      </c>
      <c r="H770" s="1" t="s">
        <v>943</v>
      </c>
      <c r="I770" s="1"/>
      <c r="J770" s="1"/>
      <c r="K770" s="4" t="s">
        <v>1022</v>
      </c>
      <c r="L770" s="19">
        <f>(1.07*C733/10)/(S633*100)</f>
        <v>1.1768770219258622</v>
      </c>
      <c r="M770" s="1" t="s">
        <v>943</v>
      </c>
      <c r="N770" s="1"/>
      <c r="O770" s="1"/>
      <c r="P770" s="4" t="s">
        <v>1022</v>
      </c>
      <c r="Q770" s="19">
        <f>G770</f>
        <v>0.57179000675032121</v>
      </c>
      <c r="R770" s="1" t="s">
        <v>943</v>
      </c>
      <c r="S770" s="1"/>
      <c r="T770" s="55" t="s">
        <v>1022</v>
      </c>
      <c r="U770" s="159" t="e">
        <f>(L732/10)/(AB632*100)</f>
        <v>#DIV/0!</v>
      </c>
      <c r="V770" s="160" t="s">
        <v>943</v>
      </c>
    </row>
    <row r="771" spans="1:22" x14ac:dyDescent="0.25">
      <c r="A771" s="4" t="s">
        <v>999</v>
      </c>
      <c r="B771" s="18">
        <v>4.3805999999999998E-2</v>
      </c>
      <c r="C771" s="1" t="s">
        <v>1023</v>
      </c>
      <c r="D771" s="1"/>
      <c r="E771" s="1"/>
      <c r="F771" s="4" t="s">
        <v>999</v>
      </c>
      <c r="G771" s="18">
        <v>2.2594E-2</v>
      </c>
      <c r="H771" s="1" t="s">
        <v>1023</v>
      </c>
      <c r="I771" s="1"/>
      <c r="J771" s="1"/>
      <c r="K771" s="4" t="s">
        <v>999</v>
      </c>
      <c r="L771" s="18">
        <v>7.0749999999999993E-2</v>
      </c>
      <c r="M771" s="1" t="s">
        <v>1023</v>
      </c>
      <c r="N771" s="1"/>
      <c r="O771" s="1"/>
      <c r="P771" s="4" t="s">
        <v>999</v>
      </c>
      <c r="Q771" s="19">
        <f>G771</f>
        <v>2.2594E-2</v>
      </c>
      <c r="R771" s="1" t="s">
        <v>1023</v>
      </c>
      <c r="S771" s="1"/>
      <c r="T771" s="55" t="s">
        <v>999</v>
      </c>
      <c r="U771" s="161">
        <v>2.6349999999999998E-2</v>
      </c>
      <c r="V771" s="160" t="s">
        <v>1023</v>
      </c>
    </row>
    <row r="772" spans="1:22" x14ac:dyDescent="0.25">
      <c r="A772" s="4" t="s">
        <v>1024</v>
      </c>
      <c r="B772" s="18">
        <v>0.82499800000000001</v>
      </c>
      <c r="C772" s="1" t="s">
        <v>1023</v>
      </c>
      <c r="D772" s="1"/>
      <c r="E772" s="1"/>
      <c r="F772" s="4" t="s">
        <v>1024</v>
      </c>
      <c r="G772" s="18">
        <v>0.59223899999999996</v>
      </c>
      <c r="H772" s="1" t="s">
        <v>1023</v>
      </c>
      <c r="I772" s="1"/>
      <c r="J772" s="1"/>
      <c r="K772" s="4" t="s">
        <v>1024</v>
      </c>
      <c r="L772" s="18">
        <v>1.0575000000000001</v>
      </c>
      <c r="M772" s="1" t="s">
        <v>1023</v>
      </c>
      <c r="N772" s="1"/>
      <c r="O772" s="1"/>
      <c r="P772" s="4" t="s">
        <v>1024</v>
      </c>
      <c r="Q772" s="19">
        <f>G772</f>
        <v>0.59223899999999996</v>
      </c>
      <c r="R772" s="1" t="s">
        <v>1023</v>
      </c>
      <c r="S772" s="1"/>
      <c r="T772" s="55" t="s">
        <v>1024</v>
      </c>
      <c r="U772" s="161">
        <v>0.68799999999999994</v>
      </c>
      <c r="V772" s="160" t="s">
        <v>1023</v>
      </c>
    </row>
    <row r="773" spans="1:22" ht="15.6" x14ac:dyDescent="0.25">
      <c r="A773" s="4" t="s">
        <v>1001</v>
      </c>
      <c r="B773" s="19">
        <f>(PI()/64)*((B610^4)-(B612^4)+(B564/10)^4)</f>
        <v>2512.7437637696175</v>
      </c>
      <c r="C773" s="1" t="s">
        <v>1025</v>
      </c>
      <c r="D773" s="1"/>
      <c r="E773" s="1"/>
      <c r="F773" s="4" t="s">
        <v>1001</v>
      </c>
      <c r="G773" s="19">
        <f>(PI()/64)*(((B633^4)-(B635^4)+(B575/10)^4))</f>
        <v>301.96056022590102</v>
      </c>
      <c r="H773" s="1" t="s">
        <v>1025</v>
      </c>
      <c r="I773" s="1"/>
      <c r="J773" s="1"/>
      <c r="K773" s="4" t="s">
        <v>1001</v>
      </c>
      <c r="L773" s="19">
        <f>(PI()/64)*(((N633^4)-(N635^4)+(B583/10)^4))</f>
        <v>3135.5465930863675</v>
      </c>
      <c r="M773" s="1" t="s">
        <v>1025</v>
      </c>
      <c r="N773" s="1"/>
      <c r="O773" s="1"/>
      <c r="P773" s="4" t="s">
        <v>1001</v>
      </c>
      <c r="Q773" s="19">
        <f>(PI()/64)*((B633^4)-(B635^4)+(B575/10)^4)</f>
        <v>301.96056022590102</v>
      </c>
      <c r="R773" s="1" t="s">
        <v>1025</v>
      </c>
      <c r="S773" s="1"/>
      <c r="T773" s="55" t="s">
        <v>1001</v>
      </c>
      <c r="U773" s="159">
        <f>(PI()/64)*(((W632^4)-(W634^4)+(K582/10)^4))</f>
        <v>0</v>
      </c>
      <c r="V773" s="160" t="s">
        <v>1026</v>
      </c>
    </row>
    <row r="774" spans="1:22" x14ac:dyDescent="0.25">
      <c r="A774" s="4" t="s">
        <v>997</v>
      </c>
      <c r="B774" s="19">
        <f>B769/(1+((2*B771*B773)/(B616*(I615*100)^3)))</f>
        <v>1330.7436919111551</v>
      </c>
      <c r="C774" s="1" t="s">
        <v>1021</v>
      </c>
      <c r="D774" s="1"/>
      <c r="E774" s="1"/>
      <c r="F774" s="4" t="s">
        <v>997</v>
      </c>
      <c r="G774" s="19">
        <f>G769/(1+((2*G771*G773)/(B639*(I640*100)^3)))</f>
        <v>899.4357911028751</v>
      </c>
      <c r="H774" s="1" t="s">
        <v>1021</v>
      </c>
      <c r="I774" s="1"/>
      <c r="J774" s="1"/>
      <c r="K774" s="4" t="s">
        <v>997</v>
      </c>
      <c r="L774" s="19">
        <f>L769/(1+((2*L771*L773)/(B639*(S640*100)^3)))</f>
        <v>121.62928473109119</v>
      </c>
      <c r="M774" s="1" t="s">
        <v>1021</v>
      </c>
      <c r="N774" s="1"/>
      <c r="O774" s="1"/>
      <c r="P774" s="4" t="s">
        <v>997</v>
      </c>
      <c r="Q774" s="19">
        <f>Q769/(1+((2*Q771*Q773)/(B639*(I640*100)^3)))</f>
        <v>60.492315142138239</v>
      </c>
      <c r="R774" s="1" t="s">
        <v>1021</v>
      </c>
      <c r="S774" s="1"/>
      <c r="T774" s="55" t="s">
        <v>997</v>
      </c>
      <c r="U774" s="159" t="e">
        <f>U769/(1+((2*U771*U773)/(K638*(AB639*100)^3)))</f>
        <v>#DIV/0!</v>
      </c>
      <c r="V774" s="160" t="s">
        <v>1021</v>
      </c>
    </row>
    <row r="775" spans="1:22" ht="15.6" x14ac:dyDescent="0.35">
      <c r="A775" s="4" t="s">
        <v>1006</v>
      </c>
      <c r="B775" s="19">
        <f>((2*B772)/(B608*(I615*100)^2))*B774</f>
        <v>142.92390753608339</v>
      </c>
      <c r="C775" s="1" t="s">
        <v>1027</v>
      </c>
      <c r="D775" s="1"/>
      <c r="E775" s="1"/>
      <c r="F775" s="4" t="s">
        <v>1006</v>
      </c>
      <c r="G775" s="19">
        <f>((2*G772)/(I633*100*(I640*100)^2))*G774</f>
        <v>209.38944983579285</v>
      </c>
      <c r="H775" s="1" t="s">
        <v>1021</v>
      </c>
      <c r="I775" s="1"/>
      <c r="J775" s="1"/>
      <c r="K775" s="4" t="s">
        <v>1006</v>
      </c>
      <c r="L775" s="19">
        <f>((2*L772)/(S633*100*(S640*100)^2))*L774</f>
        <v>34.229024216194482</v>
      </c>
      <c r="M775" s="1" t="s">
        <v>1021</v>
      </c>
      <c r="N775" s="1"/>
      <c r="O775" s="1"/>
      <c r="P775" s="4" t="s">
        <v>1006</v>
      </c>
      <c r="Q775" s="19">
        <f>((2*Q772)/(I633*100*(I640*100)^2))*Q774</f>
        <v>14.082664612861699</v>
      </c>
      <c r="R775" s="1" t="s">
        <v>1021</v>
      </c>
      <c r="S775" s="1"/>
      <c r="T775" s="55" t="s">
        <v>1028</v>
      </c>
      <c r="U775" s="159" t="e">
        <f>((2*U772)/(AB632*100*(AB639*100)^2))*U774</f>
        <v>#DIV/0!</v>
      </c>
      <c r="V775" s="160" t="s">
        <v>1021</v>
      </c>
    </row>
    <row r="776" spans="1:22" ht="15.6" x14ac:dyDescent="0.35">
      <c r="A776" s="4" t="s">
        <v>1008</v>
      </c>
      <c r="B776" s="19">
        <f>B551/(2*I614*100*I615*100)</f>
        <v>68.237565720426232</v>
      </c>
      <c r="C776" s="1" t="s">
        <v>1027</v>
      </c>
      <c r="D776" s="1"/>
      <c r="E776" s="1"/>
      <c r="F776" s="4" t="s">
        <v>1008</v>
      </c>
      <c r="G776" s="19">
        <f>B569/(2*I639*100*I640*100)</f>
        <v>29.227208902263644</v>
      </c>
      <c r="H776" s="1" t="s">
        <v>1021</v>
      </c>
      <c r="I776" s="1"/>
      <c r="J776" s="1"/>
      <c r="K776" s="4" t="s">
        <v>1008</v>
      </c>
      <c r="L776" s="19">
        <f>B569/(2*S639*100*S640*100)</f>
        <v>9.63551617760079</v>
      </c>
      <c r="M776" s="1" t="s">
        <v>1021</v>
      </c>
      <c r="N776" s="1"/>
      <c r="O776" s="1"/>
      <c r="P776" s="4" t="s">
        <v>1008</v>
      </c>
      <c r="Q776" s="19">
        <f>B569/(2*I639*100*I640*100)</f>
        <v>29.227208902263644</v>
      </c>
      <c r="R776" s="1" t="s">
        <v>1021</v>
      </c>
      <c r="S776" s="1"/>
      <c r="T776" s="55" t="s">
        <v>1029</v>
      </c>
      <c r="U776" s="159" t="e">
        <f>K568/(2*AB638*100*AB639*100)</f>
        <v>#DIV/0!</v>
      </c>
      <c r="V776" s="160" t="s">
        <v>1021</v>
      </c>
    </row>
    <row r="777" spans="1:22" ht="15.6" x14ac:dyDescent="0.35">
      <c r="A777" s="4" t="s">
        <v>1010</v>
      </c>
      <c r="B777" s="19">
        <f>(B553*(B415-B419))/(PI()*(I616*100)^2*I615*100)</f>
        <v>9.0406325444572211</v>
      </c>
      <c r="C777" s="1" t="s">
        <v>1027</v>
      </c>
      <c r="D777" s="1"/>
      <c r="E777" s="1"/>
      <c r="F777" s="4" t="s">
        <v>1014</v>
      </c>
      <c r="G777" s="19">
        <f>G775+G776</f>
        <v>238.61665873805649</v>
      </c>
      <c r="H777" s="1" t="s">
        <v>1021</v>
      </c>
      <c r="I777" s="1"/>
      <c r="J777" s="1"/>
      <c r="K777" s="4" t="s">
        <v>1014</v>
      </c>
      <c r="L777" s="19">
        <f>L775+L776</f>
        <v>43.864540393795274</v>
      </c>
      <c r="M777" s="1" t="s">
        <v>1021</v>
      </c>
      <c r="N777" s="1"/>
      <c r="O777" s="1"/>
      <c r="P777" s="4" t="s">
        <v>1014</v>
      </c>
      <c r="Q777" s="19">
        <f>Q775+Q776</f>
        <v>43.309873515125346</v>
      </c>
      <c r="R777" s="1" t="s">
        <v>1021</v>
      </c>
      <c r="S777" s="1"/>
      <c r="T777" s="55" t="s">
        <v>1030</v>
      </c>
      <c r="U777" s="159" t="e">
        <f>U775+U776</f>
        <v>#DIV/0!</v>
      </c>
      <c r="V777" s="160" t="s">
        <v>1021</v>
      </c>
    </row>
    <row r="778" spans="1:22" ht="15.6" x14ac:dyDescent="0.35">
      <c r="A778" s="4" t="s">
        <v>1012</v>
      </c>
      <c r="B778" s="19">
        <f>POWER((B775+B776)^2+(4*(B777^2)),1/2)</f>
        <v>211.93418774486392</v>
      </c>
      <c r="C778" s="1" t="s">
        <v>1027</v>
      </c>
      <c r="D778" s="1"/>
      <c r="E778" s="1"/>
      <c r="F778" s="15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5">
      <c r="A779" s="153"/>
    </row>
    <row r="780" spans="1:22" ht="15.6" x14ac:dyDescent="0.35">
      <c r="A780" s="1"/>
      <c r="B780" s="1" t="s">
        <v>1031</v>
      </c>
      <c r="C780" s="1"/>
      <c r="D780" s="1" t="s">
        <v>1032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5">
      <c r="A781" s="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5">
      <c r="A782" s="38" t="s">
        <v>1033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6" x14ac:dyDescent="0.35">
      <c r="A783" s="4"/>
      <c r="B783" s="4" t="s">
        <v>1034</v>
      </c>
      <c r="C783" s="1" t="s">
        <v>1035</v>
      </c>
      <c r="D783" s="1"/>
      <c r="E783" s="38" t="s">
        <v>1036</v>
      </c>
      <c r="F783" s="1"/>
      <c r="G783" s="1"/>
      <c r="H783" s="1"/>
      <c r="I783" s="1"/>
      <c r="J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6" x14ac:dyDescent="0.35">
      <c r="A784" s="4"/>
      <c r="B784" s="4" t="s">
        <v>1034</v>
      </c>
      <c r="C784" s="1" t="s">
        <v>1037</v>
      </c>
      <c r="D784" s="1"/>
      <c r="E784" s="38" t="s">
        <v>1038</v>
      </c>
      <c r="F784" s="1"/>
      <c r="G784" s="1"/>
      <c r="H784" s="1"/>
      <c r="I784" s="1"/>
      <c r="J784" s="1"/>
      <c r="N784" s="1"/>
      <c r="O784" s="1"/>
      <c r="P784" s="1"/>
      <c r="Q784" s="1"/>
      <c r="R784" s="1"/>
      <c r="S784" s="1"/>
      <c r="T784" s="1"/>
      <c r="U784" s="1"/>
      <c r="V784" s="1"/>
    </row>
    <row r="786" spans="1:21" x14ac:dyDescent="0.25">
      <c r="A786" s="3" t="s">
        <v>1039</v>
      </c>
      <c r="B786" s="1"/>
      <c r="C786" s="1"/>
      <c r="D786" s="1"/>
      <c r="E786" s="1"/>
      <c r="F786" s="1"/>
      <c r="G786" s="1"/>
      <c r="H786" s="1"/>
      <c r="I786" s="1"/>
      <c r="J786" s="1"/>
      <c r="K786" s="124"/>
      <c r="L786" s="124"/>
      <c r="N786" s="1"/>
      <c r="O786" s="1"/>
      <c r="P786" s="1"/>
      <c r="Q786" s="1"/>
      <c r="R786" s="1"/>
      <c r="S786" s="1"/>
      <c r="T786" s="1"/>
      <c r="U786" s="1"/>
    </row>
    <row r="787" spans="1:21" x14ac:dyDescent="0.2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24"/>
      <c r="L787" s="124"/>
      <c r="N787" s="1"/>
      <c r="O787" s="1"/>
      <c r="P787" s="1"/>
      <c r="Q787" s="1"/>
      <c r="R787" s="1"/>
      <c r="S787" s="1"/>
      <c r="T787" s="1"/>
      <c r="U787" s="1"/>
    </row>
    <row r="788" spans="1:21" x14ac:dyDescent="0.25">
      <c r="A788" s="4" t="s">
        <v>449</v>
      </c>
      <c r="B788" s="1" t="s">
        <v>1040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6" x14ac:dyDescent="0.35">
      <c r="A789" s="4" t="s">
        <v>1041</v>
      </c>
      <c r="B789" s="1" t="s">
        <v>1042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4"/>
      <c r="U790" s="1"/>
    </row>
    <row r="791" spans="1:21" x14ac:dyDescent="0.25">
      <c r="A791" s="4" t="s">
        <v>1016</v>
      </c>
      <c r="B791" s="1"/>
      <c r="C791" s="1"/>
      <c r="D791" s="1"/>
      <c r="E791" s="1"/>
      <c r="F791" s="4" t="s">
        <v>1017</v>
      </c>
      <c r="G791" s="1"/>
      <c r="H791" s="1"/>
      <c r="I791" s="1"/>
      <c r="J791" s="1"/>
      <c r="K791" s="4" t="s">
        <v>1043</v>
      </c>
      <c r="L791" s="1"/>
      <c r="M791" s="1"/>
      <c r="N791" s="1"/>
      <c r="O791" s="1"/>
      <c r="P791" s="4" t="s">
        <v>1019</v>
      </c>
      <c r="Q791" s="1"/>
      <c r="R791" s="1"/>
      <c r="S791" s="1"/>
      <c r="T791" s="4" t="s">
        <v>1043</v>
      </c>
      <c r="U791" s="1"/>
    </row>
    <row r="792" spans="1:21" ht="15.6" x14ac:dyDescent="0.25">
      <c r="A792" s="4" t="s">
        <v>449</v>
      </c>
      <c r="B792" s="19">
        <f>2*B773/B610</f>
        <v>294.54269883596498</v>
      </c>
      <c r="C792" s="1" t="s">
        <v>1025</v>
      </c>
      <c r="D792" s="1"/>
      <c r="E792" s="4" t="s">
        <v>449</v>
      </c>
      <c r="F792" s="19">
        <f>2*G773/B633</f>
        <v>62.673424704421137</v>
      </c>
      <c r="G792" s="1" t="s">
        <v>1025</v>
      </c>
      <c r="H792" s="1"/>
      <c r="I792" s="1"/>
      <c r="J792" s="4" t="s">
        <v>449</v>
      </c>
      <c r="K792" s="19">
        <f>2*L773/N633</f>
        <v>286.22059270528229</v>
      </c>
      <c r="L792" s="1" t="s">
        <v>1025</v>
      </c>
      <c r="M792" s="1"/>
      <c r="N792" s="1"/>
      <c r="O792" s="4" t="s">
        <v>449</v>
      </c>
      <c r="P792" s="19">
        <f>2*Q773/B633</f>
        <v>62.673424704421137</v>
      </c>
      <c r="Q792" s="1" t="s">
        <v>1025</v>
      </c>
      <c r="R792" s="1"/>
      <c r="S792" s="4" t="s">
        <v>449</v>
      </c>
      <c r="T792" s="19" t="e">
        <f>2*U774/W633</f>
        <v>#DIV/0!</v>
      </c>
      <c r="U792" s="1" t="s">
        <v>1025</v>
      </c>
    </row>
    <row r="793" spans="1:21" ht="15.6" x14ac:dyDescent="0.35">
      <c r="A793" s="4" t="s">
        <v>1041</v>
      </c>
      <c r="B793" s="19">
        <f>(B551*(B548-B628)-(2*B774))/(2*B792)</f>
        <v>94.126183028102531</v>
      </c>
      <c r="C793" s="1" t="s">
        <v>1027</v>
      </c>
      <c r="D793" s="1"/>
      <c r="E793" s="4" t="s">
        <v>1041</v>
      </c>
      <c r="F793" s="19">
        <f>(B569*(B548-B628)-(2*G774))/(2*F792)</f>
        <v>69.710944242914096</v>
      </c>
      <c r="G793" s="1" t="s">
        <v>1027</v>
      </c>
      <c r="H793" s="1"/>
      <c r="I793" s="1"/>
      <c r="J793" s="4" t="s">
        <v>1041</v>
      </c>
      <c r="K793" s="19">
        <f>(B579*($B$548-$B$628)-(2*L774))/(2*K792)</f>
        <v>20.816244475379349</v>
      </c>
      <c r="L793" s="1" t="s">
        <v>1027</v>
      </c>
      <c r="M793" s="1"/>
      <c r="N793" s="1"/>
      <c r="O793" s="4" t="s">
        <v>1041</v>
      </c>
      <c r="P793" s="19">
        <f>(B587*($B$548-$B$628)-(2*Q774))/(2*P792)</f>
        <v>4.6884685374012003</v>
      </c>
      <c r="Q793" s="1" t="s">
        <v>1027</v>
      </c>
      <c r="R793" s="1"/>
      <c r="S793" s="4" t="s">
        <v>1041</v>
      </c>
      <c r="T793" s="19" t="e">
        <f>(K579*($B$548-$B$628)-(2*U775))/(2*T792)</f>
        <v>#DIV/0!</v>
      </c>
      <c r="U793" s="1" t="s">
        <v>1027</v>
      </c>
    </row>
    <row r="794" spans="1:21" x14ac:dyDescent="0.25">
      <c r="A794" s="4"/>
      <c r="B794"/>
      <c r="C794" s="1"/>
      <c r="D794" s="1"/>
      <c r="E794" s="3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6" x14ac:dyDescent="0.35">
      <c r="A795" s="153"/>
      <c r="B795" s="114" t="s">
        <v>1044</v>
      </c>
      <c r="D795" s="153" t="s">
        <v>1034</v>
      </c>
      <c r="E795" s="114" t="s">
        <v>1037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25">
      <c r="A796" s="162"/>
      <c r="B796" s="1"/>
      <c r="C79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25">
      <c r="A797" s="3" t="s">
        <v>551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25">
      <c r="A799" s="3" t="s">
        <v>552</v>
      </c>
      <c r="B799" s="1"/>
      <c r="C799" s="1"/>
      <c r="D799" s="1"/>
      <c r="E799" s="1"/>
      <c r="F799" s="1"/>
      <c r="G799" s="1"/>
      <c r="H799" s="1"/>
      <c r="I799" s="1"/>
      <c r="J799" s="1"/>
      <c r="O799" s="1"/>
      <c r="P799" s="1"/>
      <c r="Q799" s="1"/>
      <c r="R799" s="1"/>
      <c r="S799" s="1"/>
      <c r="T799" s="1"/>
      <c r="U799" s="1"/>
    </row>
    <row r="800" spans="1:21" ht="15" x14ac:dyDescent="0.25">
      <c r="A800" s="1" t="s">
        <v>353</v>
      </c>
      <c r="B800" s="1"/>
      <c r="C800" s="1"/>
      <c r="D800" s="1"/>
      <c r="E800" s="1"/>
      <c r="F800" s="1"/>
      <c r="G800" s="1"/>
      <c r="H800" s="1"/>
      <c r="I800" s="1"/>
      <c r="J800" s="1"/>
      <c r="O800" s="1"/>
      <c r="P800" s="1"/>
      <c r="Q800" s="1"/>
      <c r="R800" s="1"/>
      <c r="S800" s="1"/>
      <c r="T800" s="1"/>
      <c r="U800" s="1"/>
    </row>
    <row r="801" spans="1:3" x14ac:dyDescent="0.25">
      <c r="A801" s="1" t="s">
        <v>354</v>
      </c>
      <c r="B801" s="1"/>
      <c r="C801" s="1"/>
    </row>
    <row r="802" spans="1:3" x14ac:dyDescent="0.25">
      <c r="A802" s="1" t="s">
        <v>355</v>
      </c>
      <c r="B802" s="1"/>
      <c r="C802" s="1"/>
    </row>
    <row r="803" spans="1:3" x14ac:dyDescent="0.25">
      <c r="A803" s="1"/>
      <c r="B803" s="1" t="s">
        <v>356</v>
      </c>
      <c r="C803" s="1"/>
    </row>
    <row r="804" spans="1:3" x14ac:dyDescent="0.25">
      <c r="A804" s="1"/>
      <c r="B804" s="1" t="s">
        <v>357</v>
      </c>
      <c r="C804" s="1"/>
    </row>
    <row r="805" spans="1:3" x14ac:dyDescent="0.25">
      <c r="A805" s="1"/>
      <c r="B805" s="1" t="s">
        <v>358</v>
      </c>
      <c r="C805" s="1"/>
    </row>
    <row r="806" spans="1:3" x14ac:dyDescent="0.25">
      <c r="A806" s="1"/>
      <c r="B806" s="1" t="s">
        <v>359</v>
      </c>
      <c r="C806" s="1"/>
    </row>
    <row r="807" spans="1:3" x14ac:dyDescent="0.25">
      <c r="A807" s="1"/>
      <c r="B807" s="1" t="s">
        <v>360</v>
      </c>
      <c r="C807" s="1"/>
    </row>
    <row r="808" spans="1:3" x14ac:dyDescent="0.25">
      <c r="A808" s="1"/>
      <c r="B808" s="1" t="s">
        <v>361</v>
      </c>
      <c r="C808" s="1"/>
    </row>
    <row r="809" spans="1:3" x14ac:dyDescent="0.25">
      <c r="A809" s="1" t="s">
        <v>55</v>
      </c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3" t="s">
        <v>1045</v>
      </c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4" t="s">
        <v>278</v>
      </c>
      <c r="B813" s="54">
        <v>7030</v>
      </c>
      <c r="C813" s="1" t="s">
        <v>46</v>
      </c>
    </row>
    <row r="814" spans="1:3" x14ac:dyDescent="0.25">
      <c r="A814" s="4" t="s">
        <v>363</v>
      </c>
      <c r="B814" s="54">
        <v>1.5</v>
      </c>
      <c r="C814" s="1" t="s">
        <v>46</v>
      </c>
    </row>
    <row r="815" spans="1:3" x14ac:dyDescent="0.25">
      <c r="A815" s="4" t="s">
        <v>364</v>
      </c>
      <c r="B815" s="66">
        <f>B330</f>
        <v>7.5</v>
      </c>
      <c r="C815" s="1" t="s">
        <v>249</v>
      </c>
    </row>
    <row r="816" spans="1:3" x14ac:dyDescent="0.25">
      <c r="A816" s="4" t="s">
        <v>365</v>
      </c>
      <c r="B816" s="54">
        <f>B493</f>
        <v>1750</v>
      </c>
      <c r="C816" s="1" t="s">
        <v>347</v>
      </c>
    </row>
    <row r="818" spans="1:5" x14ac:dyDescent="0.25">
      <c r="A818" s="1" t="s">
        <v>256</v>
      </c>
      <c r="B818" s="4" t="s">
        <v>366</v>
      </c>
      <c r="C818" s="19">
        <f>B813*B814*B815/B816</f>
        <v>45.192857142857143</v>
      </c>
      <c r="D818" s="1" t="s">
        <v>367</v>
      </c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 t="s">
        <v>265</v>
      </c>
      <c r="B820" s="160" t="s">
        <v>1046</v>
      </c>
      <c r="C820" s="160"/>
      <c r="D820" s="1"/>
      <c r="E820" s="1" t="s">
        <v>1047</v>
      </c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3" t="s">
        <v>1048</v>
      </c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4" t="s">
        <v>278</v>
      </c>
      <c r="B824" s="54">
        <v>7030</v>
      </c>
      <c r="C824" s="1" t="s">
        <v>46</v>
      </c>
      <c r="D824" s="1"/>
      <c r="E824" s="1"/>
    </row>
    <row r="825" spans="1:5" x14ac:dyDescent="0.25">
      <c r="A825" s="4" t="s">
        <v>363</v>
      </c>
      <c r="B825" s="54">
        <v>1.5</v>
      </c>
      <c r="C825" s="1" t="s">
        <v>46</v>
      </c>
      <c r="D825" s="1"/>
      <c r="E825" s="1"/>
    </row>
    <row r="826" spans="1:5" x14ac:dyDescent="0.25">
      <c r="A826" s="4" t="s">
        <v>364</v>
      </c>
      <c r="B826" s="66">
        <f>B815</f>
        <v>7.5</v>
      </c>
      <c r="C826" s="1" t="s">
        <v>249</v>
      </c>
      <c r="D826" s="1"/>
      <c r="E826" s="1"/>
    </row>
    <row r="827" spans="1:5" x14ac:dyDescent="0.25">
      <c r="A827" s="4" t="s">
        <v>365</v>
      </c>
      <c r="B827" s="68">
        <f>B494</f>
        <v>54.139341129231369</v>
      </c>
      <c r="C827" s="1" t="s">
        <v>347</v>
      </c>
      <c r="D827" s="1"/>
      <c r="E827" s="1"/>
    </row>
    <row r="828" spans="1:5" x14ac:dyDescent="0.25">
      <c r="A828" s="4"/>
      <c r="B828" s="1"/>
      <c r="C828" s="1"/>
      <c r="D828" s="1"/>
      <c r="E828" s="1"/>
    </row>
    <row r="829" spans="1:5" x14ac:dyDescent="0.25">
      <c r="A829" s="1" t="s">
        <v>256</v>
      </c>
      <c r="B829" s="4" t="s">
        <v>366</v>
      </c>
      <c r="C829" s="19">
        <f>B824*B825*B826/B827</f>
        <v>1460.8138619791664</v>
      </c>
      <c r="D829" s="1" t="s">
        <v>367</v>
      </c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 t="s">
        <v>265</v>
      </c>
      <c r="B831" s="1" t="s">
        <v>1049</v>
      </c>
      <c r="C831" s="1"/>
      <c r="D831" s="1"/>
      <c r="E831" s="1"/>
    </row>
    <row r="833" spans="1:2" x14ac:dyDescent="0.25">
      <c r="A833" s="3" t="s">
        <v>555</v>
      </c>
      <c r="B833" s="1"/>
    </row>
    <row r="834" spans="1:2" x14ac:dyDescent="0.25">
      <c r="A834" s="1"/>
      <c r="B834" s="1"/>
    </row>
    <row r="835" spans="1:2" x14ac:dyDescent="0.25">
      <c r="A835" s="3" t="s">
        <v>556</v>
      </c>
      <c r="B835" s="1"/>
    </row>
    <row r="836" spans="1:2" ht="15" x14ac:dyDescent="0.25">
      <c r="A836" s="1" t="s">
        <v>353</v>
      </c>
      <c r="B836" s="1"/>
    </row>
    <row r="837" spans="1:2" x14ac:dyDescent="0.25">
      <c r="A837" s="1" t="s">
        <v>354</v>
      </c>
      <c r="B837" s="1"/>
    </row>
    <row r="838" spans="1:2" x14ac:dyDescent="0.25">
      <c r="A838" s="1" t="s">
        <v>355</v>
      </c>
      <c r="B838" s="1"/>
    </row>
    <row r="839" spans="1:2" x14ac:dyDescent="0.25">
      <c r="A839" s="1"/>
      <c r="B839" s="1" t="s">
        <v>1050</v>
      </c>
    </row>
    <row r="840" spans="1:2" x14ac:dyDescent="0.25">
      <c r="A840" s="1"/>
      <c r="B840" s="1" t="s">
        <v>357</v>
      </c>
    </row>
    <row r="841" spans="1:2" x14ac:dyDescent="0.25">
      <c r="A841" s="1"/>
      <c r="B841" s="1" t="s">
        <v>358</v>
      </c>
    </row>
    <row r="842" spans="1:2" x14ac:dyDescent="0.25">
      <c r="A842" s="1"/>
      <c r="B842" s="1" t="s">
        <v>359</v>
      </c>
    </row>
    <row r="843" spans="1:2" x14ac:dyDescent="0.25">
      <c r="A843" s="1"/>
      <c r="B843" s="1" t="s">
        <v>360</v>
      </c>
    </row>
    <row r="844" spans="1:2" x14ac:dyDescent="0.25">
      <c r="A844" s="1"/>
      <c r="B844" s="1" t="s">
        <v>361</v>
      </c>
    </row>
    <row r="845" spans="1:2" x14ac:dyDescent="0.25">
      <c r="A845" s="1" t="s">
        <v>55</v>
      </c>
      <c r="B845" s="1"/>
    </row>
    <row r="846" spans="1:2" x14ac:dyDescent="0.25">
      <c r="A846" s="1"/>
      <c r="B846" s="1"/>
    </row>
    <row r="847" spans="1:2" x14ac:dyDescent="0.25">
      <c r="A847" s="3" t="s">
        <v>1051</v>
      </c>
      <c r="B847" s="1"/>
    </row>
    <row r="849" spans="1:4" x14ac:dyDescent="0.25">
      <c r="A849" s="4" t="s">
        <v>278</v>
      </c>
      <c r="B849" s="54">
        <v>716.2</v>
      </c>
      <c r="C849" s="1" t="s">
        <v>46</v>
      </c>
      <c r="D849" s="1"/>
    </row>
    <row r="850" spans="1:4" x14ac:dyDescent="0.25">
      <c r="A850" s="4" t="s">
        <v>363</v>
      </c>
      <c r="B850" s="54">
        <v>1.5</v>
      </c>
      <c r="C850" s="1" t="s">
        <v>46</v>
      </c>
      <c r="D850" s="1"/>
    </row>
    <row r="851" spans="1:4" x14ac:dyDescent="0.25">
      <c r="A851" s="4" t="s">
        <v>364</v>
      </c>
      <c r="B851" s="66">
        <f>B815</f>
        <v>7.5</v>
      </c>
      <c r="C851" s="1" t="s">
        <v>249</v>
      </c>
      <c r="D851" s="1"/>
    </row>
    <row r="852" spans="1:4" x14ac:dyDescent="0.25">
      <c r="A852" s="4" t="s">
        <v>365</v>
      </c>
      <c r="B852" s="54">
        <v>1800</v>
      </c>
      <c r="C852" s="1" t="s">
        <v>347</v>
      </c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 t="s">
        <v>256</v>
      </c>
      <c r="B854" s="4" t="s">
        <v>366</v>
      </c>
      <c r="C854" s="19">
        <f>B849*B850*B851/B852</f>
        <v>4.4762500000000012</v>
      </c>
      <c r="D854" s="1" t="s">
        <v>367</v>
      </c>
    </row>
    <row r="855" spans="1:4" x14ac:dyDescent="0.25">
      <c r="A855" s="1"/>
      <c r="B855" s="1"/>
      <c r="C855" s="1"/>
      <c r="D855" s="1"/>
    </row>
    <row r="856" spans="1:4" x14ac:dyDescent="0.25">
      <c r="A856" s="1" t="s">
        <v>265</v>
      </c>
      <c r="B856" s="1" t="s">
        <v>1052</v>
      </c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3" t="s">
        <v>1053</v>
      </c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4" t="s">
        <v>278</v>
      </c>
      <c r="B860" s="54">
        <v>716.2</v>
      </c>
      <c r="C860" s="1" t="s">
        <v>46</v>
      </c>
      <c r="D860" s="1"/>
    </row>
    <row r="861" spans="1:4" x14ac:dyDescent="0.25">
      <c r="A861" s="4" t="s">
        <v>363</v>
      </c>
      <c r="B861" s="54">
        <v>1.5</v>
      </c>
      <c r="C861" s="1" t="s">
        <v>46</v>
      </c>
      <c r="D861" s="1"/>
    </row>
    <row r="862" spans="1:4" x14ac:dyDescent="0.25">
      <c r="A862" s="4" t="s">
        <v>364</v>
      </c>
      <c r="B862" s="66">
        <f>B851</f>
        <v>7.5</v>
      </c>
      <c r="C862" s="1" t="s">
        <v>249</v>
      </c>
      <c r="D862" s="1"/>
    </row>
    <row r="863" spans="1:4" x14ac:dyDescent="0.25">
      <c r="A863" s="4" t="s">
        <v>365</v>
      </c>
      <c r="B863" s="68">
        <f>B827</f>
        <v>54.139341129231369</v>
      </c>
      <c r="C863" s="1" t="s">
        <v>347</v>
      </c>
      <c r="D863" s="1"/>
    </row>
    <row r="865" spans="1:4" x14ac:dyDescent="0.25">
      <c r="A865" s="1" t="s">
        <v>256</v>
      </c>
      <c r="B865" s="4" t="s">
        <v>366</v>
      </c>
      <c r="C865" s="19">
        <f>B860*B861*B862/B863</f>
        <v>148.82430838541669</v>
      </c>
      <c r="D865" s="1" t="s">
        <v>367</v>
      </c>
    </row>
    <row r="866" spans="1:4" x14ac:dyDescent="0.25">
      <c r="A866" s="1"/>
      <c r="B866" s="1"/>
      <c r="C866" s="1"/>
      <c r="D866" s="1"/>
    </row>
    <row r="867" spans="1:4" x14ac:dyDescent="0.25">
      <c r="A867" s="1" t="s">
        <v>265</v>
      </c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3" t="s">
        <v>559</v>
      </c>
      <c r="B870" s="1"/>
      <c r="C870" s="1"/>
      <c r="D870" s="1"/>
    </row>
    <row r="871" spans="1:4" x14ac:dyDescent="0.25">
      <c r="A871" s="3" t="s">
        <v>376</v>
      </c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3" t="s">
        <v>1054</v>
      </c>
      <c r="B873" s="1"/>
      <c r="C873" s="1"/>
      <c r="D873" s="1"/>
    </row>
    <row r="874" spans="1:4" x14ac:dyDescent="0.25">
      <c r="A874" s="3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 t="s">
        <v>378</v>
      </c>
      <c r="C876" s="1"/>
      <c r="D876" s="70" t="s">
        <v>379</v>
      </c>
    </row>
    <row r="877" spans="1:4" x14ac:dyDescent="0.25">
      <c r="A877" s="1"/>
      <c r="B877" s="1"/>
      <c r="C877" s="42" t="s">
        <v>380</v>
      </c>
      <c r="D877" s="42" t="s">
        <v>381</v>
      </c>
    </row>
    <row r="878" spans="1:4" x14ac:dyDescent="0.25">
      <c r="A878" s="1"/>
      <c r="B878" s="1"/>
      <c r="C878" s="1"/>
      <c r="D878" s="1"/>
    </row>
    <row r="879" spans="1:4" x14ac:dyDescent="0.25">
      <c r="A879" s="1" t="s">
        <v>382</v>
      </c>
      <c r="B879" s="1"/>
      <c r="C879" s="1"/>
      <c r="D879" s="1"/>
    </row>
    <row r="881" spans="1:4" x14ac:dyDescent="0.25">
      <c r="A881" s="1"/>
      <c r="B881" s="1" t="s">
        <v>383</v>
      </c>
      <c r="C881" s="1"/>
      <c r="D881" s="1"/>
    </row>
    <row r="882" spans="1:4" x14ac:dyDescent="0.25">
      <c r="A882" s="1"/>
      <c r="B882" s="1"/>
      <c r="C882" s="1" t="s">
        <v>384</v>
      </c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 t="s">
        <v>385</v>
      </c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4" t="s">
        <v>386</v>
      </c>
      <c r="B886" s="1" t="s">
        <v>387</v>
      </c>
      <c r="C886" s="1"/>
      <c r="D886" s="1"/>
    </row>
    <row r="887" spans="1:4" x14ac:dyDescent="0.25">
      <c r="A887" s="4" t="s">
        <v>28</v>
      </c>
      <c r="B887" s="1" t="s">
        <v>388</v>
      </c>
      <c r="C887" s="1"/>
      <c r="D887" s="1"/>
    </row>
    <row r="888" spans="1:4" x14ac:dyDescent="0.25">
      <c r="A888" s="4" t="s">
        <v>248</v>
      </c>
      <c r="B888" s="1" t="s">
        <v>389</v>
      </c>
      <c r="C888" s="1"/>
      <c r="D888" s="1"/>
    </row>
    <row r="889" spans="1:4" x14ac:dyDescent="0.25">
      <c r="A889" s="4" t="s">
        <v>278</v>
      </c>
      <c r="B889" s="1" t="s">
        <v>390</v>
      </c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3" t="s">
        <v>1055</v>
      </c>
      <c r="B891" s="1"/>
      <c r="C891" s="1"/>
      <c r="D891" s="1"/>
    </row>
    <row r="892" spans="1:4" x14ac:dyDescent="0.25">
      <c r="A892" s="1"/>
      <c r="B892" s="4" t="s">
        <v>386</v>
      </c>
      <c r="C892" s="18">
        <v>50000</v>
      </c>
      <c r="D892" s="1" t="s">
        <v>392</v>
      </c>
    </row>
    <row r="893" spans="1:4" x14ac:dyDescent="0.25">
      <c r="A893" s="1"/>
      <c r="B893" s="4" t="s">
        <v>28</v>
      </c>
      <c r="C893" s="19">
        <f>B827</f>
        <v>54.139341129231369</v>
      </c>
      <c r="D893" s="1" t="s">
        <v>347</v>
      </c>
    </row>
    <row r="894" spans="1:4" x14ac:dyDescent="0.25">
      <c r="A894" s="1"/>
      <c r="B894" s="4" t="s">
        <v>248</v>
      </c>
      <c r="C894" s="19">
        <f>9.8*B613/2</f>
        <v>7245.2481421612611</v>
      </c>
      <c r="D894" s="1" t="s">
        <v>393</v>
      </c>
    </row>
    <row r="895" spans="1:4" x14ac:dyDescent="0.25">
      <c r="A895" s="4" t="s">
        <v>394</v>
      </c>
      <c r="B895" s="4"/>
      <c r="C895" s="1"/>
      <c r="D895" s="1"/>
    </row>
    <row r="896" spans="1:4" x14ac:dyDescent="0.25">
      <c r="A896" s="1"/>
      <c r="B896" s="4" t="s">
        <v>278</v>
      </c>
      <c r="C896" s="19">
        <f>C894*POWER((C892*C893*60/1000000),1/3)</f>
        <v>39530.411733853834</v>
      </c>
      <c r="D896" s="1" t="s">
        <v>393</v>
      </c>
    </row>
    <row r="899" spans="1:4" x14ac:dyDescent="0.25">
      <c r="A899" s="3" t="s">
        <v>1056</v>
      </c>
      <c r="B899" s="1"/>
      <c r="C899" s="1"/>
      <c r="D899" s="1"/>
    </row>
    <row r="900" spans="1:4" x14ac:dyDescent="0.25">
      <c r="A900" s="1"/>
      <c r="B900" s="4" t="s">
        <v>386</v>
      </c>
      <c r="C900" s="18">
        <v>50000</v>
      </c>
      <c r="D900" s="1" t="s">
        <v>392</v>
      </c>
    </row>
    <row r="901" spans="1:4" x14ac:dyDescent="0.25">
      <c r="A901" s="1"/>
      <c r="B901" s="4" t="s">
        <v>28</v>
      </c>
      <c r="C901" s="19">
        <f>C893</f>
        <v>54.139341129231369</v>
      </c>
      <c r="D901" s="1" t="s">
        <v>347</v>
      </c>
    </row>
    <row r="902" spans="1:4" x14ac:dyDescent="0.25">
      <c r="A902" s="1"/>
      <c r="B902" s="4" t="s">
        <v>248</v>
      </c>
      <c r="C902" s="19">
        <f>9.8*B636/2</f>
        <v>1313.7634142650249</v>
      </c>
      <c r="D902" s="1" t="s">
        <v>393</v>
      </c>
    </row>
    <row r="903" spans="1:4" x14ac:dyDescent="0.25">
      <c r="A903" s="4" t="s">
        <v>394</v>
      </c>
      <c r="B903" s="1"/>
      <c r="C903" s="1"/>
      <c r="D903" s="1"/>
    </row>
    <row r="904" spans="1:4" x14ac:dyDescent="0.25">
      <c r="A904" s="1"/>
      <c r="B904" s="4" t="s">
        <v>278</v>
      </c>
      <c r="C904" s="19">
        <f>C902*POWER((C900*C901*60/1000000),1/3)</f>
        <v>7167.9544534244478</v>
      </c>
      <c r="D904" s="1" t="s">
        <v>393</v>
      </c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8"/>
      <c r="B907" s="1" t="s">
        <v>396</v>
      </c>
      <c r="C907" s="1"/>
      <c r="D907" s="1"/>
    </row>
    <row r="908" spans="1:4" x14ac:dyDescent="0.25">
      <c r="A908" s="19"/>
      <c r="B908" s="1" t="s">
        <v>397</v>
      </c>
      <c r="C908" s="1"/>
      <c r="D908" s="1"/>
    </row>
  </sheetData>
  <mergeCells count="6">
    <mergeCell ref="N606:O606"/>
    <mergeCell ref="A209:B209"/>
    <mergeCell ref="A210:B210"/>
    <mergeCell ref="D310:E310"/>
    <mergeCell ref="I497:M497"/>
    <mergeCell ref="I499:S499"/>
  </mergeCells>
  <hyperlinks>
    <hyperlink ref="D693" r:id="rId1" display="N/mm@" xr:uid="{48541FFF-0C8D-4002-B424-6942E1F5BCF9}"/>
    <hyperlink ref="D707" r:id="rId2" display="N/mm@" xr:uid="{64512FD8-0888-4E9C-95D5-47803E3237AA}"/>
    <hyperlink ref="D725" r:id="rId3" display="N/mm@" xr:uid="{1F760201-1C97-4DF3-B6E5-DDADD5413E3B}"/>
  </hyperlinks>
  <pageMargins left="0.511811024" right="0.511811024" top="0.78740157499999996" bottom="0.78740157499999996" header="0.31496062000000002" footer="0.31496062000000002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E751-C431-4469-944E-B743F24F3239}">
  <sheetPr>
    <tabColor theme="9" tint="0.59999389629810485"/>
  </sheetPr>
  <dimension ref="A2:AF484"/>
  <sheetViews>
    <sheetView topLeftCell="G3" zoomScaleNormal="100" zoomScaleSheetLayoutView="100" workbookViewId="0">
      <selection activeCell="AE34" sqref="AE34"/>
    </sheetView>
  </sheetViews>
  <sheetFormatPr defaultColWidth="8.77734375" defaultRowHeight="13.2" x14ac:dyDescent="0.25"/>
  <cols>
    <col min="1" max="1" width="9.21875" style="1"/>
    <col min="2" max="2" width="10.44140625" style="1" bestFit="1" customWidth="1"/>
    <col min="3" max="3" width="9.77734375" style="1" customWidth="1"/>
    <col min="4" max="4" width="9.44140625" style="1" bestFit="1" customWidth="1"/>
    <col min="5" max="5" width="10" style="1" customWidth="1"/>
    <col min="6" max="8" width="9.21875" style="1"/>
    <col min="9" max="9" width="11.77734375" style="1" customWidth="1"/>
    <col min="10" max="10" width="15.44140625" style="1" customWidth="1"/>
    <col min="11" max="11" width="12.77734375" style="1" customWidth="1"/>
    <col min="12" max="13" width="9.21875" style="1"/>
    <col min="14" max="14" width="26" style="1" customWidth="1"/>
    <col min="15" max="15" width="9.44140625" style="1" bestFit="1" customWidth="1"/>
    <col min="16" max="16" width="9.21875" style="1"/>
    <col min="17" max="17" width="8" style="1" customWidth="1"/>
    <col min="18" max="21" width="9.21875" style="1"/>
    <col min="22" max="22" width="9.21875" style="1" bestFit="1" customWidth="1"/>
    <col min="23" max="25" width="9.21875" style="1"/>
    <col min="26" max="26" width="8.21875" style="1" bestFit="1" customWidth="1"/>
    <col min="27" max="257" width="9.21875" style="1"/>
    <col min="258" max="258" width="9.44140625" style="1" bestFit="1" customWidth="1"/>
    <col min="259" max="259" width="9.77734375" style="1" customWidth="1"/>
    <col min="260" max="260" width="9.44140625" style="1" bestFit="1" customWidth="1"/>
    <col min="261" max="261" width="10" style="1" customWidth="1"/>
    <col min="262" max="264" width="9.21875" style="1"/>
    <col min="265" max="265" width="11.77734375" style="1" customWidth="1"/>
    <col min="266" max="266" width="15.44140625" style="1" customWidth="1"/>
    <col min="267" max="267" width="12.77734375" style="1" customWidth="1"/>
    <col min="268" max="270" width="9.21875" style="1"/>
    <col min="271" max="271" width="9.44140625" style="1" bestFit="1" customWidth="1"/>
    <col min="272" max="272" width="9.21875" style="1"/>
    <col min="273" max="273" width="8" style="1" customWidth="1"/>
    <col min="274" max="281" width="9.21875" style="1"/>
    <col min="282" max="282" width="8.21875" style="1" bestFit="1" customWidth="1"/>
    <col min="283" max="513" width="9.21875" style="1"/>
    <col min="514" max="514" width="9.44140625" style="1" bestFit="1" customWidth="1"/>
    <col min="515" max="515" width="9.77734375" style="1" customWidth="1"/>
    <col min="516" max="516" width="9.44140625" style="1" bestFit="1" customWidth="1"/>
    <col min="517" max="517" width="10" style="1" customWidth="1"/>
    <col min="518" max="520" width="9.21875" style="1"/>
    <col min="521" max="521" width="11.77734375" style="1" customWidth="1"/>
    <col min="522" max="522" width="15.44140625" style="1" customWidth="1"/>
    <col min="523" max="523" width="12.77734375" style="1" customWidth="1"/>
    <col min="524" max="526" width="9.21875" style="1"/>
    <col min="527" max="527" width="9.44140625" style="1" bestFit="1" customWidth="1"/>
    <col min="528" max="528" width="9.21875" style="1"/>
    <col min="529" max="529" width="8" style="1" customWidth="1"/>
    <col min="530" max="537" width="9.21875" style="1"/>
    <col min="538" max="538" width="8.21875" style="1" bestFit="1" customWidth="1"/>
    <col min="539" max="769" width="9.21875" style="1"/>
    <col min="770" max="770" width="9.44140625" style="1" bestFit="1" customWidth="1"/>
    <col min="771" max="771" width="9.77734375" style="1" customWidth="1"/>
    <col min="772" max="772" width="9.44140625" style="1" bestFit="1" customWidth="1"/>
    <col min="773" max="773" width="10" style="1" customWidth="1"/>
    <col min="774" max="776" width="9.21875" style="1"/>
    <col min="777" max="777" width="11.77734375" style="1" customWidth="1"/>
    <col min="778" max="778" width="15.44140625" style="1" customWidth="1"/>
    <col min="779" max="779" width="12.77734375" style="1" customWidth="1"/>
    <col min="780" max="782" width="9.21875" style="1"/>
    <col min="783" max="783" width="9.44140625" style="1" bestFit="1" customWidth="1"/>
    <col min="784" max="784" width="9.21875" style="1"/>
    <col min="785" max="785" width="8" style="1" customWidth="1"/>
    <col min="786" max="793" width="9.21875" style="1"/>
    <col min="794" max="794" width="8.21875" style="1" bestFit="1" customWidth="1"/>
    <col min="795" max="1025" width="9.21875" style="1"/>
    <col min="1026" max="1026" width="9.44140625" style="1" bestFit="1" customWidth="1"/>
    <col min="1027" max="1027" width="9.77734375" style="1" customWidth="1"/>
    <col min="1028" max="1028" width="9.44140625" style="1" bestFit="1" customWidth="1"/>
    <col min="1029" max="1029" width="10" style="1" customWidth="1"/>
    <col min="1030" max="1032" width="9.21875" style="1"/>
    <col min="1033" max="1033" width="11.77734375" style="1" customWidth="1"/>
    <col min="1034" max="1034" width="15.44140625" style="1" customWidth="1"/>
    <col min="1035" max="1035" width="12.77734375" style="1" customWidth="1"/>
    <col min="1036" max="1038" width="9.21875" style="1"/>
    <col min="1039" max="1039" width="9.44140625" style="1" bestFit="1" customWidth="1"/>
    <col min="1040" max="1040" width="9.21875" style="1"/>
    <col min="1041" max="1041" width="8" style="1" customWidth="1"/>
    <col min="1042" max="1049" width="9.21875" style="1"/>
    <col min="1050" max="1050" width="8.21875" style="1" bestFit="1" customWidth="1"/>
    <col min="1051" max="1281" width="9.21875" style="1"/>
    <col min="1282" max="1282" width="9.44140625" style="1" bestFit="1" customWidth="1"/>
    <col min="1283" max="1283" width="9.77734375" style="1" customWidth="1"/>
    <col min="1284" max="1284" width="9.44140625" style="1" bestFit="1" customWidth="1"/>
    <col min="1285" max="1285" width="10" style="1" customWidth="1"/>
    <col min="1286" max="1288" width="9.21875" style="1"/>
    <col min="1289" max="1289" width="11.77734375" style="1" customWidth="1"/>
    <col min="1290" max="1290" width="15.44140625" style="1" customWidth="1"/>
    <col min="1291" max="1291" width="12.77734375" style="1" customWidth="1"/>
    <col min="1292" max="1294" width="9.21875" style="1"/>
    <col min="1295" max="1295" width="9.44140625" style="1" bestFit="1" customWidth="1"/>
    <col min="1296" max="1296" width="9.21875" style="1"/>
    <col min="1297" max="1297" width="8" style="1" customWidth="1"/>
    <col min="1298" max="1305" width="9.21875" style="1"/>
    <col min="1306" max="1306" width="8.21875" style="1" bestFit="1" customWidth="1"/>
    <col min="1307" max="1537" width="9.21875" style="1"/>
    <col min="1538" max="1538" width="9.44140625" style="1" bestFit="1" customWidth="1"/>
    <col min="1539" max="1539" width="9.77734375" style="1" customWidth="1"/>
    <col min="1540" max="1540" width="9.44140625" style="1" bestFit="1" customWidth="1"/>
    <col min="1541" max="1541" width="10" style="1" customWidth="1"/>
    <col min="1542" max="1544" width="9.21875" style="1"/>
    <col min="1545" max="1545" width="11.77734375" style="1" customWidth="1"/>
    <col min="1546" max="1546" width="15.44140625" style="1" customWidth="1"/>
    <col min="1547" max="1547" width="12.77734375" style="1" customWidth="1"/>
    <col min="1548" max="1550" width="9.21875" style="1"/>
    <col min="1551" max="1551" width="9.44140625" style="1" bestFit="1" customWidth="1"/>
    <col min="1552" max="1552" width="9.21875" style="1"/>
    <col min="1553" max="1553" width="8" style="1" customWidth="1"/>
    <col min="1554" max="1561" width="9.21875" style="1"/>
    <col min="1562" max="1562" width="8.21875" style="1" bestFit="1" customWidth="1"/>
    <col min="1563" max="1793" width="9.21875" style="1"/>
    <col min="1794" max="1794" width="9.44140625" style="1" bestFit="1" customWidth="1"/>
    <col min="1795" max="1795" width="9.77734375" style="1" customWidth="1"/>
    <col min="1796" max="1796" width="9.44140625" style="1" bestFit="1" customWidth="1"/>
    <col min="1797" max="1797" width="10" style="1" customWidth="1"/>
    <col min="1798" max="1800" width="9.21875" style="1"/>
    <col min="1801" max="1801" width="11.77734375" style="1" customWidth="1"/>
    <col min="1802" max="1802" width="15.44140625" style="1" customWidth="1"/>
    <col min="1803" max="1803" width="12.77734375" style="1" customWidth="1"/>
    <col min="1804" max="1806" width="9.21875" style="1"/>
    <col min="1807" max="1807" width="9.44140625" style="1" bestFit="1" customWidth="1"/>
    <col min="1808" max="1808" width="9.21875" style="1"/>
    <col min="1809" max="1809" width="8" style="1" customWidth="1"/>
    <col min="1810" max="1817" width="9.21875" style="1"/>
    <col min="1818" max="1818" width="8.21875" style="1" bestFit="1" customWidth="1"/>
    <col min="1819" max="2049" width="9.21875" style="1"/>
    <col min="2050" max="2050" width="9.44140625" style="1" bestFit="1" customWidth="1"/>
    <col min="2051" max="2051" width="9.77734375" style="1" customWidth="1"/>
    <col min="2052" max="2052" width="9.44140625" style="1" bestFit="1" customWidth="1"/>
    <col min="2053" max="2053" width="10" style="1" customWidth="1"/>
    <col min="2054" max="2056" width="9.21875" style="1"/>
    <col min="2057" max="2057" width="11.77734375" style="1" customWidth="1"/>
    <col min="2058" max="2058" width="15.44140625" style="1" customWidth="1"/>
    <col min="2059" max="2059" width="12.77734375" style="1" customWidth="1"/>
    <col min="2060" max="2062" width="9.21875" style="1"/>
    <col min="2063" max="2063" width="9.44140625" style="1" bestFit="1" customWidth="1"/>
    <col min="2064" max="2064" width="9.21875" style="1"/>
    <col min="2065" max="2065" width="8" style="1" customWidth="1"/>
    <col min="2066" max="2073" width="9.21875" style="1"/>
    <col min="2074" max="2074" width="8.21875" style="1" bestFit="1" customWidth="1"/>
    <col min="2075" max="2305" width="9.21875" style="1"/>
    <col min="2306" max="2306" width="9.44140625" style="1" bestFit="1" customWidth="1"/>
    <col min="2307" max="2307" width="9.77734375" style="1" customWidth="1"/>
    <col min="2308" max="2308" width="9.44140625" style="1" bestFit="1" customWidth="1"/>
    <col min="2309" max="2309" width="10" style="1" customWidth="1"/>
    <col min="2310" max="2312" width="9.21875" style="1"/>
    <col min="2313" max="2313" width="11.77734375" style="1" customWidth="1"/>
    <col min="2314" max="2314" width="15.44140625" style="1" customWidth="1"/>
    <col min="2315" max="2315" width="12.77734375" style="1" customWidth="1"/>
    <col min="2316" max="2318" width="9.21875" style="1"/>
    <col min="2319" max="2319" width="9.44140625" style="1" bestFit="1" customWidth="1"/>
    <col min="2320" max="2320" width="9.21875" style="1"/>
    <col min="2321" max="2321" width="8" style="1" customWidth="1"/>
    <col min="2322" max="2329" width="9.21875" style="1"/>
    <col min="2330" max="2330" width="8.21875" style="1" bestFit="1" customWidth="1"/>
    <col min="2331" max="2561" width="9.21875" style="1"/>
    <col min="2562" max="2562" width="9.44140625" style="1" bestFit="1" customWidth="1"/>
    <col min="2563" max="2563" width="9.77734375" style="1" customWidth="1"/>
    <col min="2564" max="2564" width="9.44140625" style="1" bestFit="1" customWidth="1"/>
    <col min="2565" max="2565" width="10" style="1" customWidth="1"/>
    <col min="2566" max="2568" width="9.21875" style="1"/>
    <col min="2569" max="2569" width="11.77734375" style="1" customWidth="1"/>
    <col min="2570" max="2570" width="15.44140625" style="1" customWidth="1"/>
    <col min="2571" max="2571" width="12.77734375" style="1" customWidth="1"/>
    <col min="2572" max="2574" width="9.21875" style="1"/>
    <col min="2575" max="2575" width="9.44140625" style="1" bestFit="1" customWidth="1"/>
    <col min="2576" max="2576" width="9.21875" style="1"/>
    <col min="2577" max="2577" width="8" style="1" customWidth="1"/>
    <col min="2578" max="2585" width="9.21875" style="1"/>
    <col min="2586" max="2586" width="8.21875" style="1" bestFit="1" customWidth="1"/>
    <col min="2587" max="2817" width="9.21875" style="1"/>
    <col min="2818" max="2818" width="9.44140625" style="1" bestFit="1" customWidth="1"/>
    <col min="2819" max="2819" width="9.77734375" style="1" customWidth="1"/>
    <col min="2820" max="2820" width="9.44140625" style="1" bestFit="1" customWidth="1"/>
    <col min="2821" max="2821" width="10" style="1" customWidth="1"/>
    <col min="2822" max="2824" width="9.21875" style="1"/>
    <col min="2825" max="2825" width="11.77734375" style="1" customWidth="1"/>
    <col min="2826" max="2826" width="15.44140625" style="1" customWidth="1"/>
    <col min="2827" max="2827" width="12.77734375" style="1" customWidth="1"/>
    <col min="2828" max="2830" width="9.21875" style="1"/>
    <col min="2831" max="2831" width="9.44140625" style="1" bestFit="1" customWidth="1"/>
    <col min="2832" max="2832" width="9.21875" style="1"/>
    <col min="2833" max="2833" width="8" style="1" customWidth="1"/>
    <col min="2834" max="2841" width="9.21875" style="1"/>
    <col min="2842" max="2842" width="8.21875" style="1" bestFit="1" customWidth="1"/>
    <col min="2843" max="3073" width="9.21875" style="1"/>
    <col min="3074" max="3074" width="9.44140625" style="1" bestFit="1" customWidth="1"/>
    <col min="3075" max="3075" width="9.77734375" style="1" customWidth="1"/>
    <col min="3076" max="3076" width="9.44140625" style="1" bestFit="1" customWidth="1"/>
    <col min="3077" max="3077" width="10" style="1" customWidth="1"/>
    <col min="3078" max="3080" width="9.21875" style="1"/>
    <col min="3081" max="3081" width="11.77734375" style="1" customWidth="1"/>
    <col min="3082" max="3082" width="15.44140625" style="1" customWidth="1"/>
    <col min="3083" max="3083" width="12.77734375" style="1" customWidth="1"/>
    <col min="3084" max="3086" width="9.21875" style="1"/>
    <col min="3087" max="3087" width="9.44140625" style="1" bestFit="1" customWidth="1"/>
    <col min="3088" max="3088" width="9.21875" style="1"/>
    <col min="3089" max="3089" width="8" style="1" customWidth="1"/>
    <col min="3090" max="3097" width="9.21875" style="1"/>
    <col min="3098" max="3098" width="8.21875" style="1" bestFit="1" customWidth="1"/>
    <col min="3099" max="3329" width="9.21875" style="1"/>
    <col min="3330" max="3330" width="9.44140625" style="1" bestFit="1" customWidth="1"/>
    <col min="3331" max="3331" width="9.77734375" style="1" customWidth="1"/>
    <col min="3332" max="3332" width="9.44140625" style="1" bestFit="1" customWidth="1"/>
    <col min="3333" max="3333" width="10" style="1" customWidth="1"/>
    <col min="3334" max="3336" width="9.21875" style="1"/>
    <col min="3337" max="3337" width="11.77734375" style="1" customWidth="1"/>
    <col min="3338" max="3338" width="15.44140625" style="1" customWidth="1"/>
    <col min="3339" max="3339" width="12.77734375" style="1" customWidth="1"/>
    <col min="3340" max="3342" width="9.21875" style="1"/>
    <col min="3343" max="3343" width="9.44140625" style="1" bestFit="1" customWidth="1"/>
    <col min="3344" max="3344" width="9.21875" style="1"/>
    <col min="3345" max="3345" width="8" style="1" customWidth="1"/>
    <col min="3346" max="3353" width="9.21875" style="1"/>
    <col min="3354" max="3354" width="8.21875" style="1" bestFit="1" customWidth="1"/>
    <col min="3355" max="3585" width="9.21875" style="1"/>
    <col min="3586" max="3586" width="9.44140625" style="1" bestFit="1" customWidth="1"/>
    <col min="3587" max="3587" width="9.77734375" style="1" customWidth="1"/>
    <col min="3588" max="3588" width="9.44140625" style="1" bestFit="1" customWidth="1"/>
    <col min="3589" max="3589" width="10" style="1" customWidth="1"/>
    <col min="3590" max="3592" width="9.21875" style="1"/>
    <col min="3593" max="3593" width="11.77734375" style="1" customWidth="1"/>
    <col min="3594" max="3594" width="15.44140625" style="1" customWidth="1"/>
    <col min="3595" max="3595" width="12.77734375" style="1" customWidth="1"/>
    <col min="3596" max="3598" width="9.21875" style="1"/>
    <col min="3599" max="3599" width="9.44140625" style="1" bestFit="1" customWidth="1"/>
    <col min="3600" max="3600" width="9.21875" style="1"/>
    <col min="3601" max="3601" width="8" style="1" customWidth="1"/>
    <col min="3602" max="3609" width="9.21875" style="1"/>
    <col min="3610" max="3610" width="8.21875" style="1" bestFit="1" customWidth="1"/>
    <col min="3611" max="3841" width="9.21875" style="1"/>
    <col min="3842" max="3842" width="9.44140625" style="1" bestFit="1" customWidth="1"/>
    <col min="3843" max="3843" width="9.77734375" style="1" customWidth="1"/>
    <col min="3844" max="3844" width="9.44140625" style="1" bestFit="1" customWidth="1"/>
    <col min="3845" max="3845" width="10" style="1" customWidth="1"/>
    <col min="3846" max="3848" width="9.21875" style="1"/>
    <col min="3849" max="3849" width="11.77734375" style="1" customWidth="1"/>
    <col min="3850" max="3850" width="15.44140625" style="1" customWidth="1"/>
    <col min="3851" max="3851" width="12.77734375" style="1" customWidth="1"/>
    <col min="3852" max="3854" width="9.21875" style="1"/>
    <col min="3855" max="3855" width="9.44140625" style="1" bestFit="1" customWidth="1"/>
    <col min="3856" max="3856" width="9.21875" style="1"/>
    <col min="3857" max="3857" width="8" style="1" customWidth="1"/>
    <col min="3858" max="3865" width="9.21875" style="1"/>
    <col min="3866" max="3866" width="8.21875" style="1" bestFit="1" customWidth="1"/>
    <col min="3867" max="4097" width="9.21875" style="1"/>
    <col min="4098" max="4098" width="9.44140625" style="1" bestFit="1" customWidth="1"/>
    <col min="4099" max="4099" width="9.77734375" style="1" customWidth="1"/>
    <col min="4100" max="4100" width="9.44140625" style="1" bestFit="1" customWidth="1"/>
    <col min="4101" max="4101" width="10" style="1" customWidth="1"/>
    <col min="4102" max="4104" width="9.21875" style="1"/>
    <col min="4105" max="4105" width="11.77734375" style="1" customWidth="1"/>
    <col min="4106" max="4106" width="15.44140625" style="1" customWidth="1"/>
    <col min="4107" max="4107" width="12.77734375" style="1" customWidth="1"/>
    <col min="4108" max="4110" width="9.21875" style="1"/>
    <col min="4111" max="4111" width="9.44140625" style="1" bestFit="1" customWidth="1"/>
    <col min="4112" max="4112" width="9.21875" style="1"/>
    <col min="4113" max="4113" width="8" style="1" customWidth="1"/>
    <col min="4114" max="4121" width="9.21875" style="1"/>
    <col min="4122" max="4122" width="8.21875" style="1" bestFit="1" customWidth="1"/>
    <col min="4123" max="4353" width="9.21875" style="1"/>
    <col min="4354" max="4354" width="9.44140625" style="1" bestFit="1" customWidth="1"/>
    <col min="4355" max="4355" width="9.77734375" style="1" customWidth="1"/>
    <col min="4356" max="4356" width="9.44140625" style="1" bestFit="1" customWidth="1"/>
    <col min="4357" max="4357" width="10" style="1" customWidth="1"/>
    <col min="4358" max="4360" width="9.21875" style="1"/>
    <col min="4361" max="4361" width="11.77734375" style="1" customWidth="1"/>
    <col min="4362" max="4362" width="15.44140625" style="1" customWidth="1"/>
    <col min="4363" max="4363" width="12.77734375" style="1" customWidth="1"/>
    <col min="4364" max="4366" width="9.21875" style="1"/>
    <col min="4367" max="4367" width="9.44140625" style="1" bestFit="1" customWidth="1"/>
    <col min="4368" max="4368" width="9.21875" style="1"/>
    <col min="4369" max="4369" width="8" style="1" customWidth="1"/>
    <col min="4370" max="4377" width="9.21875" style="1"/>
    <col min="4378" max="4378" width="8.21875" style="1" bestFit="1" customWidth="1"/>
    <col min="4379" max="4609" width="9.21875" style="1"/>
    <col min="4610" max="4610" width="9.44140625" style="1" bestFit="1" customWidth="1"/>
    <col min="4611" max="4611" width="9.77734375" style="1" customWidth="1"/>
    <col min="4612" max="4612" width="9.44140625" style="1" bestFit="1" customWidth="1"/>
    <col min="4613" max="4613" width="10" style="1" customWidth="1"/>
    <col min="4614" max="4616" width="9.21875" style="1"/>
    <col min="4617" max="4617" width="11.77734375" style="1" customWidth="1"/>
    <col min="4618" max="4618" width="15.44140625" style="1" customWidth="1"/>
    <col min="4619" max="4619" width="12.77734375" style="1" customWidth="1"/>
    <col min="4620" max="4622" width="9.21875" style="1"/>
    <col min="4623" max="4623" width="9.44140625" style="1" bestFit="1" customWidth="1"/>
    <col min="4624" max="4624" width="9.21875" style="1"/>
    <col min="4625" max="4625" width="8" style="1" customWidth="1"/>
    <col min="4626" max="4633" width="9.21875" style="1"/>
    <col min="4634" max="4634" width="8.21875" style="1" bestFit="1" customWidth="1"/>
    <col min="4635" max="4865" width="9.21875" style="1"/>
    <col min="4866" max="4866" width="9.44140625" style="1" bestFit="1" customWidth="1"/>
    <col min="4867" max="4867" width="9.77734375" style="1" customWidth="1"/>
    <col min="4868" max="4868" width="9.44140625" style="1" bestFit="1" customWidth="1"/>
    <col min="4869" max="4869" width="10" style="1" customWidth="1"/>
    <col min="4870" max="4872" width="9.21875" style="1"/>
    <col min="4873" max="4873" width="11.77734375" style="1" customWidth="1"/>
    <col min="4874" max="4874" width="15.44140625" style="1" customWidth="1"/>
    <col min="4875" max="4875" width="12.77734375" style="1" customWidth="1"/>
    <col min="4876" max="4878" width="9.21875" style="1"/>
    <col min="4879" max="4879" width="9.44140625" style="1" bestFit="1" customWidth="1"/>
    <col min="4880" max="4880" width="9.21875" style="1"/>
    <col min="4881" max="4881" width="8" style="1" customWidth="1"/>
    <col min="4882" max="4889" width="9.21875" style="1"/>
    <col min="4890" max="4890" width="8.21875" style="1" bestFit="1" customWidth="1"/>
    <col min="4891" max="5121" width="9.21875" style="1"/>
    <col min="5122" max="5122" width="9.44140625" style="1" bestFit="1" customWidth="1"/>
    <col min="5123" max="5123" width="9.77734375" style="1" customWidth="1"/>
    <col min="5124" max="5124" width="9.44140625" style="1" bestFit="1" customWidth="1"/>
    <col min="5125" max="5125" width="10" style="1" customWidth="1"/>
    <col min="5126" max="5128" width="9.21875" style="1"/>
    <col min="5129" max="5129" width="11.77734375" style="1" customWidth="1"/>
    <col min="5130" max="5130" width="15.44140625" style="1" customWidth="1"/>
    <col min="5131" max="5131" width="12.77734375" style="1" customWidth="1"/>
    <col min="5132" max="5134" width="9.21875" style="1"/>
    <col min="5135" max="5135" width="9.44140625" style="1" bestFit="1" customWidth="1"/>
    <col min="5136" max="5136" width="9.21875" style="1"/>
    <col min="5137" max="5137" width="8" style="1" customWidth="1"/>
    <col min="5138" max="5145" width="9.21875" style="1"/>
    <col min="5146" max="5146" width="8.21875" style="1" bestFit="1" customWidth="1"/>
    <col min="5147" max="5377" width="9.21875" style="1"/>
    <col min="5378" max="5378" width="9.44140625" style="1" bestFit="1" customWidth="1"/>
    <col min="5379" max="5379" width="9.77734375" style="1" customWidth="1"/>
    <col min="5380" max="5380" width="9.44140625" style="1" bestFit="1" customWidth="1"/>
    <col min="5381" max="5381" width="10" style="1" customWidth="1"/>
    <col min="5382" max="5384" width="9.21875" style="1"/>
    <col min="5385" max="5385" width="11.77734375" style="1" customWidth="1"/>
    <col min="5386" max="5386" width="15.44140625" style="1" customWidth="1"/>
    <col min="5387" max="5387" width="12.77734375" style="1" customWidth="1"/>
    <col min="5388" max="5390" width="9.21875" style="1"/>
    <col min="5391" max="5391" width="9.44140625" style="1" bestFit="1" customWidth="1"/>
    <col min="5392" max="5392" width="9.21875" style="1"/>
    <col min="5393" max="5393" width="8" style="1" customWidth="1"/>
    <col min="5394" max="5401" width="9.21875" style="1"/>
    <col min="5402" max="5402" width="8.21875" style="1" bestFit="1" customWidth="1"/>
    <col min="5403" max="5633" width="9.21875" style="1"/>
    <col min="5634" max="5634" width="9.44140625" style="1" bestFit="1" customWidth="1"/>
    <col min="5635" max="5635" width="9.77734375" style="1" customWidth="1"/>
    <col min="5636" max="5636" width="9.44140625" style="1" bestFit="1" customWidth="1"/>
    <col min="5637" max="5637" width="10" style="1" customWidth="1"/>
    <col min="5638" max="5640" width="9.21875" style="1"/>
    <col min="5641" max="5641" width="11.77734375" style="1" customWidth="1"/>
    <col min="5642" max="5642" width="15.44140625" style="1" customWidth="1"/>
    <col min="5643" max="5643" width="12.77734375" style="1" customWidth="1"/>
    <col min="5644" max="5646" width="9.21875" style="1"/>
    <col min="5647" max="5647" width="9.44140625" style="1" bestFit="1" customWidth="1"/>
    <col min="5648" max="5648" width="9.21875" style="1"/>
    <col min="5649" max="5649" width="8" style="1" customWidth="1"/>
    <col min="5650" max="5657" width="9.21875" style="1"/>
    <col min="5658" max="5658" width="8.21875" style="1" bestFit="1" customWidth="1"/>
    <col min="5659" max="5889" width="9.21875" style="1"/>
    <col min="5890" max="5890" width="9.44140625" style="1" bestFit="1" customWidth="1"/>
    <col min="5891" max="5891" width="9.77734375" style="1" customWidth="1"/>
    <col min="5892" max="5892" width="9.44140625" style="1" bestFit="1" customWidth="1"/>
    <col min="5893" max="5893" width="10" style="1" customWidth="1"/>
    <col min="5894" max="5896" width="9.21875" style="1"/>
    <col min="5897" max="5897" width="11.77734375" style="1" customWidth="1"/>
    <col min="5898" max="5898" width="15.44140625" style="1" customWidth="1"/>
    <col min="5899" max="5899" width="12.77734375" style="1" customWidth="1"/>
    <col min="5900" max="5902" width="9.21875" style="1"/>
    <col min="5903" max="5903" width="9.44140625" style="1" bestFit="1" customWidth="1"/>
    <col min="5904" max="5904" width="9.21875" style="1"/>
    <col min="5905" max="5905" width="8" style="1" customWidth="1"/>
    <col min="5906" max="5913" width="9.21875" style="1"/>
    <col min="5914" max="5914" width="8.21875" style="1" bestFit="1" customWidth="1"/>
    <col min="5915" max="6145" width="9.21875" style="1"/>
    <col min="6146" max="6146" width="9.44140625" style="1" bestFit="1" customWidth="1"/>
    <col min="6147" max="6147" width="9.77734375" style="1" customWidth="1"/>
    <col min="6148" max="6148" width="9.44140625" style="1" bestFit="1" customWidth="1"/>
    <col min="6149" max="6149" width="10" style="1" customWidth="1"/>
    <col min="6150" max="6152" width="9.21875" style="1"/>
    <col min="6153" max="6153" width="11.77734375" style="1" customWidth="1"/>
    <col min="6154" max="6154" width="15.44140625" style="1" customWidth="1"/>
    <col min="6155" max="6155" width="12.77734375" style="1" customWidth="1"/>
    <col min="6156" max="6158" width="9.21875" style="1"/>
    <col min="6159" max="6159" width="9.44140625" style="1" bestFit="1" customWidth="1"/>
    <col min="6160" max="6160" width="9.21875" style="1"/>
    <col min="6161" max="6161" width="8" style="1" customWidth="1"/>
    <col min="6162" max="6169" width="9.21875" style="1"/>
    <col min="6170" max="6170" width="8.21875" style="1" bestFit="1" customWidth="1"/>
    <col min="6171" max="6401" width="9.21875" style="1"/>
    <col min="6402" max="6402" width="9.44140625" style="1" bestFit="1" customWidth="1"/>
    <col min="6403" max="6403" width="9.77734375" style="1" customWidth="1"/>
    <col min="6404" max="6404" width="9.44140625" style="1" bestFit="1" customWidth="1"/>
    <col min="6405" max="6405" width="10" style="1" customWidth="1"/>
    <col min="6406" max="6408" width="9.21875" style="1"/>
    <col min="6409" max="6409" width="11.77734375" style="1" customWidth="1"/>
    <col min="6410" max="6410" width="15.44140625" style="1" customWidth="1"/>
    <col min="6411" max="6411" width="12.77734375" style="1" customWidth="1"/>
    <col min="6412" max="6414" width="9.21875" style="1"/>
    <col min="6415" max="6415" width="9.44140625" style="1" bestFit="1" customWidth="1"/>
    <col min="6416" max="6416" width="9.21875" style="1"/>
    <col min="6417" max="6417" width="8" style="1" customWidth="1"/>
    <col min="6418" max="6425" width="9.21875" style="1"/>
    <col min="6426" max="6426" width="8.21875" style="1" bestFit="1" customWidth="1"/>
    <col min="6427" max="6657" width="9.21875" style="1"/>
    <col min="6658" max="6658" width="9.44140625" style="1" bestFit="1" customWidth="1"/>
    <col min="6659" max="6659" width="9.77734375" style="1" customWidth="1"/>
    <col min="6660" max="6660" width="9.44140625" style="1" bestFit="1" customWidth="1"/>
    <col min="6661" max="6661" width="10" style="1" customWidth="1"/>
    <col min="6662" max="6664" width="9.21875" style="1"/>
    <col min="6665" max="6665" width="11.77734375" style="1" customWidth="1"/>
    <col min="6666" max="6666" width="15.44140625" style="1" customWidth="1"/>
    <col min="6667" max="6667" width="12.77734375" style="1" customWidth="1"/>
    <col min="6668" max="6670" width="9.21875" style="1"/>
    <col min="6671" max="6671" width="9.44140625" style="1" bestFit="1" customWidth="1"/>
    <col min="6672" max="6672" width="9.21875" style="1"/>
    <col min="6673" max="6673" width="8" style="1" customWidth="1"/>
    <col min="6674" max="6681" width="9.21875" style="1"/>
    <col min="6682" max="6682" width="8.21875" style="1" bestFit="1" customWidth="1"/>
    <col min="6683" max="6913" width="9.21875" style="1"/>
    <col min="6914" max="6914" width="9.44140625" style="1" bestFit="1" customWidth="1"/>
    <col min="6915" max="6915" width="9.77734375" style="1" customWidth="1"/>
    <col min="6916" max="6916" width="9.44140625" style="1" bestFit="1" customWidth="1"/>
    <col min="6917" max="6917" width="10" style="1" customWidth="1"/>
    <col min="6918" max="6920" width="9.21875" style="1"/>
    <col min="6921" max="6921" width="11.77734375" style="1" customWidth="1"/>
    <col min="6922" max="6922" width="15.44140625" style="1" customWidth="1"/>
    <col min="6923" max="6923" width="12.77734375" style="1" customWidth="1"/>
    <col min="6924" max="6926" width="9.21875" style="1"/>
    <col min="6927" max="6927" width="9.44140625" style="1" bestFit="1" customWidth="1"/>
    <col min="6928" max="6928" width="9.21875" style="1"/>
    <col min="6929" max="6929" width="8" style="1" customWidth="1"/>
    <col min="6930" max="6937" width="9.21875" style="1"/>
    <col min="6938" max="6938" width="8.21875" style="1" bestFit="1" customWidth="1"/>
    <col min="6939" max="7169" width="9.21875" style="1"/>
    <col min="7170" max="7170" width="9.44140625" style="1" bestFit="1" customWidth="1"/>
    <col min="7171" max="7171" width="9.77734375" style="1" customWidth="1"/>
    <col min="7172" max="7172" width="9.44140625" style="1" bestFit="1" customWidth="1"/>
    <col min="7173" max="7173" width="10" style="1" customWidth="1"/>
    <col min="7174" max="7176" width="9.21875" style="1"/>
    <col min="7177" max="7177" width="11.77734375" style="1" customWidth="1"/>
    <col min="7178" max="7178" width="15.44140625" style="1" customWidth="1"/>
    <col min="7179" max="7179" width="12.77734375" style="1" customWidth="1"/>
    <col min="7180" max="7182" width="9.21875" style="1"/>
    <col min="7183" max="7183" width="9.44140625" style="1" bestFit="1" customWidth="1"/>
    <col min="7184" max="7184" width="9.21875" style="1"/>
    <col min="7185" max="7185" width="8" style="1" customWidth="1"/>
    <col min="7186" max="7193" width="9.21875" style="1"/>
    <col min="7194" max="7194" width="8.21875" style="1" bestFit="1" customWidth="1"/>
    <col min="7195" max="7425" width="9.21875" style="1"/>
    <col min="7426" max="7426" width="9.44140625" style="1" bestFit="1" customWidth="1"/>
    <col min="7427" max="7427" width="9.77734375" style="1" customWidth="1"/>
    <col min="7428" max="7428" width="9.44140625" style="1" bestFit="1" customWidth="1"/>
    <col min="7429" max="7429" width="10" style="1" customWidth="1"/>
    <col min="7430" max="7432" width="9.21875" style="1"/>
    <col min="7433" max="7433" width="11.77734375" style="1" customWidth="1"/>
    <col min="7434" max="7434" width="15.44140625" style="1" customWidth="1"/>
    <col min="7435" max="7435" width="12.77734375" style="1" customWidth="1"/>
    <col min="7436" max="7438" width="9.21875" style="1"/>
    <col min="7439" max="7439" width="9.44140625" style="1" bestFit="1" customWidth="1"/>
    <col min="7440" max="7440" width="9.21875" style="1"/>
    <col min="7441" max="7441" width="8" style="1" customWidth="1"/>
    <col min="7442" max="7449" width="9.21875" style="1"/>
    <col min="7450" max="7450" width="8.21875" style="1" bestFit="1" customWidth="1"/>
    <col min="7451" max="7681" width="9.21875" style="1"/>
    <col min="7682" max="7682" width="9.44140625" style="1" bestFit="1" customWidth="1"/>
    <col min="7683" max="7683" width="9.77734375" style="1" customWidth="1"/>
    <col min="7684" max="7684" width="9.44140625" style="1" bestFit="1" customWidth="1"/>
    <col min="7685" max="7685" width="10" style="1" customWidth="1"/>
    <col min="7686" max="7688" width="9.21875" style="1"/>
    <col min="7689" max="7689" width="11.77734375" style="1" customWidth="1"/>
    <col min="7690" max="7690" width="15.44140625" style="1" customWidth="1"/>
    <col min="7691" max="7691" width="12.77734375" style="1" customWidth="1"/>
    <col min="7692" max="7694" width="9.21875" style="1"/>
    <col min="7695" max="7695" width="9.44140625" style="1" bestFit="1" customWidth="1"/>
    <col min="7696" max="7696" width="9.21875" style="1"/>
    <col min="7697" max="7697" width="8" style="1" customWidth="1"/>
    <col min="7698" max="7705" width="9.21875" style="1"/>
    <col min="7706" max="7706" width="8.21875" style="1" bestFit="1" customWidth="1"/>
    <col min="7707" max="7937" width="9.21875" style="1"/>
    <col min="7938" max="7938" width="9.44140625" style="1" bestFit="1" customWidth="1"/>
    <col min="7939" max="7939" width="9.77734375" style="1" customWidth="1"/>
    <col min="7940" max="7940" width="9.44140625" style="1" bestFit="1" customWidth="1"/>
    <col min="7941" max="7941" width="10" style="1" customWidth="1"/>
    <col min="7942" max="7944" width="9.21875" style="1"/>
    <col min="7945" max="7945" width="11.77734375" style="1" customWidth="1"/>
    <col min="7946" max="7946" width="15.44140625" style="1" customWidth="1"/>
    <col min="7947" max="7947" width="12.77734375" style="1" customWidth="1"/>
    <col min="7948" max="7950" width="9.21875" style="1"/>
    <col min="7951" max="7951" width="9.44140625" style="1" bestFit="1" customWidth="1"/>
    <col min="7952" max="7952" width="9.21875" style="1"/>
    <col min="7953" max="7953" width="8" style="1" customWidth="1"/>
    <col min="7954" max="7961" width="9.21875" style="1"/>
    <col min="7962" max="7962" width="8.21875" style="1" bestFit="1" customWidth="1"/>
    <col min="7963" max="8193" width="9.21875" style="1"/>
    <col min="8194" max="8194" width="9.44140625" style="1" bestFit="1" customWidth="1"/>
    <col min="8195" max="8195" width="9.77734375" style="1" customWidth="1"/>
    <col min="8196" max="8196" width="9.44140625" style="1" bestFit="1" customWidth="1"/>
    <col min="8197" max="8197" width="10" style="1" customWidth="1"/>
    <col min="8198" max="8200" width="9.21875" style="1"/>
    <col min="8201" max="8201" width="11.77734375" style="1" customWidth="1"/>
    <col min="8202" max="8202" width="15.44140625" style="1" customWidth="1"/>
    <col min="8203" max="8203" width="12.77734375" style="1" customWidth="1"/>
    <col min="8204" max="8206" width="9.21875" style="1"/>
    <col min="8207" max="8207" width="9.44140625" style="1" bestFit="1" customWidth="1"/>
    <col min="8208" max="8208" width="9.21875" style="1"/>
    <col min="8209" max="8209" width="8" style="1" customWidth="1"/>
    <col min="8210" max="8217" width="9.21875" style="1"/>
    <col min="8218" max="8218" width="8.21875" style="1" bestFit="1" customWidth="1"/>
    <col min="8219" max="8449" width="9.21875" style="1"/>
    <col min="8450" max="8450" width="9.44140625" style="1" bestFit="1" customWidth="1"/>
    <col min="8451" max="8451" width="9.77734375" style="1" customWidth="1"/>
    <col min="8452" max="8452" width="9.44140625" style="1" bestFit="1" customWidth="1"/>
    <col min="8453" max="8453" width="10" style="1" customWidth="1"/>
    <col min="8454" max="8456" width="9.21875" style="1"/>
    <col min="8457" max="8457" width="11.77734375" style="1" customWidth="1"/>
    <col min="8458" max="8458" width="15.44140625" style="1" customWidth="1"/>
    <col min="8459" max="8459" width="12.77734375" style="1" customWidth="1"/>
    <col min="8460" max="8462" width="9.21875" style="1"/>
    <col min="8463" max="8463" width="9.44140625" style="1" bestFit="1" customWidth="1"/>
    <col min="8464" max="8464" width="9.21875" style="1"/>
    <col min="8465" max="8465" width="8" style="1" customWidth="1"/>
    <col min="8466" max="8473" width="9.21875" style="1"/>
    <col min="8474" max="8474" width="8.21875" style="1" bestFit="1" customWidth="1"/>
    <col min="8475" max="8705" width="9.21875" style="1"/>
    <col min="8706" max="8706" width="9.44140625" style="1" bestFit="1" customWidth="1"/>
    <col min="8707" max="8707" width="9.77734375" style="1" customWidth="1"/>
    <col min="8708" max="8708" width="9.44140625" style="1" bestFit="1" customWidth="1"/>
    <col min="8709" max="8709" width="10" style="1" customWidth="1"/>
    <col min="8710" max="8712" width="9.21875" style="1"/>
    <col min="8713" max="8713" width="11.77734375" style="1" customWidth="1"/>
    <col min="8714" max="8714" width="15.44140625" style="1" customWidth="1"/>
    <col min="8715" max="8715" width="12.77734375" style="1" customWidth="1"/>
    <col min="8716" max="8718" width="9.21875" style="1"/>
    <col min="8719" max="8719" width="9.44140625" style="1" bestFit="1" customWidth="1"/>
    <col min="8720" max="8720" width="9.21875" style="1"/>
    <col min="8721" max="8721" width="8" style="1" customWidth="1"/>
    <col min="8722" max="8729" width="9.21875" style="1"/>
    <col min="8730" max="8730" width="8.21875" style="1" bestFit="1" customWidth="1"/>
    <col min="8731" max="8961" width="9.21875" style="1"/>
    <col min="8962" max="8962" width="9.44140625" style="1" bestFit="1" customWidth="1"/>
    <col min="8963" max="8963" width="9.77734375" style="1" customWidth="1"/>
    <col min="8964" max="8964" width="9.44140625" style="1" bestFit="1" customWidth="1"/>
    <col min="8965" max="8965" width="10" style="1" customWidth="1"/>
    <col min="8966" max="8968" width="9.21875" style="1"/>
    <col min="8969" max="8969" width="11.77734375" style="1" customWidth="1"/>
    <col min="8970" max="8970" width="15.44140625" style="1" customWidth="1"/>
    <col min="8971" max="8971" width="12.77734375" style="1" customWidth="1"/>
    <col min="8972" max="8974" width="9.21875" style="1"/>
    <col min="8975" max="8975" width="9.44140625" style="1" bestFit="1" customWidth="1"/>
    <col min="8976" max="8976" width="9.21875" style="1"/>
    <col min="8977" max="8977" width="8" style="1" customWidth="1"/>
    <col min="8978" max="8985" width="9.21875" style="1"/>
    <col min="8986" max="8986" width="8.21875" style="1" bestFit="1" customWidth="1"/>
    <col min="8987" max="9217" width="9.21875" style="1"/>
    <col min="9218" max="9218" width="9.44140625" style="1" bestFit="1" customWidth="1"/>
    <col min="9219" max="9219" width="9.77734375" style="1" customWidth="1"/>
    <col min="9220" max="9220" width="9.44140625" style="1" bestFit="1" customWidth="1"/>
    <col min="9221" max="9221" width="10" style="1" customWidth="1"/>
    <col min="9222" max="9224" width="9.21875" style="1"/>
    <col min="9225" max="9225" width="11.77734375" style="1" customWidth="1"/>
    <col min="9226" max="9226" width="15.44140625" style="1" customWidth="1"/>
    <col min="9227" max="9227" width="12.77734375" style="1" customWidth="1"/>
    <col min="9228" max="9230" width="9.21875" style="1"/>
    <col min="9231" max="9231" width="9.44140625" style="1" bestFit="1" customWidth="1"/>
    <col min="9232" max="9232" width="9.21875" style="1"/>
    <col min="9233" max="9233" width="8" style="1" customWidth="1"/>
    <col min="9234" max="9241" width="9.21875" style="1"/>
    <col min="9242" max="9242" width="8.21875" style="1" bestFit="1" customWidth="1"/>
    <col min="9243" max="9473" width="9.21875" style="1"/>
    <col min="9474" max="9474" width="9.44140625" style="1" bestFit="1" customWidth="1"/>
    <col min="9475" max="9475" width="9.77734375" style="1" customWidth="1"/>
    <col min="9476" max="9476" width="9.44140625" style="1" bestFit="1" customWidth="1"/>
    <col min="9477" max="9477" width="10" style="1" customWidth="1"/>
    <col min="9478" max="9480" width="9.21875" style="1"/>
    <col min="9481" max="9481" width="11.77734375" style="1" customWidth="1"/>
    <col min="9482" max="9482" width="15.44140625" style="1" customWidth="1"/>
    <col min="9483" max="9483" width="12.77734375" style="1" customWidth="1"/>
    <col min="9484" max="9486" width="9.21875" style="1"/>
    <col min="9487" max="9487" width="9.44140625" style="1" bestFit="1" customWidth="1"/>
    <col min="9488" max="9488" width="9.21875" style="1"/>
    <col min="9489" max="9489" width="8" style="1" customWidth="1"/>
    <col min="9490" max="9497" width="9.21875" style="1"/>
    <col min="9498" max="9498" width="8.21875" style="1" bestFit="1" customWidth="1"/>
    <col min="9499" max="9729" width="9.21875" style="1"/>
    <col min="9730" max="9730" width="9.44140625" style="1" bestFit="1" customWidth="1"/>
    <col min="9731" max="9731" width="9.77734375" style="1" customWidth="1"/>
    <col min="9732" max="9732" width="9.44140625" style="1" bestFit="1" customWidth="1"/>
    <col min="9733" max="9733" width="10" style="1" customWidth="1"/>
    <col min="9734" max="9736" width="9.21875" style="1"/>
    <col min="9737" max="9737" width="11.77734375" style="1" customWidth="1"/>
    <col min="9738" max="9738" width="15.44140625" style="1" customWidth="1"/>
    <col min="9739" max="9739" width="12.77734375" style="1" customWidth="1"/>
    <col min="9740" max="9742" width="9.21875" style="1"/>
    <col min="9743" max="9743" width="9.44140625" style="1" bestFit="1" customWidth="1"/>
    <col min="9744" max="9744" width="9.21875" style="1"/>
    <col min="9745" max="9745" width="8" style="1" customWidth="1"/>
    <col min="9746" max="9753" width="9.21875" style="1"/>
    <col min="9754" max="9754" width="8.21875" style="1" bestFit="1" customWidth="1"/>
    <col min="9755" max="9985" width="9.21875" style="1"/>
    <col min="9986" max="9986" width="9.44140625" style="1" bestFit="1" customWidth="1"/>
    <col min="9987" max="9987" width="9.77734375" style="1" customWidth="1"/>
    <col min="9988" max="9988" width="9.44140625" style="1" bestFit="1" customWidth="1"/>
    <col min="9989" max="9989" width="10" style="1" customWidth="1"/>
    <col min="9990" max="9992" width="9.21875" style="1"/>
    <col min="9993" max="9993" width="11.77734375" style="1" customWidth="1"/>
    <col min="9994" max="9994" width="15.44140625" style="1" customWidth="1"/>
    <col min="9995" max="9995" width="12.77734375" style="1" customWidth="1"/>
    <col min="9996" max="9998" width="9.21875" style="1"/>
    <col min="9999" max="9999" width="9.44140625" style="1" bestFit="1" customWidth="1"/>
    <col min="10000" max="10000" width="9.21875" style="1"/>
    <col min="10001" max="10001" width="8" style="1" customWidth="1"/>
    <col min="10002" max="10009" width="9.21875" style="1"/>
    <col min="10010" max="10010" width="8.21875" style="1" bestFit="1" customWidth="1"/>
    <col min="10011" max="10241" width="9.21875" style="1"/>
    <col min="10242" max="10242" width="9.44140625" style="1" bestFit="1" customWidth="1"/>
    <col min="10243" max="10243" width="9.77734375" style="1" customWidth="1"/>
    <col min="10244" max="10244" width="9.44140625" style="1" bestFit="1" customWidth="1"/>
    <col min="10245" max="10245" width="10" style="1" customWidth="1"/>
    <col min="10246" max="10248" width="9.21875" style="1"/>
    <col min="10249" max="10249" width="11.77734375" style="1" customWidth="1"/>
    <col min="10250" max="10250" width="15.44140625" style="1" customWidth="1"/>
    <col min="10251" max="10251" width="12.77734375" style="1" customWidth="1"/>
    <col min="10252" max="10254" width="9.21875" style="1"/>
    <col min="10255" max="10255" width="9.44140625" style="1" bestFit="1" customWidth="1"/>
    <col min="10256" max="10256" width="9.21875" style="1"/>
    <col min="10257" max="10257" width="8" style="1" customWidth="1"/>
    <col min="10258" max="10265" width="9.21875" style="1"/>
    <col min="10266" max="10266" width="8.21875" style="1" bestFit="1" customWidth="1"/>
    <col min="10267" max="10497" width="9.21875" style="1"/>
    <col min="10498" max="10498" width="9.44140625" style="1" bestFit="1" customWidth="1"/>
    <col min="10499" max="10499" width="9.77734375" style="1" customWidth="1"/>
    <col min="10500" max="10500" width="9.44140625" style="1" bestFit="1" customWidth="1"/>
    <col min="10501" max="10501" width="10" style="1" customWidth="1"/>
    <col min="10502" max="10504" width="9.21875" style="1"/>
    <col min="10505" max="10505" width="11.77734375" style="1" customWidth="1"/>
    <col min="10506" max="10506" width="15.44140625" style="1" customWidth="1"/>
    <col min="10507" max="10507" width="12.77734375" style="1" customWidth="1"/>
    <col min="10508" max="10510" width="9.21875" style="1"/>
    <col min="10511" max="10511" width="9.44140625" style="1" bestFit="1" customWidth="1"/>
    <col min="10512" max="10512" width="9.21875" style="1"/>
    <col min="10513" max="10513" width="8" style="1" customWidth="1"/>
    <col min="10514" max="10521" width="9.21875" style="1"/>
    <col min="10522" max="10522" width="8.21875" style="1" bestFit="1" customWidth="1"/>
    <col min="10523" max="10753" width="9.21875" style="1"/>
    <col min="10754" max="10754" width="9.44140625" style="1" bestFit="1" customWidth="1"/>
    <col min="10755" max="10755" width="9.77734375" style="1" customWidth="1"/>
    <col min="10756" max="10756" width="9.44140625" style="1" bestFit="1" customWidth="1"/>
    <col min="10757" max="10757" width="10" style="1" customWidth="1"/>
    <col min="10758" max="10760" width="9.21875" style="1"/>
    <col min="10761" max="10761" width="11.77734375" style="1" customWidth="1"/>
    <col min="10762" max="10762" width="15.44140625" style="1" customWidth="1"/>
    <col min="10763" max="10763" width="12.77734375" style="1" customWidth="1"/>
    <col min="10764" max="10766" width="9.21875" style="1"/>
    <col min="10767" max="10767" width="9.44140625" style="1" bestFit="1" customWidth="1"/>
    <col min="10768" max="10768" width="9.21875" style="1"/>
    <col min="10769" max="10769" width="8" style="1" customWidth="1"/>
    <col min="10770" max="10777" width="9.21875" style="1"/>
    <col min="10778" max="10778" width="8.21875" style="1" bestFit="1" customWidth="1"/>
    <col min="10779" max="11009" width="9.21875" style="1"/>
    <col min="11010" max="11010" width="9.44140625" style="1" bestFit="1" customWidth="1"/>
    <col min="11011" max="11011" width="9.77734375" style="1" customWidth="1"/>
    <col min="11012" max="11012" width="9.44140625" style="1" bestFit="1" customWidth="1"/>
    <col min="11013" max="11013" width="10" style="1" customWidth="1"/>
    <col min="11014" max="11016" width="9.21875" style="1"/>
    <col min="11017" max="11017" width="11.77734375" style="1" customWidth="1"/>
    <col min="11018" max="11018" width="15.44140625" style="1" customWidth="1"/>
    <col min="11019" max="11019" width="12.77734375" style="1" customWidth="1"/>
    <col min="11020" max="11022" width="9.21875" style="1"/>
    <col min="11023" max="11023" width="9.44140625" style="1" bestFit="1" customWidth="1"/>
    <col min="11024" max="11024" width="9.21875" style="1"/>
    <col min="11025" max="11025" width="8" style="1" customWidth="1"/>
    <col min="11026" max="11033" width="9.21875" style="1"/>
    <col min="11034" max="11034" width="8.21875" style="1" bestFit="1" customWidth="1"/>
    <col min="11035" max="11265" width="9.21875" style="1"/>
    <col min="11266" max="11266" width="9.44140625" style="1" bestFit="1" customWidth="1"/>
    <col min="11267" max="11267" width="9.77734375" style="1" customWidth="1"/>
    <col min="11268" max="11268" width="9.44140625" style="1" bestFit="1" customWidth="1"/>
    <col min="11269" max="11269" width="10" style="1" customWidth="1"/>
    <col min="11270" max="11272" width="9.21875" style="1"/>
    <col min="11273" max="11273" width="11.77734375" style="1" customWidth="1"/>
    <col min="11274" max="11274" width="15.44140625" style="1" customWidth="1"/>
    <col min="11275" max="11275" width="12.77734375" style="1" customWidth="1"/>
    <col min="11276" max="11278" width="9.21875" style="1"/>
    <col min="11279" max="11279" width="9.44140625" style="1" bestFit="1" customWidth="1"/>
    <col min="11280" max="11280" width="9.21875" style="1"/>
    <col min="11281" max="11281" width="8" style="1" customWidth="1"/>
    <col min="11282" max="11289" width="9.21875" style="1"/>
    <col min="11290" max="11290" width="8.21875" style="1" bestFit="1" customWidth="1"/>
    <col min="11291" max="11521" width="9.21875" style="1"/>
    <col min="11522" max="11522" width="9.44140625" style="1" bestFit="1" customWidth="1"/>
    <col min="11523" max="11523" width="9.77734375" style="1" customWidth="1"/>
    <col min="11524" max="11524" width="9.44140625" style="1" bestFit="1" customWidth="1"/>
    <col min="11525" max="11525" width="10" style="1" customWidth="1"/>
    <col min="11526" max="11528" width="9.21875" style="1"/>
    <col min="11529" max="11529" width="11.77734375" style="1" customWidth="1"/>
    <col min="11530" max="11530" width="15.44140625" style="1" customWidth="1"/>
    <col min="11531" max="11531" width="12.77734375" style="1" customWidth="1"/>
    <col min="11532" max="11534" width="9.21875" style="1"/>
    <col min="11535" max="11535" width="9.44140625" style="1" bestFit="1" customWidth="1"/>
    <col min="11536" max="11536" width="9.21875" style="1"/>
    <col min="11537" max="11537" width="8" style="1" customWidth="1"/>
    <col min="11538" max="11545" width="9.21875" style="1"/>
    <col min="11546" max="11546" width="8.21875" style="1" bestFit="1" customWidth="1"/>
    <col min="11547" max="11777" width="9.21875" style="1"/>
    <col min="11778" max="11778" width="9.44140625" style="1" bestFit="1" customWidth="1"/>
    <col min="11779" max="11779" width="9.77734375" style="1" customWidth="1"/>
    <col min="11780" max="11780" width="9.44140625" style="1" bestFit="1" customWidth="1"/>
    <col min="11781" max="11781" width="10" style="1" customWidth="1"/>
    <col min="11782" max="11784" width="9.21875" style="1"/>
    <col min="11785" max="11785" width="11.77734375" style="1" customWidth="1"/>
    <col min="11786" max="11786" width="15.44140625" style="1" customWidth="1"/>
    <col min="11787" max="11787" width="12.77734375" style="1" customWidth="1"/>
    <col min="11788" max="11790" width="9.21875" style="1"/>
    <col min="11791" max="11791" width="9.44140625" style="1" bestFit="1" customWidth="1"/>
    <col min="11792" max="11792" width="9.21875" style="1"/>
    <col min="11793" max="11793" width="8" style="1" customWidth="1"/>
    <col min="11794" max="11801" width="9.21875" style="1"/>
    <col min="11802" max="11802" width="8.21875" style="1" bestFit="1" customWidth="1"/>
    <col min="11803" max="12033" width="9.21875" style="1"/>
    <col min="12034" max="12034" width="9.44140625" style="1" bestFit="1" customWidth="1"/>
    <col min="12035" max="12035" width="9.77734375" style="1" customWidth="1"/>
    <col min="12036" max="12036" width="9.44140625" style="1" bestFit="1" customWidth="1"/>
    <col min="12037" max="12037" width="10" style="1" customWidth="1"/>
    <col min="12038" max="12040" width="9.21875" style="1"/>
    <col min="12041" max="12041" width="11.77734375" style="1" customWidth="1"/>
    <col min="12042" max="12042" width="15.44140625" style="1" customWidth="1"/>
    <col min="12043" max="12043" width="12.77734375" style="1" customWidth="1"/>
    <col min="12044" max="12046" width="9.21875" style="1"/>
    <col min="12047" max="12047" width="9.44140625" style="1" bestFit="1" customWidth="1"/>
    <col min="12048" max="12048" width="9.21875" style="1"/>
    <col min="12049" max="12049" width="8" style="1" customWidth="1"/>
    <col min="12050" max="12057" width="9.21875" style="1"/>
    <col min="12058" max="12058" width="8.21875" style="1" bestFit="1" customWidth="1"/>
    <col min="12059" max="12289" width="9.21875" style="1"/>
    <col min="12290" max="12290" width="9.44140625" style="1" bestFit="1" customWidth="1"/>
    <col min="12291" max="12291" width="9.77734375" style="1" customWidth="1"/>
    <col min="12292" max="12292" width="9.44140625" style="1" bestFit="1" customWidth="1"/>
    <col min="12293" max="12293" width="10" style="1" customWidth="1"/>
    <col min="12294" max="12296" width="9.21875" style="1"/>
    <col min="12297" max="12297" width="11.77734375" style="1" customWidth="1"/>
    <col min="12298" max="12298" width="15.44140625" style="1" customWidth="1"/>
    <col min="12299" max="12299" width="12.77734375" style="1" customWidth="1"/>
    <col min="12300" max="12302" width="9.21875" style="1"/>
    <col min="12303" max="12303" width="9.44140625" style="1" bestFit="1" customWidth="1"/>
    <col min="12304" max="12304" width="9.21875" style="1"/>
    <col min="12305" max="12305" width="8" style="1" customWidth="1"/>
    <col min="12306" max="12313" width="9.21875" style="1"/>
    <col min="12314" max="12314" width="8.21875" style="1" bestFit="1" customWidth="1"/>
    <col min="12315" max="12545" width="9.21875" style="1"/>
    <col min="12546" max="12546" width="9.44140625" style="1" bestFit="1" customWidth="1"/>
    <col min="12547" max="12547" width="9.77734375" style="1" customWidth="1"/>
    <col min="12548" max="12548" width="9.44140625" style="1" bestFit="1" customWidth="1"/>
    <col min="12549" max="12549" width="10" style="1" customWidth="1"/>
    <col min="12550" max="12552" width="9.21875" style="1"/>
    <col min="12553" max="12553" width="11.77734375" style="1" customWidth="1"/>
    <col min="12554" max="12554" width="15.44140625" style="1" customWidth="1"/>
    <col min="12555" max="12555" width="12.77734375" style="1" customWidth="1"/>
    <col min="12556" max="12558" width="9.21875" style="1"/>
    <col min="12559" max="12559" width="9.44140625" style="1" bestFit="1" customWidth="1"/>
    <col min="12560" max="12560" width="9.21875" style="1"/>
    <col min="12561" max="12561" width="8" style="1" customWidth="1"/>
    <col min="12562" max="12569" width="9.21875" style="1"/>
    <col min="12570" max="12570" width="8.21875" style="1" bestFit="1" customWidth="1"/>
    <col min="12571" max="12801" width="9.21875" style="1"/>
    <col min="12802" max="12802" width="9.44140625" style="1" bestFit="1" customWidth="1"/>
    <col min="12803" max="12803" width="9.77734375" style="1" customWidth="1"/>
    <col min="12804" max="12804" width="9.44140625" style="1" bestFit="1" customWidth="1"/>
    <col min="12805" max="12805" width="10" style="1" customWidth="1"/>
    <col min="12806" max="12808" width="9.21875" style="1"/>
    <col min="12809" max="12809" width="11.77734375" style="1" customWidth="1"/>
    <col min="12810" max="12810" width="15.44140625" style="1" customWidth="1"/>
    <col min="12811" max="12811" width="12.77734375" style="1" customWidth="1"/>
    <col min="12812" max="12814" width="9.21875" style="1"/>
    <col min="12815" max="12815" width="9.44140625" style="1" bestFit="1" customWidth="1"/>
    <col min="12816" max="12816" width="9.21875" style="1"/>
    <col min="12817" max="12817" width="8" style="1" customWidth="1"/>
    <col min="12818" max="12825" width="9.21875" style="1"/>
    <col min="12826" max="12826" width="8.21875" style="1" bestFit="1" customWidth="1"/>
    <col min="12827" max="13057" width="9.21875" style="1"/>
    <col min="13058" max="13058" width="9.44140625" style="1" bestFit="1" customWidth="1"/>
    <col min="13059" max="13059" width="9.77734375" style="1" customWidth="1"/>
    <col min="13060" max="13060" width="9.44140625" style="1" bestFit="1" customWidth="1"/>
    <col min="13061" max="13061" width="10" style="1" customWidth="1"/>
    <col min="13062" max="13064" width="9.21875" style="1"/>
    <col min="13065" max="13065" width="11.77734375" style="1" customWidth="1"/>
    <col min="13066" max="13066" width="15.44140625" style="1" customWidth="1"/>
    <col min="13067" max="13067" width="12.77734375" style="1" customWidth="1"/>
    <col min="13068" max="13070" width="9.21875" style="1"/>
    <col min="13071" max="13071" width="9.44140625" style="1" bestFit="1" customWidth="1"/>
    <col min="13072" max="13072" width="9.21875" style="1"/>
    <col min="13073" max="13073" width="8" style="1" customWidth="1"/>
    <col min="13074" max="13081" width="9.21875" style="1"/>
    <col min="13082" max="13082" width="8.21875" style="1" bestFit="1" customWidth="1"/>
    <col min="13083" max="13313" width="9.21875" style="1"/>
    <col min="13314" max="13314" width="9.44140625" style="1" bestFit="1" customWidth="1"/>
    <col min="13315" max="13315" width="9.77734375" style="1" customWidth="1"/>
    <col min="13316" max="13316" width="9.44140625" style="1" bestFit="1" customWidth="1"/>
    <col min="13317" max="13317" width="10" style="1" customWidth="1"/>
    <col min="13318" max="13320" width="9.21875" style="1"/>
    <col min="13321" max="13321" width="11.77734375" style="1" customWidth="1"/>
    <col min="13322" max="13322" width="15.44140625" style="1" customWidth="1"/>
    <col min="13323" max="13323" width="12.77734375" style="1" customWidth="1"/>
    <col min="13324" max="13326" width="9.21875" style="1"/>
    <col min="13327" max="13327" width="9.44140625" style="1" bestFit="1" customWidth="1"/>
    <col min="13328" max="13328" width="9.21875" style="1"/>
    <col min="13329" max="13329" width="8" style="1" customWidth="1"/>
    <col min="13330" max="13337" width="9.21875" style="1"/>
    <col min="13338" max="13338" width="8.21875" style="1" bestFit="1" customWidth="1"/>
    <col min="13339" max="13569" width="9.21875" style="1"/>
    <col min="13570" max="13570" width="9.44140625" style="1" bestFit="1" customWidth="1"/>
    <col min="13571" max="13571" width="9.77734375" style="1" customWidth="1"/>
    <col min="13572" max="13572" width="9.44140625" style="1" bestFit="1" customWidth="1"/>
    <col min="13573" max="13573" width="10" style="1" customWidth="1"/>
    <col min="13574" max="13576" width="9.21875" style="1"/>
    <col min="13577" max="13577" width="11.77734375" style="1" customWidth="1"/>
    <col min="13578" max="13578" width="15.44140625" style="1" customWidth="1"/>
    <col min="13579" max="13579" width="12.77734375" style="1" customWidth="1"/>
    <col min="13580" max="13582" width="9.21875" style="1"/>
    <col min="13583" max="13583" width="9.44140625" style="1" bestFit="1" customWidth="1"/>
    <col min="13584" max="13584" width="9.21875" style="1"/>
    <col min="13585" max="13585" width="8" style="1" customWidth="1"/>
    <col min="13586" max="13593" width="9.21875" style="1"/>
    <col min="13594" max="13594" width="8.21875" style="1" bestFit="1" customWidth="1"/>
    <col min="13595" max="13825" width="9.21875" style="1"/>
    <col min="13826" max="13826" width="9.44140625" style="1" bestFit="1" customWidth="1"/>
    <col min="13827" max="13827" width="9.77734375" style="1" customWidth="1"/>
    <col min="13828" max="13828" width="9.44140625" style="1" bestFit="1" customWidth="1"/>
    <col min="13829" max="13829" width="10" style="1" customWidth="1"/>
    <col min="13830" max="13832" width="9.21875" style="1"/>
    <col min="13833" max="13833" width="11.77734375" style="1" customWidth="1"/>
    <col min="13834" max="13834" width="15.44140625" style="1" customWidth="1"/>
    <col min="13835" max="13835" width="12.77734375" style="1" customWidth="1"/>
    <col min="13836" max="13838" width="9.21875" style="1"/>
    <col min="13839" max="13839" width="9.44140625" style="1" bestFit="1" customWidth="1"/>
    <col min="13840" max="13840" width="9.21875" style="1"/>
    <col min="13841" max="13841" width="8" style="1" customWidth="1"/>
    <col min="13842" max="13849" width="9.21875" style="1"/>
    <col min="13850" max="13850" width="8.21875" style="1" bestFit="1" customWidth="1"/>
    <col min="13851" max="14081" width="9.21875" style="1"/>
    <col min="14082" max="14082" width="9.44140625" style="1" bestFit="1" customWidth="1"/>
    <col min="14083" max="14083" width="9.77734375" style="1" customWidth="1"/>
    <col min="14084" max="14084" width="9.44140625" style="1" bestFit="1" customWidth="1"/>
    <col min="14085" max="14085" width="10" style="1" customWidth="1"/>
    <col min="14086" max="14088" width="9.21875" style="1"/>
    <col min="14089" max="14089" width="11.77734375" style="1" customWidth="1"/>
    <col min="14090" max="14090" width="15.44140625" style="1" customWidth="1"/>
    <col min="14091" max="14091" width="12.77734375" style="1" customWidth="1"/>
    <col min="14092" max="14094" width="9.21875" style="1"/>
    <col min="14095" max="14095" width="9.44140625" style="1" bestFit="1" customWidth="1"/>
    <col min="14096" max="14096" width="9.21875" style="1"/>
    <col min="14097" max="14097" width="8" style="1" customWidth="1"/>
    <col min="14098" max="14105" width="9.21875" style="1"/>
    <col min="14106" max="14106" width="8.21875" style="1" bestFit="1" customWidth="1"/>
    <col min="14107" max="14337" width="9.21875" style="1"/>
    <col min="14338" max="14338" width="9.44140625" style="1" bestFit="1" customWidth="1"/>
    <col min="14339" max="14339" width="9.77734375" style="1" customWidth="1"/>
    <col min="14340" max="14340" width="9.44140625" style="1" bestFit="1" customWidth="1"/>
    <col min="14341" max="14341" width="10" style="1" customWidth="1"/>
    <col min="14342" max="14344" width="9.21875" style="1"/>
    <col min="14345" max="14345" width="11.77734375" style="1" customWidth="1"/>
    <col min="14346" max="14346" width="15.44140625" style="1" customWidth="1"/>
    <col min="14347" max="14347" width="12.77734375" style="1" customWidth="1"/>
    <col min="14348" max="14350" width="9.21875" style="1"/>
    <col min="14351" max="14351" width="9.44140625" style="1" bestFit="1" customWidth="1"/>
    <col min="14352" max="14352" width="9.21875" style="1"/>
    <col min="14353" max="14353" width="8" style="1" customWidth="1"/>
    <col min="14354" max="14361" width="9.21875" style="1"/>
    <col min="14362" max="14362" width="8.21875" style="1" bestFit="1" customWidth="1"/>
    <col min="14363" max="14593" width="9.21875" style="1"/>
    <col min="14594" max="14594" width="9.44140625" style="1" bestFit="1" customWidth="1"/>
    <col min="14595" max="14595" width="9.77734375" style="1" customWidth="1"/>
    <col min="14596" max="14596" width="9.44140625" style="1" bestFit="1" customWidth="1"/>
    <col min="14597" max="14597" width="10" style="1" customWidth="1"/>
    <col min="14598" max="14600" width="9.21875" style="1"/>
    <col min="14601" max="14601" width="11.77734375" style="1" customWidth="1"/>
    <col min="14602" max="14602" width="15.44140625" style="1" customWidth="1"/>
    <col min="14603" max="14603" width="12.77734375" style="1" customWidth="1"/>
    <col min="14604" max="14606" width="9.21875" style="1"/>
    <col min="14607" max="14607" width="9.44140625" style="1" bestFit="1" customWidth="1"/>
    <col min="14608" max="14608" width="9.21875" style="1"/>
    <col min="14609" max="14609" width="8" style="1" customWidth="1"/>
    <col min="14610" max="14617" width="9.21875" style="1"/>
    <col min="14618" max="14618" width="8.21875" style="1" bestFit="1" customWidth="1"/>
    <col min="14619" max="14849" width="9.21875" style="1"/>
    <col min="14850" max="14850" width="9.44140625" style="1" bestFit="1" customWidth="1"/>
    <col min="14851" max="14851" width="9.77734375" style="1" customWidth="1"/>
    <col min="14852" max="14852" width="9.44140625" style="1" bestFit="1" customWidth="1"/>
    <col min="14853" max="14853" width="10" style="1" customWidth="1"/>
    <col min="14854" max="14856" width="9.21875" style="1"/>
    <col min="14857" max="14857" width="11.77734375" style="1" customWidth="1"/>
    <col min="14858" max="14858" width="15.44140625" style="1" customWidth="1"/>
    <col min="14859" max="14859" width="12.77734375" style="1" customWidth="1"/>
    <col min="14860" max="14862" width="9.21875" style="1"/>
    <col min="14863" max="14863" width="9.44140625" style="1" bestFit="1" customWidth="1"/>
    <col min="14864" max="14864" width="9.21875" style="1"/>
    <col min="14865" max="14865" width="8" style="1" customWidth="1"/>
    <col min="14866" max="14873" width="9.21875" style="1"/>
    <col min="14874" max="14874" width="8.21875" style="1" bestFit="1" customWidth="1"/>
    <col min="14875" max="15105" width="9.21875" style="1"/>
    <col min="15106" max="15106" width="9.44140625" style="1" bestFit="1" customWidth="1"/>
    <col min="15107" max="15107" width="9.77734375" style="1" customWidth="1"/>
    <col min="15108" max="15108" width="9.44140625" style="1" bestFit="1" customWidth="1"/>
    <col min="15109" max="15109" width="10" style="1" customWidth="1"/>
    <col min="15110" max="15112" width="9.21875" style="1"/>
    <col min="15113" max="15113" width="11.77734375" style="1" customWidth="1"/>
    <col min="15114" max="15114" width="15.44140625" style="1" customWidth="1"/>
    <col min="15115" max="15115" width="12.77734375" style="1" customWidth="1"/>
    <col min="15116" max="15118" width="9.21875" style="1"/>
    <col min="15119" max="15119" width="9.44140625" style="1" bestFit="1" customWidth="1"/>
    <col min="15120" max="15120" width="9.21875" style="1"/>
    <col min="15121" max="15121" width="8" style="1" customWidth="1"/>
    <col min="15122" max="15129" width="9.21875" style="1"/>
    <col min="15130" max="15130" width="8.21875" style="1" bestFit="1" customWidth="1"/>
    <col min="15131" max="15361" width="9.21875" style="1"/>
    <col min="15362" max="15362" width="9.44140625" style="1" bestFit="1" customWidth="1"/>
    <col min="15363" max="15363" width="9.77734375" style="1" customWidth="1"/>
    <col min="15364" max="15364" width="9.44140625" style="1" bestFit="1" customWidth="1"/>
    <col min="15365" max="15365" width="10" style="1" customWidth="1"/>
    <col min="15366" max="15368" width="9.21875" style="1"/>
    <col min="15369" max="15369" width="11.77734375" style="1" customWidth="1"/>
    <col min="15370" max="15370" width="15.44140625" style="1" customWidth="1"/>
    <col min="15371" max="15371" width="12.77734375" style="1" customWidth="1"/>
    <col min="15372" max="15374" width="9.21875" style="1"/>
    <col min="15375" max="15375" width="9.44140625" style="1" bestFit="1" customWidth="1"/>
    <col min="15376" max="15376" width="9.21875" style="1"/>
    <col min="15377" max="15377" width="8" style="1" customWidth="1"/>
    <col min="15378" max="15385" width="9.21875" style="1"/>
    <col min="15386" max="15386" width="8.21875" style="1" bestFit="1" customWidth="1"/>
    <col min="15387" max="15617" width="9.21875" style="1"/>
    <col min="15618" max="15618" width="9.44140625" style="1" bestFit="1" customWidth="1"/>
    <col min="15619" max="15619" width="9.77734375" style="1" customWidth="1"/>
    <col min="15620" max="15620" width="9.44140625" style="1" bestFit="1" customWidth="1"/>
    <col min="15621" max="15621" width="10" style="1" customWidth="1"/>
    <col min="15622" max="15624" width="9.21875" style="1"/>
    <col min="15625" max="15625" width="11.77734375" style="1" customWidth="1"/>
    <col min="15626" max="15626" width="15.44140625" style="1" customWidth="1"/>
    <col min="15627" max="15627" width="12.77734375" style="1" customWidth="1"/>
    <col min="15628" max="15630" width="9.21875" style="1"/>
    <col min="15631" max="15631" width="9.44140625" style="1" bestFit="1" customWidth="1"/>
    <col min="15632" max="15632" width="9.21875" style="1"/>
    <col min="15633" max="15633" width="8" style="1" customWidth="1"/>
    <col min="15634" max="15641" width="9.21875" style="1"/>
    <col min="15642" max="15642" width="8.21875" style="1" bestFit="1" customWidth="1"/>
    <col min="15643" max="15873" width="9.21875" style="1"/>
    <col min="15874" max="15874" width="9.44140625" style="1" bestFit="1" customWidth="1"/>
    <col min="15875" max="15875" width="9.77734375" style="1" customWidth="1"/>
    <col min="15876" max="15876" width="9.44140625" style="1" bestFit="1" customWidth="1"/>
    <col min="15877" max="15877" width="10" style="1" customWidth="1"/>
    <col min="15878" max="15880" width="9.21875" style="1"/>
    <col min="15881" max="15881" width="11.77734375" style="1" customWidth="1"/>
    <col min="15882" max="15882" width="15.44140625" style="1" customWidth="1"/>
    <col min="15883" max="15883" width="12.77734375" style="1" customWidth="1"/>
    <col min="15884" max="15886" width="9.21875" style="1"/>
    <col min="15887" max="15887" width="9.44140625" style="1" bestFit="1" customWidth="1"/>
    <col min="15888" max="15888" width="9.21875" style="1"/>
    <col min="15889" max="15889" width="8" style="1" customWidth="1"/>
    <col min="15890" max="15897" width="9.21875" style="1"/>
    <col min="15898" max="15898" width="8.21875" style="1" bestFit="1" customWidth="1"/>
    <col min="15899" max="16129" width="9.21875" style="1"/>
    <col min="16130" max="16130" width="9.44140625" style="1" bestFit="1" customWidth="1"/>
    <col min="16131" max="16131" width="9.77734375" style="1" customWidth="1"/>
    <col min="16132" max="16132" width="9.44140625" style="1" bestFit="1" customWidth="1"/>
    <col min="16133" max="16133" width="10" style="1" customWidth="1"/>
    <col min="16134" max="16136" width="9.21875" style="1"/>
    <col min="16137" max="16137" width="11.77734375" style="1" customWidth="1"/>
    <col min="16138" max="16138" width="15.44140625" style="1" customWidth="1"/>
    <col min="16139" max="16139" width="12.77734375" style="1" customWidth="1"/>
    <col min="16140" max="16142" width="9.21875" style="1"/>
    <col min="16143" max="16143" width="9.44140625" style="1" bestFit="1" customWidth="1"/>
    <col min="16144" max="16144" width="9.21875" style="1"/>
    <col min="16145" max="16145" width="8" style="1" customWidth="1"/>
    <col min="16146" max="16153" width="9.21875" style="1"/>
    <col min="16154" max="16154" width="8.21875" style="1" bestFit="1" customWidth="1"/>
    <col min="16155" max="16384" width="9.21875" style="1"/>
  </cols>
  <sheetData>
    <row r="2" spans="1:32" ht="15.6" x14ac:dyDescent="0.3">
      <c r="C2" s="2" t="s">
        <v>0</v>
      </c>
    </row>
    <row r="3" spans="1:32" ht="15.6" x14ac:dyDescent="0.3">
      <c r="C3" s="2"/>
    </row>
    <row r="4" spans="1:32" ht="15.6" x14ac:dyDescent="0.3">
      <c r="A4" s="3" t="s">
        <v>1314</v>
      </c>
      <c r="B4" s="3"/>
      <c r="C4" s="2"/>
    </row>
    <row r="5" spans="1:32" x14ac:dyDescent="0.25">
      <c r="A5" s="4"/>
    </row>
    <row r="6" spans="1:32" x14ac:dyDescent="0.25">
      <c r="A6" s="3" t="s">
        <v>1</v>
      </c>
    </row>
    <row r="7" spans="1:32" ht="39.6" x14ac:dyDescent="0.25">
      <c r="A7" s="4"/>
      <c r="Q7" s="7" t="s">
        <v>5</v>
      </c>
      <c r="R7" s="7" t="s">
        <v>6</v>
      </c>
      <c r="S7" s="7" t="s">
        <v>7</v>
      </c>
      <c r="T7" s="7" t="s">
        <v>8</v>
      </c>
      <c r="U7" s="7" t="s">
        <v>9</v>
      </c>
      <c r="V7" s="7" t="s">
        <v>10</v>
      </c>
      <c r="W7" s="7" t="s">
        <v>11</v>
      </c>
      <c r="X7" s="7" t="s">
        <v>12</v>
      </c>
      <c r="Y7" s="7" t="s">
        <v>13</v>
      </c>
      <c r="Z7" s="7" t="s">
        <v>14</v>
      </c>
      <c r="AA7" s="7" t="s">
        <v>15</v>
      </c>
      <c r="AB7" s="7" t="s">
        <v>16</v>
      </c>
      <c r="AC7" s="7" t="s">
        <v>17</v>
      </c>
      <c r="AD7" s="7" t="s">
        <v>18</v>
      </c>
      <c r="AE7" s="7" t="s">
        <v>19</v>
      </c>
      <c r="AF7" s="7" t="s">
        <v>20</v>
      </c>
    </row>
    <row r="8" spans="1:32" x14ac:dyDescent="0.25">
      <c r="A8" s="4"/>
      <c r="B8" s="3" t="s">
        <v>1315</v>
      </c>
      <c r="C8" s="3"/>
      <c r="O8" s="11">
        <f>Q8/P8</f>
        <v>0.82362082362082367</v>
      </c>
      <c r="P8" s="12">
        <f>S8*T8*0.78/10000</f>
        <v>0.85799999999999998</v>
      </c>
      <c r="Q8" s="8">
        <f>100*V8/R8</f>
        <v>0.70666666666666667</v>
      </c>
      <c r="R8" s="9">
        <v>150</v>
      </c>
      <c r="S8" s="9">
        <v>100</v>
      </c>
      <c r="T8" s="9">
        <v>110</v>
      </c>
      <c r="U8" s="213">
        <v>0.79500000000000004</v>
      </c>
      <c r="V8" s="13">
        <f t="shared" ref="V8:V26" si="0">U8/0.75</f>
        <v>1.06</v>
      </c>
      <c r="W8" s="9">
        <v>250</v>
      </c>
      <c r="X8" s="214">
        <f t="shared" ref="X8:X28" si="1">ROUND(R8/25.4,0)+2</f>
        <v>8</v>
      </c>
      <c r="Y8" s="214">
        <v>260</v>
      </c>
      <c r="Z8" s="215">
        <v>14.17</v>
      </c>
      <c r="AA8" s="9">
        <v>17</v>
      </c>
      <c r="AB8" s="216">
        <v>19.3</v>
      </c>
      <c r="AC8" s="23">
        <v>40</v>
      </c>
      <c r="AD8" s="23">
        <f>(T8)/2</f>
        <v>55</v>
      </c>
      <c r="AE8" s="9">
        <f t="shared" ref="AE8:AE29" si="2">ROUNDUP(IF(Q8=$D$26,X8*25.4+AC8*2,0),0)</f>
        <v>0</v>
      </c>
      <c r="AF8" s="9">
        <f t="shared" ref="AF8:AF26" si="3">IF(AE8=0,0,S8*2+$B$71*1000+40+AD8*2)</f>
        <v>0</v>
      </c>
    </row>
    <row r="9" spans="1:32" x14ac:dyDescent="0.25">
      <c r="B9" s="3" t="s">
        <v>3</v>
      </c>
      <c r="C9" s="5" t="s">
        <v>4</v>
      </c>
      <c r="O9" s="11">
        <f t="shared" ref="O9:O28" si="4">Q9/P9</f>
        <v>0.82557771446660344</v>
      </c>
      <c r="P9" s="12">
        <f t="shared" ref="P9:P27" si="5">S9*T9*0.78/10000</f>
        <v>1.3162499999999999</v>
      </c>
      <c r="Q9" s="8">
        <f t="shared" ref="Q9:Q28" si="6">100*V9/R9</f>
        <v>1.0866666666666667</v>
      </c>
      <c r="R9" s="9">
        <v>200</v>
      </c>
      <c r="S9" s="9">
        <v>125</v>
      </c>
      <c r="T9" s="9">
        <v>135</v>
      </c>
      <c r="U9" s="213">
        <v>1.63</v>
      </c>
      <c r="V9" s="13">
        <f t="shared" si="0"/>
        <v>2.1733333333333333</v>
      </c>
      <c r="W9" s="9">
        <v>275</v>
      </c>
      <c r="X9" s="214">
        <f t="shared" si="1"/>
        <v>10</v>
      </c>
      <c r="Y9" s="214">
        <v>320</v>
      </c>
      <c r="Z9" s="215">
        <v>35</v>
      </c>
      <c r="AA9" s="9">
        <v>42</v>
      </c>
      <c r="AB9" s="216">
        <v>47.6</v>
      </c>
      <c r="AC9" s="23">
        <v>45</v>
      </c>
      <c r="AD9" s="23">
        <f>(T9+5)/2</f>
        <v>70</v>
      </c>
      <c r="AE9" s="9">
        <f t="shared" si="2"/>
        <v>0</v>
      </c>
      <c r="AF9" s="9">
        <f t="shared" si="3"/>
        <v>0</v>
      </c>
    </row>
    <row r="10" spans="1:32" x14ac:dyDescent="0.25">
      <c r="B10" s="3"/>
      <c r="C10" s="5"/>
      <c r="O10" s="11">
        <f t="shared" si="4"/>
        <v>0.8299890737166723</v>
      </c>
      <c r="P10" s="12">
        <f t="shared" si="5"/>
        <v>1.8134999999999999</v>
      </c>
      <c r="Q10" s="8">
        <f t="shared" si="6"/>
        <v>1.5051851851851852</v>
      </c>
      <c r="R10" s="9">
        <v>225</v>
      </c>
      <c r="S10" s="9">
        <v>150</v>
      </c>
      <c r="T10" s="9">
        <v>155</v>
      </c>
      <c r="U10" s="213">
        <v>2.54</v>
      </c>
      <c r="V10" s="13">
        <f t="shared" si="0"/>
        <v>3.3866666666666667</v>
      </c>
      <c r="W10" s="9">
        <v>300</v>
      </c>
      <c r="X10" s="214">
        <f t="shared" si="1"/>
        <v>11</v>
      </c>
      <c r="Y10" s="214">
        <v>350</v>
      </c>
      <c r="Z10" s="215">
        <v>45.83</v>
      </c>
      <c r="AA10" s="9">
        <v>55</v>
      </c>
      <c r="AB10" s="216">
        <v>62.3</v>
      </c>
      <c r="AC10" s="23">
        <v>45</v>
      </c>
      <c r="AD10" s="23">
        <f>(T10+5)/2</f>
        <v>80</v>
      </c>
      <c r="AE10" s="9">
        <f t="shared" si="2"/>
        <v>0</v>
      </c>
      <c r="AF10" s="9">
        <f t="shared" si="3"/>
        <v>0</v>
      </c>
    </row>
    <row r="11" spans="1:32" x14ac:dyDescent="0.25">
      <c r="A11" s="1" t="s">
        <v>23</v>
      </c>
      <c r="B11" s="3"/>
      <c r="C11" s="3"/>
      <c r="O11" s="11">
        <f t="shared" si="4"/>
        <v>0.83227644517967103</v>
      </c>
      <c r="P11" s="12">
        <f t="shared" si="5"/>
        <v>1.8134999999999999</v>
      </c>
      <c r="Q11" s="8">
        <f t="shared" si="6"/>
        <v>1.5093333333333334</v>
      </c>
      <c r="R11" s="9">
        <v>250</v>
      </c>
      <c r="S11" s="9">
        <v>150</v>
      </c>
      <c r="T11" s="9">
        <v>155</v>
      </c>
      <c r="U11" s="213">
        <v>2.83</v>
      </c>
      <c r="V11" s="13">
        <f t="shared" si="0"/>
        <v>3.7733333333333334</v>
      </c>
      <c r="W11" s="9">
        <v>300</v>
      </c>
      <c r="X11" s="214">
        <f t="shared" si="1"/>
        <v>12</v>
      </c>
      <c r="Y11" s="214">
        <v>380</v>
      </c>
      <c r="Z11" s="215">
        <v>50.83</v>
      </c>
      <c r="AA11" s="9">
        <v>61</v>
      </c>
      <c r="AB11" s="216">
        <v>69.099999999999994</v>
      </c>
      <c r="AC11" s="23">
        <v>45</v>
      </c>
      <c r="AD11" s="23">
        <f>(T11+5)/2</f>
        <v>80</v>
      </c>
      <c r="AE11" s="9">
        <f t="shared" si="2"/>
        <v>0</v>
      </c>
      <c r="AF11" s="9">
        <f t="shared" si="3"/>
        <v>0</v>
      </c>
    </row>
    <row r="12" spans="1:32" x14ac:dyDescent="0.25">
      <c r="A12" s="4" t="s">
        <v>24</v>
      </c>
      <c r="B12" s="1" t="s">
        <v>25</v>
      </c>
      <c r="O12" s="11">
        <f t="shared" si="4"/>
        <v>0.83080599209631478</v>
      </c>
      <c r="P12" s="12">
        <f t="shared" si="5"/>
        <v>1.8134999999999999</v>
      </c>
      <c r="Q12" s="8">
        <f t="shared" si="6"/>
        <v>1.5066666666666668</v>
      </c>
      <c r="R12" s="9">
        <v>300</v>
      </c>
      <c r="S12" s="9">
        <v>150</v>
      </c>
      <c r="T12" s="9">
        <v>155</v>
      </c>
      <c r="U12" s="213">
        <v>3.39</v>
      </c>
      <c r="V12" s="13">
        <f t="shared" si="0"/>
        <v>4.5200000000000005</v>
      </c>
      <c r="W12" s="9">
        <v>300</v>
      </c>
      <c r="X12" s="214">
        <f t="shared" si="1"/>
        <v>14</v>
      </c>
      <c r="Y12" s="214">
        <v>440</v>
      </c>
      <c r="Z12" s="215">
        <v>52.5</v>
      </c>
      <c r="AA12" s="9">
        <v>71.400000000000006</v>
      </c>
      <c r="AB12" s="216">
        <v>80.900000000000006</v>
      </c>
      <c r="AC12" s="23">
        <v>45</v>
      </c>
      <c r="AD12" s="23">
        <f>(T12+5)/2</f>
        <v>80</v>
      </c>
      <c r="AE12" s="9">
        <f t="shared" si="2"/>
        <v>0</v>
      </c>
      <c r="AF12" s="9">
        <f t="shared" si="3"/>
        <v>0</v>
      </c>
    </row>
    <row r="13" spans="1:32" x14ac:dyDescent="0.25">
      <c r="A13" s="4" t="s">
        <v>26</v>
      </c>
      <c r="B13" s="1" t="s">
        <v>27</v>
      </c>
      <c r="O13" s="11">
        <f t="shared" si="4"/>
        <v>0.83208972097860989</v>
      </c>
      <c r="P13" s="12">
        <f t="shared" si="5"/>
        <v>2.4569999999999999</v>
      </c>
      <c r="Q13" s="8">
        <f t="shared" si="6"/>
        <v>2.0444444444444443</v>
      </c>
      <c r="R13" s="9">
        <v>300</v>
      </c>
      <c r="S13" s="9">
        <v>175</v>
      </c>
      <c r="T13" s="9">
        <v>180</v>
      </c>
      <c r="U13" s="213">
        <v>4.5999999999999996</v>
      </c>
      <c r="V13" s="13">
        <f t="shared" si="0"/>
        <v>6.1333333333333329</v>
      </c>
      <c r="W13" s="9">
        <v>350</v>
      </c>
      <c r="X13" s="214">
        <f t="shared" si="1"/>
        <v>14</v>
      </c>
      <c r="Y13" s="214">
        <v>440</v>
      </c>
      <c r="Z13" s="215">
        <v>68.33</v>
      </c>
      <c r="AA13" s="9">
        <v>82</v>
      </c>
      <c r="AB13" s="216">
        <v>92.9</v>
      </c>
      <c r="AC13" s="23">
        <v>45</v>
      </c>
      <c r="AD13" s="23">
        <f>(T13+10)/2</f>
        <v>95</v>
      </c>
      <c r="AE13" s="9">
        <f t="shared" si="2"/>
        <v>0</v>
      </c>
      <c r="AF13" s="9">
        <f t="shared" si="3"/>
        <v>0</v>
      </c>
    </row>
    <row r="14" spans="1:32" x14ac:dyDescent="0.25">
      <c r="A14" s="4" t="s">
        <v>28</v>
      </c>
      <c r="B14" s="1" t="s">
        <v>29</v>
      </c>
      <c r="O14" s="11">
        <f t="shared" si="4"/>
        <v>0.83431207240731065</v>
      </c>
      <c r="P14" s="12">
        <f t="shared" si="5"/>
        <v>2.4569999999999999</v>
      </c>
      <c r="Q14" s="8">
        <f t="shared" si="6"/>
        <v>2.0499047619047621</v>
      </c>
      <c r="R14" s="9">
        <v>350</v>
      </c>
      <c r="S14" s="9">
        <v>175</v>
      </c>
      <c r="T14" s="9">
        <v>180</v>
      </c>
      <c r="U14" s="213">
        <v>5.3810000000000002</v>
      </c>
      <c r="V14" s="13">
        <f t="shared" si="0"/>
        <v>7.174666666666667</v>
      </c>
      <c r="W14" s="9">
        <v>350</v>
      </c>
      <c r="X14" s="214">
        <f t="shared" si="1"/>
        <v>16</v>
      </c>
      <c r="Y14" s="214">
        <v>500</v>
      </c>
      <c r="Z14" s="215">
        <v>83.33</v>
      </c>
      <c r="AA14" s="9">
        <v>100</v>
      </c>
      <c r="AB14" s="216">
        <v>113.3</v>
      </c>
      <c r="AC14" s="23">
        <v>56.5</v>
      </c>
      <c r="AD14" s="23">
        <v>120</v>
      </c>
      <c r="AE14" s="9">
        <f t="shared" si="2"/>
        <v>520</v>
      </c>
      <c r="AF14" s="9">
        <f t="shared" si="3"/>
        <v>1180</v>
      </c>
    </row>
    <row r="15" spans="1:32" x14ac:dyDescent="0.25">
      <c r="A15" s="4" t="s">
        <v>30</v>
      </c>
      <c r="B15" s="1" t="s">
        <v>31</v>
      </c>
      <c r="O15" s="11">
        <f t="shared" si="4"/>
        <v>0.8349322635036921</v>
      </c>
      <c r="P15" s="12">
        <f t="shared" si="5"/>
        <v>3.2759999999999998</v>
      </c>
      <c r="Q15" s="8">
        <f t="shared" si="6"/>
        <v>2.735238095238095</v>
      </c>
      <c r="R15" s="9">
        <v>350</v>
      </c>
      <c r="S15" s="9">
        <v>200</v>
      </c>
      <c r="T15" s="9">
        <v>210</v>
      </c>
      <c r="U15" s="213">
        <v>7.18</v>
      </c>
      <c r="V15" s="13">
        <f t="shared" si="0"/>
        <v>9.5733333333333324</v>
      </c>
      <c r="W15" s="9">
        <v>400</v>
      </c>
      <c r="X15" s="214">
        <f>ROUND(R15/25.4,0)+2</f>
        <v>16</v>
      </c>
      <c r="Y15" s="214">
        <v>500</v>
      </c>
      <c r="Z15" s="215">
        <v>95</v>
      </c>
      <c r="AA15" s="9">
        <v>114</v>
      </c>
      <c r="AB15" s="216">
        <v>129.19999999999999</v>
      </c>
      <c r="AC15" s="23">
        <v>50</v>
      </c>
      <c r="AD15" s="23">
        <f>(T15+20)/2</f>
        <v>115</v>
      </c>
      <c r="AE15" s="9">
        <f t="shared" si="2"/>
        <v>0</v>
      </c>
      <c r="AF15" s="9">
        <f t="shared" si="3"/>
        <v>0</v>
      </c>
    </row>
    <row r="16" spans="1:32" x14ac:dyDescent="0.25">
      <c r="A16" s="4" t="s">
        <v>32</v>
      </c>
      <c r="B16" s="1" t="s">
        <v>33</v>
      </c>
      <c r="O16" s="11">
        <f t="shared" si="4"/>
        <v>0.83231583231583217</v>
      </c>
      <c r="P16" s="12">
        <f t="shared" si="5"/>
        <v>3.2759999999999998</v>
      </c>
      <c r="Q16" s="8">
        <f t="shared" si="6"/>
        <v>2.7266666666666661</v>
      </c>
      <c r="R16" s="9">
        <v>400</v>
      </c>
      <c r="S16" s="9">
        <v>200</v>
      </c>
      <c r="T16" s="9">
        <v>210</v>
      </c>
      <c r="U16" s="213">
        <v>8.18</v>
      </c>
      <c r="V16" s="13">
        <f t="shared" si="0"/>
        <v>10.906666666666666</v>
      </c>
      <c r="W16" s="9">
        <v>400</v>
      </c>
      <c r="X16" s="214">
        <f t="shared" si="1"/>
        <v>18</v>
      </c>
      <c r="Y16" s="214">
        <v>550</v>
      </c>
      <c r="Z16" s="215">
        <v>107.5</v>
      </c>
      <c r="AA16" s="9">
        <v>129</v>
      </c>
      <c r="AB16" s="216">
        <v>146.19999999999999</v>
      </c>
      <c r="AC16" s="23">
        <v>50</v>
      </c>
      <c r="AD16" s="23">
        <f>(T16+20)/2</f>
        <v>115</v>
      </c>
      <c r="AE16" s="9">
        <f t="shared" si="2"/>
        <v>0</v>
      </c>
      <c r="AF16" s="9">
        <f t="shared" si="3"/>
        <v>0</v>
      </c>
    </row>
    <row r="17" spans="1:32" x14ac:dyDescent="0.25">
      <c r="A17" s="4" t="s">
        <v>34</v>
      </c>
      <c r="B17" s="1" t="s">
        <v>35</v>
      </c>
      <c r="O17" s="11">
        <f t="shared" si="4"/>
        <v>0.83299416632749967</v>
      </c>
      <c r="P17" s="12">
        <f t="shared" si="5"/>
        <v>3.2759999999999998</v>
      </c>
      <c r="Q17" s="8">
        <f t="shared" si="6"/>
        <v>2.7288888888888887</v>
      </c>
      <c r="R17" s="9">
        <v>450</v>
      </c>
      <c r="S17" s="9">
        <v>200</v>
      </c>
      <c r="T17" s="9">
        <v>210</v>
      </c>
      <c r="U17" s="213">
        <v>9.2100000000000009</v>
      </c>
      <c r="V17" s="13">
        <f t="shared" si="0"/>
        <v>12.280000000000001</v>
      </c>
      <c r="W17" s="9">
        <v>400</v>
      </c>
      <c r="X17" s="214">
        <f t="shared" si="1"/>
        <v>20</v>
      </c>
      <c r="Y17" s="214">
        <v>600</v>
      </c>
      <c r="Z17" s="215">
        <v>123.33</v>
      </c>
      <c r="AA17" s="9">
        <v>148</v>
      </c>
      <c r="AB17" s="216">
        <v>167.7</v>
      </c>
      <c r="AC17" s="23">
        <v>60</v>
      </c>
      <c r="AD17" s="23">
        <f>(T17+20)/2</f>
        <v>115</v>
      </c>
      <c r="AE17" s="9">
        <f t="shared" si="2"/>
        <v>0</v>
      </c>
      <c r="AF17" s="9">
        <f t="shared" si="3"/>
        <v>0</v>
      </c>
    </row>
    <row r="18" spans="1:32" x14ac:dyDescent="0.25">
      <c r="A18" s="4" t="s">
        <v>36</v>
      </c>
      <c r="B18" s="1" t="s">
        <v>37</v>
      </c>
      <c r="O18" s="11">
        <f t="shared" si="4"/>
        <v>0.83353683353683372</v>
      </c>
      <c r="P18" s="12">
        <f t="shared" si="5"/>
        <v>3.2759999999999998</v>
      </c>
      <c r="Q18" s="8">
        <f>100*V18/R18</f>
        <v>2.730666666666667</v>
      </c>
      <c r="R18" s="9">
        <v>500</v>
      </c>
      <c r="S18" s="9">
        <v>200</v>
      </c>
      <c r="T18" s="9">
        <v>210</v>
      </c>
      <c r="U18" s="213">
        <v>10.24</v>
      </c>
      <c r="V18" s="13">
        <f t="shared" si="0"/>
        <v>13.653333333333334</v>
      </c>
      <c r="W18" s="9">
        <v>400</v>
      </c>
      <c r="X18" s="214">
        <f t="shared" si="1"/>
        <v>22</v>
      </c>
      <c r="Y18" s="214">
        <v>650</v>
      </c>
      <c r="Z18" s="215">
        <v>135.83000000000001</v>
      </c>
      <c r="AA18" s="9">
        <v>163</v>
      </c>
      <c r="AB18" s="216">
        <v>184.7</v>
      </c>
      <c r="AC18" s="23">
        <v>60</v>
      </c>
      <c r="AD18" s="23">
        <f>(T18+20)/2</f>
        <v>115</v>
      </c>
      <c r="AE18" s="9">
        <f t="shared" si="2"/>
        <v>0</v>
      </c>
      <c r="AF18" s="9">
        <f t="shared" si="3"/>
        <v>0</v>
      </c>
    </row>
    <row r="19" spans="1:32" x14ac:dyDescent="0.25">
      <c r="A19" s="4" t="s">
        <v>38</v>
      </c>
      <c r="B19" s="1" t="s">
        <v>39</v>
      </c>
      <c r="O19" s="11">
        <f t="shared" si="4"/>
        <v>0.8332408332408332</v>
      </c>
      <c r="P19" s="12">
        <f>S19*T19*0.78/10000</f>
        <v>3.2759999999999998</v>
      </c>
      <c r="Q19" s="8">
        <f>100*V19/R19</f>
        <v>2.7296969696969695</v>
      </c>
      <c r="R19" s="9">
        <v>550</v>
      </c>
      <c r="S19" s="9">
        <v>200</v>
      </c>
      <c r="T19" s="9">
        <v>210</v>
      </c>
      <c r="U19" s="213">
        <v>11.26</v>
      </c>
      <c r="V19" s="13">
        <f>U19/0.75</f>
        <v>15.013333333333334</v>
      </c>
      <c r="W19" s="9">
        <v>400</v>
      </c>
      <c r="X19" s="214">
        <f>ROUND(R19/25.4,0)+2</f>
        <v>24</v>
      </c>
      <c r="Y19" s="214">
        <v>700</v>
      </c>
      <c r="Z19" s="215">
        <v>152</v>
      </c>
      <c r="AA19" s="9">
        <v>182</v>
      </c>
      <c r="AB19" s="216">
        <v>206.86</v>
      </c>
      <c r="AC19" s="23">
        <v>60</v>
      </c>
      <c r="AD19" s="23">
        <f>(T19+20)/2</f>
        <v>115</v>
      </c>
      <c r="AE19" s="9">
        <f t="shared" si="2"/>
        <v>0</v>
      </c>
      <c r="AF19" s="9">
        <f t="shared" si="3"/>
        <v>0</v>
      </c>
    </row>
    <row r="20" spans="1:32" x14ac:dyDescent="0.25">
      <c r="A20" s="4"/>
      <c r="O20" s="11">
        <f>Q20/P20</f>
        <v>0.83339710668903211</v>
      </c>
      <c r="P20" s="12">
        <f>S20*T20*0.78/10000</f>
        <v>4.3952999999999998</v>
      </c>
      <c r="Q20" s="8">
        <f t="shared" si="6"/>
        <v>3.6630303030303026</v>
      </c>
      <c r="R20" s="9">
        <v>550</v>
      </c>
      <c r="S20" s="9">
        <v>230</v>
      </c>
      <c r="T20" s="9">
        <v>245</v>
      </c>
      <c r="U20" s="213">
        <v>15.11</v>
      </c>
      <c r="V20" s="13">
        <f>U20/0.75</f>
        <v>20.146666666666665</v>
      </c>
      <c r="W20" s="9">
        <v>450</v>
      </c>
      <c r="X20" s="214">
        <f>ROUND(R20/25.4,0)+2</f>
        <v>24</v>
      </c>
      <c r="Y20" s="214">
        <v>700</v>
      </c>
      <c r="Z20" s="215">
        <v>170</v>
      </c>
      <c r="AA20" s="213">
        <v>181</v>
      </c>
      <c r="AB20" s="216">
        <v>231.6</v>
      </c>
      <c r="AC20" s="23">
        <v>60</v>
      </c>
      <c r="AD20" s="23">
        <f>(T20+35)/2</f>
        <v>140</v>
      </c>
      <c r="AE20" s="9">
        <f t="shared" si="2"/>
        <v>0</v>
      </c>
      <c r="AF20" s="9">
        <f t="shared" si="3"/>
        <v>0</v>
      </c>
    </row>
    <row r="21" spans="1:32" x14ac:dyDescent="0.25">
      <c r="A21" s="4"/>
      <c r="O21" s="11">
        <f>Q21/P21</f>
        <v>0.83119089330269458</v>
      </c>
      <c r="P21" s="12">
        <f>S21*T21*0.78/10000</f>
        <v>4.3952999999999998</v>
      </c>
      <c r="Q21" s="8">
        <f>100*V21/R21</f>
        <v>3.6533333333333333</v>
      </c>
      <c r="R21" s="9">
        <v>600</v>
      </c>
      <c r="S21" s="9">
        <v>230</v>
      </c>
      <c r="T21" s="9">
        <v>245</v>
      </c>
      <c r="U21" s="213">
        <v>16.440000000000001</v>
      </c>
      <c r="V21" s="13">
        <f>U21/0.75</f>
        <v>21.92</v>
      </c>
      <c r="W21" s="9">
        <v>450</v>
      </c>
      <c r="X21" s="214">
        <f>ROUND(R21/25.4,0)+2</f>
        <v>26</v>
      </c>
      <c r="Y21" s="214">
        <v>760</v>
      </c>
      <c r="Z21" s="215">
        <v>170</v>
      </c>
      <c r="AA21" s="213">
        <v>197</v>
      </c>
      <c r="AB21" s="216">
        <v>231.6</v>
      </c>
      <c r="AC21" s="23">
        <v>60</v>
      </c>
      <c r="AD21" s="23">
        <f>(T21+35)/2</f>
        <v>140</v>
      </c>
      <c r="AE21" s="9">
        <f>ROUNDUP(IF(Q21=$D$26,X21*25.4+AC21*2,0),0)</f>
        <v>0</v>
      </c>
      <c r="AF21" s="9">
        <f>IF(AE21=0,0,S21*2+$B$71*1000+40+AD21*2)</f>
        <v>0</v>
      </c>
    </row>
    <row r="22" spans="1:32" x14ac:dyDescent="0.25">
      <c r="B22" s="14" t="s">
        <v>40</v>
      </c>
      <c r="G22" s="3" t="s">
        <v>41</v>
      </c>
      <c r="H22" s="15"/>
      <c r="I22" s="16"/>
      <c r="J22" s="16"/>
      <c r="K22" s="16"/>
      <c r="L22" s="3" t="s">
        <v>1316</v>
      </c>
      <c r="O22" s="11">
        <f t="shared" si="4"/>
        <v>0.83453868069252679</v>
      </c>
      <c r="P22" s="12">
        <f t="shared" si="5"/>
        <v>5.07</v>
      </c>
      <c r="Q22" s="8">
        <f t="shared" si="6"/>
        <v>4.2311111111111108</v>
      </c>
      <c r="R22" s="9">
        <v>450</v>
      </c>
      <c r="S22" s="9">
        <v>250</v>
      </c>
      <c r="T22" s="9">
        <v>260</v>
      </c>
      <c r="U22" s="213">
        <v>14.28</v>
      </c>
      <c r="V22" s="13">
        <f t="shared" si="0"/>
        <v>19.04</v>
      </c>
      <c r="W22" s="9">
        <v>500</v>
      </c>
      <c r="X22" s="214">
        <f t="shared" si="1"/>
        <v>20</v>
      </c>
      <c r="Y22" s="214">
        <v>600</v>
      </c>
      <c r="Z22" s="215">
        <v>155</v>
      </c>
      <c r="AA22" s="9">
        <v>186</v>
      </c>
      <c r="AB22" s="216">
        <v>210.8</v>
      </c>
      <c r="AC22" s="23">
        <v>60</v>
      </c>
      <c r="AD22" s="23">
        <f>(T22+40)/2</f>
        <v>150</v>
      </c>
      <c r="AE22" s="9">
        <f t="shared" si="2"/>
        <v>0</v>
      </c>
      <c r="AF22" s="9">
        <f t="shared" si="3"/>
        <v>0</v>
      </c>
    </row>
    <row r="23" spans="1:32" x14ac:dyDescent="0.25">
      <c r="A23" s="1" t="s">
        <v>43</v>
      </c>
      <c r="H23" s="1" t="s">
        <v>43</v>
      </c>
      <c r="L23" s="1" t="s">
        <v>43</v>
      </c>
      <c r="O23" s="11">
        <f t="shared" si="4"/>
        <v>0.83523997370151215</v>
      </c>
      <c r="P23" s="12">
        <f t="shared" si="5"/>
        <v>5.07</v>
      </c>
      <c r="Q23" s="8">
        <f t="shared" si="6"/>
        <v>4.2346666666666666</v>
      </c>
      <c r="R23" s="9">
        <v>500</v>
      </c>
      <c r="S23" s="9">
        <v>250</v>
      </c>
      <c r="T23" s="9">
        <v>260</v>
      </c>
      <c r="U23" s="217">
        <v>15.88</v>
      </c>
      <c r="V23" s="13">
        <f t="shared" si="0"/>
        <v>21.173333333333336</v>
      </c>
      <c r="W23" s="9">
        <v>500</v>
      </c>
      <c r="X23" s="214">
        <f t="shared" si="1"/>
        <v>22</v>
      </c>
      <c r="Y23" s="214">
        <v>650</v>
      </c>
      <c r="Z23" s="215">
        <v>165</v>
      </c>
      <c r="AA23" s="9">
        <v>198</v>
      </c>
      <c r="AB23" s="216">
        <v>224.4</v>
      </c>
      <c r="AC23" s="23">
        <v>60</v>
      </c>
      <c r="AD23" s="23">
        <f>(T23+40)/2</f>
        <v>150</v>
      </c>
      <c r="AE23" s="9">
        <f t="shared" si="2"/>
        <v>0</v>
      </c>
      <c r="AF23" s="9">
        <f t="shared" si="3"/>
        <v>0</v>
      </c>
    </row>
    <row r="24" spans="1:32" x14ac:dyDescent="0.25">
      <c r="A24" s="4" t="s">
        <v>26</v>
      </c>
      <c r="B24" s="35">
        <v>7.17</v>
      </c>
      <c r="C24" s="1" t="s">
        <v>44</v>
      </c>
      <c r="D24" s="17">
        <f>B24/D26*100</f>
        <v>349.77234714737034</v>
      </c>
      <c r="E24" s="1" t="s">
        <v>45</v>
      </c>
      <c r="H24" s="4" t="s">
        <v>26</v>
      </c>
      <c r="I24" s="19">
        <f>B24</f>
        <v>7.17</v>
      </c>
      <c r="J24" s="1" t="s">
        <v>44</v>
      </c>
      <c r="L24" s="4" t="s">
        <v>26</v>
      </c>
      <c r="M24" s="19">
        <f>B24</f>
        <v>7.17</v>
      </c>
      <c r="N24" s="1" t="s">
        <v>44</v>
      </c>
      <c r="O24" s="11">
        <f t="shared" si="4"/>
        <v>0.83541529695375838</v>
      </c>
      <c r="P24" s="12">
        <f t="shared" si="5"/>
        <v>5.07</v>
      </c>
      <c r="Q24" s="8">
        <f t="shared" si="6"/>
        <v>4.2355555555555551</v>
      </c>
      <c r="R24" s="9">
        <v>600</v>
      </c>
      <c r="S24" s="9">
        <v>250</v>
      </c>
      <c r="T24" s="9">
        <v>260</v>
      </c>
      <c r="U24" s="213">
        <v>19.059999999999999</v>
      </c>
      <c r="V24" s="13">
        <f t="shared" si="0"/>
        <v>25.41333333333333</v>
      </c>
      <c r="W24" s="9">
        <v>500</v>
      </c>
      <c r="X24" s="214">
        <f t="shared" si="1"/>
        <v>26</v>
      </c>
      <c r="Y24" s="214">
        <v>760</v>
      </c>
      <c r="Z24" s="215">
        <v>205.83</v>
      </c>
      <c r="AA24" s="9">
        <v>247</v>
      </c>
      <c r="AB24" s="216">
        <v>279.89999999999998</v>
      </c>
      <c r="AC24" s="23">
        <v>70</v>
      </c>
      <c r="AD24" s="23">
        <f>(T24+60)/2</f>
        <v>160</v>
      </c>
      <c r="AE24" s="9">
        <f t="shared" si="2"/>
        <v>0</v>
      </c>
      <c r="AF24" s="9">
        <f t="shared" si="3"/>
        <v>0</v>
      </c>
    </row>
    <row r="25" spans="1:32" x14ac:dyDescent="0.25">
      <c r="A25" s="4" t="s">
        <v>28</v>
      </c>
      <c r="B25" s="18">
        <v>1</v>
      </c>
      <c r="C25" s="1" t="s">
        <v>46</v>
      </c>
      <c r="D25" s="17">
        <f>B24*B27</f>
        <v>5.3774999999999995</v>
      </c>
      <c r="E25" s="1" t="s">
        <v>47</v>
      </c>
      <c r="H25" s="4" t="s">
        <v>28</v>
      </c>
      <c r="I25" s="19">
        <f>B25</f>
        <v>1</v>
      </c>
      <c r="J25" s="1" t="s">
        <v>46</v>
      </c>
      <c r="L25" s="4" t="s">
        <v>28</v>
      </c>
      <c r="M25" s="19">
        <f>B25</f>
        <v>1</v>
      </c>
      <c r="N25" s="1" t="s">
        <v>46</v>
      </c>
      <c r="O25" s="11">
        <f t="shared" si="4"/>
        <v>0.83548272897385301</v>
      </c>
      <c r="P25" s="12">
        <f t="shared" si="5"/>
        <v>5.07</v>
      </c>
      <c r="Q25" s="8">
        <f t="shared" si="6"/>
        <v>4.2358974358974351</v>
      </c>
      <c r="R25" s="9">
        <v>650</v>
      </c>
      <c r="S25" s="9">
        <v>250</v>
      </c>
      <c r="T25" s="9">
        <v>260</v>
      </c>
      <c r="U25" s="213">
        <v>20.65</v>
      </c>
      <c r="V25" s="13">
        <f t="shared" si="0"/>
        <v>27.533333333333331</v>
      </c>
      <c r="W25" s="9">
        <v>500</v>
      </c>
      <c r="X25" s="214">
        <f t="shared" si="1"/>
        <v>28</v>
      </c>
      <c r="Y25" s="214">
        <v>810</v>
      </c>
      <c r="Z25" s="215">
        <v>222.5</v>
      </c>
      <c r="AA25" s="9">
        <v>267</v>
      </c>
      <c r="AB25" s="216">
        <v>302.60000000000002</v>
      </c>
      <c r="AC25" s="23">
        <v>70</v>
      </c>
      <c r="AD25" s="23">
        <f>(T25+60)/2</f>
        <v>160</v>
      </c>
      <c r="AE25" s="9">
        <f t="shared" si="2"/>
        <v>0</v>
      </c>
      <c r="AF25" s="9">
        <f t="shared" si="3"/>
        <v>0</v>
      </c>
    </row>
    <row r="26" spans="1:32" x14ac:dyDescent="0.25">
      <c r="A26" s="4" t="s">
        <v>30</v>
      </c>
      <c r="B26" s="18">
        <v>1.4</v>
      </c>
      <c r="C26" s="1" t="s">
        <v>48</v>
      </c>
      <c r="D26" s="218">
        <f>Q14</f>
        <v>2.0499047619047621</v>
      </c>
      <c r="E26" s="1" t="s">
        <v>49</v>
      </c>
      <c r="H26" s="4" t="s">
        <v>30</v>
      </c>
      <c r="I26" s="19">
        <f>B26</f>
        <v>1.4</v>
      </c>
      <c r="J26" s="1" t="s">
        <v>48</v>
      </c>
      <c r="L26" s="4" t="s">
        <v>30</v>
      </c>
      <c r="M26" s="19">
        <f>B26</f>
        <v>1.4</v>
      </c>
      <c r="N26" s="1" t="s">
        <v>48</v>
      </c>
      <c r="O26" s="11">
        <f t="shared" si="4"/>
        <v>0.83554052784822008</v>
      </c>
      <c r="P26" s="12">
        <f t="shared" si="5"/>
        <v>5.07</v>
      </c>
      <c r="Q26" s="8">
        <f t="shared" si="6"/>
        <v>4.2361904761904761</v>
      </c>
      <c r="R26" s="9">
        <v>700</v>
      </c>
      <c r="S26" s="9">
        <v>250</v>
      </c>
      <c r="T26" s="9">
        <v>260</v>
      </c>
      <c r="U26" s="213">
        <v>22.24</v>
      </c>
      <c r="V26" s="13">
        <f t="shared" si="0"/>
        <v>29.653333333333332</v>
      </c>
      <c r="W26" s="9">
        <v>500</v>
      </c>
      <c r="X26" s="214">
        <f>ROUND(R26/25.4,0)+2</f>
        <v>30</v>
      </c>
      <c r="Y26" s="214">
        <v>860</v>
      </c>
      <c r="Z26" s="215">
        <v>240</v>
      </c>
      <c r="AA26" s="9">
        <v>288</v>
      </c>
      <c r="AB26" s="216">
        <v>326.39999999999998</v>
      </c>
      <c r="AC26" s="23">
        <v>70</v>
      </c>
      <c r="AD26" s="23">
        <f>(T26+60)/2</f>
        <v>160</v>
      </c>
      <c r="AE26" s="9">
        <f t="shared" si="2"/>
        <v>0</v>
      </c>
      <c r="AF26" s="9">
        <f t="shared" si="3"/>
        <v>0</v>
      </c>
    </row>
    <row r="27" spans="1:32" x14ac:dyDescent="0.25">
      <c r="A27" s="4" t="s">
        <v>32</v>
      </c>
      <c r="B27" s="219">
        <v>0.75</v>
      </c>
      <c r="C27" s="1" t="s">
        <v>50</v>
      </c>
      <c r="H27" s="4" t="s">
        <v>32</v>
      </c>
      <c r="I27" s="220">
        <v>1</v>
      </c>
      <c r="J27" s="1" t="s">
        <v>50</v>
      </c>
      <c r="L27" s="4" t="s">
        <v>32</v>
      </c>
      <c r="M27" s="220">
        <v>0.75</v>
      </c>
      <c r="N27" s="1" t="s">
        <v>50</v>
      </c>
      <c r="O27" s="11">
        <f t="shared" si="4"/>
        <v>0.69828501201050219</v>
      </c>
      <c r="P27" s="12">
        <f t="shared" si="5"/>
        <v>7.4256000000000002</v>
      </c>
      <c r="Q27" s="8">
        <f>100*V27/R27</f>
        <v>5.1851851851851851</v>
      </c>
      <c r="R27" s="9">
        <v>810</v>
      </c>
      <c r="S27" s="9">
        <v>280</v>
      </c>
      <c r="T27" s="9">
        <v>340</v>
      </c>
      <c r="U27" s="221">
        <f>V27*0.75</f>
        <v>31.5</v>
      </c>
      <c r="V27" s="13">
        <v>42</v>
      </c>
      <c r="W27" s="9">
        <v>410</v>
      </c>
      <c r="X27" s="214">
        <f t="shared" si="1"/>
        <v>34</v>
      </c>
      <c r="Y27" s="214">
        <v>860</v>
      </c>
      <c r="Z27" s="215">
        <v>254</v>
      </c>
      <c r="AA27" s="9">
        <v>310</v>
      </c>
      <c r="AB27" s="216">
        <v>345.7</v>
      </c>
      <c r="AC27" s="23">
        <v>80</v>
      </c>
      <c r="AD27" s="23">
        <f>(T27+80)/2</f>
        <v>210</v>
      </c>
      <c r="AE27" s="9">
        <f t="shared" si="2"/>
        <v>0</v>
      </c>
      <c r="AF27" s="9">
        <f>IF(AE27=0,0,S27*2+$B$71*1000+40+AD27*2)</f>
        <v>0</v>
      </c>
    </row>
    <row r="28" spans="1:32" x14ac:dyDescent="0.25">
      <c r="A28" s="4" t="s">
        <v>34</v>
      </c>
      <c r="B28" s="219">
        <v>1</v>
      </c>
      <c r="C28" s="1" t="s">
        <v>50</v>
      </c>
      <c r="H28" s="4" t="s">
        <v>34</v>
      </c>
      <c r="I28" s="220">
        <v>1</v>
      </c>
      <c r="J28" s="1" t="s">
        <v>50</v>
      </c>
      <c r="L28" s="4" t="s">
        <v>34</v>
      </c>
      <c r="M28" s="219">
        <v>1</v>
      </c>
      <c r="N28" s="1" t="s">
        <v>50</v>
      </c>
      <c r="O28" s="11">
        <f t="shared" si="4"/>
        <v>0.80269524713969165</v>
      </c>
      <c r="P28" s="12">
        <f>S28*T28*0.78/10000</f>
        <v>5.8967999999999998</v>
      </c>
      <c r="Q28" s="8">
        <f t="shared" si="6"/>
        <v>4.7333333333333334</v>
      </c>
      <c r="R28" s="9">
        <v>750</v>
      </c>
      <c r="S28" s="9">
        <v>270</v>
      </c>
      <c r="T28" s="9">
        <v>280</v>
      </c>
      <c r="U28" s="213">
        <v>26.625</v>
      </c>
      <c r="V28" s="13">
        <f>U28/0.75</f>
        <v>35.5</v>
      </c>
      <c r="W28" s="9">
        <v>550</v>
      </c>
      <c r="X28" s="214">
        <f t="shared" si="1"/>
        <v>32</v>
      </c>
      <c r="Y28" s="214">
        <v>920</v>
      </c>
      <c r="Z28" s="215">
        <v>272.5</v>
      </c>
      <c r="AA28" s="9">
        <v>327</v>
      </c>
      <c r="AB28" s="216">
        <v>370.6</v>
      </c>
      <c r="AC28" s="23">
        <v>80</v>
      </c>
      <c r="AD28" s="23">
        <f>(T28+80)/2</f>
        <v>180</v>
      </c>
      <c r="AE28" s="9">
        <f t="shared" si="2"/>
        <v>0</v>
      </c>
      <c r="AF28" s="9">
        <f>IF(AE28=0,0,S28*2+$B$71*1000+40+AD28*2)</f>
        <v>0</v>
      </c>
    </row>
    <row r="29" spans="1:32" x14ac:dyDescent="0.25">
      <c r="A29" s="4" t="s">
        <v>36</v>
      </c>
      <c r="B29" s="18">
        <v>1</v>
      </c>
      <c r="C29" s="1" t="s">
        <v>51</v>
      </c>
      <c r="H29" s="4" t="s">
        <v>36</v>
      </c>
      <c r="I29" s="18">
        <v>1.5</v>
      </c>
      <c r="J29" s="1" t="s">
        <v>51</v>
      </c>
      <c r="L29" s="4" t="s">
        <v>36</v>
      </c>
      <c r="M29" s="18">
        <v>1.1000000000000001</v>
      </c>
      <c r="N29" s="1" t="s">
        <v>51</v>
      </c>
      <c r="O29" s="11">
        <f>Q29/P29</f>
        <v>0.83499686674289852</v>
      </c>
      <c r="P29" s="12">
        <f>S29*T29*0.78/10000</f>
        <v>5.8967999999999998</v>
      </c>
      <c r="Q29" s="8">
        <f>100*V29/R29</f>
        <v>4.9238095238095241</v>
      </c>
      <c r="R29" s="9">
        <v>700</v>
      </c>
      <c r="S29" s="9">
        <v>270</v>
      </c>
      <c r="T29" s="9">
        <v>280</v>
      </c>
      <c r="U29" s="213">
        <v>25.85</v>
      </c>
      <c r="V29" s="222">
        <f>U29/0.75</f>
        <v>34.466666666666669</v>
      </c>
      <c r="W29" s="9">
        <v>470</v>
      </c>
      <c r="X29" s="214">
        <f>ROUND(R29/25.4,0)+2</f>
        <v>30</v>
      </c>
      <c r="Y29" s="214">
        <v>920</v>
      </c>
      <c r="Z29" s="215">
        <v>272.5</v>
      </c>
      <c r="AA29" s="9">
        <v>327</v>
      </c>
      <c r="AB29" s="216">
        <v>370.6</v>
      </c>
      <c r="AC29" s="23">
        <v>80</v>
      </c>
      <c r="AD29" s="23">
        <f>(T29+80)/2</f>
        <v>180</v>
      </c>
      <c r="AE29" s="9">
        <f t="shared" si="2"/>
        <v>0</v>
      </c>
      <c r="AF29" s="9">
        <f>IF(AE29=0,0,S29*2+$B$71*1000+40+AD29*2)</f>
        <v>0</v>
      </c>
    </row>
    <row r="30" spans="1:32" x14ac:dyDescent="0.25">
      <c r="A30" s="4" t="s">
        <v>38</v>
      </c>
      <c r="B30" s="18">
        <v>350</v>
      </c>
      <c r="C30" s="1" t="s">
        <v>52</v>
      </c>
      <c r="D30" s="17">
        <f>B30/T30</f>
        <v>2.0467836257309941</v>
      </c>
      <c r="E30" s="1" t="s">
        <v>53</v>
      </c>
      <c r="H30" s="4" t="s">
        <v>38</v>
      </c>
      <c r="I30" s="19">
        <f>B30</f>
        <v>350</v>
      </c>
      <c r="J30" s="1" t="s">
        <v>52</v>
      </c>
      <c r="L30" s="4" t="s">
        <v>38</v>
      </c>
      <c r="M30" s="19">
        <f>B30</f>
        <v>350</v>
      </c>
      <c r="N30" s="1" t="s">
        <v>52</v>
      </c>
      <c r="O30" s="223">
        <f>Q30/P30</f>
        <v>0.71444734976763891</v>
      </c>
      <c r="P30" s="224">
        <f>S30*T30*0.78/10000</f>
        <v>3.0010500000000002</v>
      </c>
      <c r="Q30" s="225">
        <f>100*V30/R30</f>
        <v>2.1440922190201728</v>
      </c>
      <c r="R30" s="226">
        <v>347</v>
      </c>
      <c r="S30" s="226">
        <v>225</v>
      </c>
      <c r="T30" s="226">
        <v>171</v>
      </c>
      <c r="U30" s="226">
        <v>5.58</v>
      </c>
      <c r="V30" s="227">
        <f>U30/0.75</f>
        <v>7.44</v>
      </c>
      <c r="W30" s="226">
        <v>240</v>
      </c>
      <c r="X30" s="228">
        <f>ROUND(R30/25.4,0)+2</f>
        <v>16</v>
      </c>
      <c r="Y30" s="228">
        <v>500</v>
      </c>
      <c r="Z30" s="229"/>
      <c r="AA30" s="226"/>
      <c r="AB30" s="230"/>
      <c r="AC30" s="231">
        <v>46.5</v>
      </c>
      <c r="AD30" s="231">
        <f>(T30+49)/2</f>
        <v>110</v>
      </c>
      <c r="AE30" s="226">
        <f>ROUNDUP(IF(Q30=$D$26,X30*25.4+AC30*2,0),0)</f>
        <v>0</v>
      </c>
      <c r="AF30" s="226">
        <f>IF(AE30=0,0,S30*2+$B$71*1000+40+AD30*2)</f>
        <v>0</v>
      </c>
    </row>
    <row r="31" spans="1:32" x14ac:dyDescent="0.25">
      <c r="O31" s="32"/>
    </row>
    <row r="32" spans="1:32" x14ac:dyDescent="0.25">
      <c r="A32" s="4" t="s">
        <v>55</v>
      </c>
      <c r="H32" s="4" t="s">
        <v>55</v>
      </c>
      <c r="L32" s="4" t="s">
        <v>55</v>
      </c>
    </row>
    <row r="33" spans="1:14" x14ac:dyDescent="0.25">
      <c r="A33" s="4" t="s">
        <v>24</v>
      </c>
      <c r="B33" s="17">
        <f>3600*B24*B25*B26*B27*B28*B29/B30</f>
        <v>77.435999999999993</v>
      </c>
      <c r="C33" s="1" t="s">
        <v>56</v>
      </c>
      <c r="H33" s="4" t="s">
        <v>24</v>
      </c>
      <c r="I33" s="17">
        <f>3600*I24*I25*I26*I27*I28*I29/I30</f>
        <v>154.87199999999999</v>
      </c>
      <c r="J33" s="1" t="s">
        <v>57</v>
      </c>
      <c r="K33" s="24">
        <f>I33/M33</f>
        <v>1.8181818181818179</v>
      </c>
      <c r="L33" s="4" t="s">
        <v>24</v>
      </c>
      <c r="M33" s="232">
        <f>3600*M24*M25*M26*M27*M28*M29/M30</f>
        <v>85.179600000000008</v>
      </c>
      <c r="N33" s="1" t="s">
        <v>57</v>
      </c>
    </row>
    <row r="35" spans="1:14" x14ac:dyDescent="0.25">
      <c r="M35"/>
    </row>
    <row r="36" spans="1:14" x14ac:dyDescent="0.25">
      <c r="A36" s="3" t="s">
        <v>59</v>
      </c>
    </row>
    <row r="39" spans="1:14" x14ac:dyDescent="0.25">
      <c r="A39" s="3" t="s">
        <v>69</v>
      </c>
    </row>
    <row r="41" spans="1:14" x14ac:dyDescent="0.25">
      <c r="B41" s="3" t="s">
        <v>74</v>
      </c>
      <c r="C41" s="3"/>
    </row>
    <row r="42" spans="1:14" x14ac:dyDescent="0.25">
      <c r="B42" s="3"/>
      <c r="C42" s="3" t="s">
        <v>75</v>
      </c>
    </row>
    <row r="43" spans="1:14" x14ac:dyDescent="0.25">
      <c r="A43" s="1" t="s">
        <v>23</v>
      </c>
    </row>
    <row r="44" spans="1:14" x14ac:dyDescent="0.25">
      <c r="A44" s="4" t="s">
        <v>78</v>
      </c>
      <c r="B44" s="1" t="s">
        <v>79</v>
      </c>
    </row>
    <row r="45" spans="1:14" x14ac:dyDescent="0.25">
      <c r="A45" s="4" t="s">
        <v>36</v>
      </c>
      <c r="B45" s="1" t="s">
        <v>37</v>
      </c>
    </row>
    <row r="46" spans="1:14" x14ac:dyDescent="0.25">
      <c r="A46" s="4" t="s">
        <v>26</v>
      </c>
      <c r="B46" s="1" t="s">
        <v>85</v>
      </c>
    </row>
    <row r="47" spans="1:14" x14ac:dyDescent="0.25">
      <c r="A47" s="4" t="s">
        <v>38</v>
      </c>
      <c r="B47" s="1" t="s">
        <v>39</v>
      </c>
    </row>
    <row r="49" spans="1:7" x14ac:dyDescent="0.25">
      <c r="A49" s="4" t="s">
        <v>91</v>
      </c>
      <c r="D49" s="4" t="s">
        <v>91</v>
      </c>
    </row>
    <row r="50" spans="1:7" x14ac:dyDescent="0.25">
      <c r="A50" s="4" t="s">
        <v>36</v>
      </c>
      <c r="B50" s="19">
        <f>M29</f>
        <v>1.1000000000000001</v>
      </c>
      <c r="C50" s="1" t="s">
        <v>51</v>
      </c>
      <c r="D50" s="4" t="s">
        <v>36</v>
      </c>
      <c r="E50" s="19">
        <f>I29</f>
        <v>1.5</v>
      </c>
      <c r="F50" s="1" t="s">
        <v>51</v>
      </c>
    </row>
    <row r="51" spans="1:7" x14ac:dyDescent="0.25">
      <c r="A51" s="4" t="s">
        <v>26</v>
      </c>
      <c r="B51" s="19">
        <f>B24*B27*B28</f>
        <v>5.3774999999999995</v>
      </c>
      <c r="C51" s="1" t="s">
        <v>44</v>
      </c>
      <c r="D51" s="4" t="s">
        <v>26</v>
      </c>
      <c r="E51" s="19">
        <f>I24*I27*I28</f>
        <v>7.17</v>
      </c>
      <c r="F51" s="1" t="s">
        <v>44</v>
      </c>
      <c r="G51" s="37" t="s">
        <v>93</v>
      </c>
    </row>
    <row r="52" spans="1:7" x14ac:dyDescent="0.25">
      <c r="A52" s="4" t="s">
        <v>38</v>
      </c>
      <c r="B52" s="19">
        <f>B30</f>
        <v>350</v>
      </c>
      <c r="C52" s="1" t="s">
        <v>52</v>
      </c>
      <c r="D52" s="4" t="s">
        <v>38</v>
      </c>
      <c r="E52" s="19">
        <f>I30</f>
        <v>350</v>
      </c>
      <c r="F52" s="1" t="s">
        <v>52</v>
      </c>
    </row>
    <row r="53" spans="1:7" x14ac:dyDescent="0.25">
      <c r="A53" s="4"/>
      <c r="D53" s="4"/>
    </row>
    <row r="54" spans="1:7" x14ac:dyDescent="0.25">
      <c r="A54" s="4" t="s">
        <v>96</v>
      </c>
      <c r="D54" s="4" t="s">
        <v>96</v>
      </c>
    </row>
    <row r="55" spans="1:7" x14ac:dyDescent="0.25">
      <c r="A55" s="4" t="s">
        <v>78</v>
      </c>
      <c r="B55" s="17">
        <f>1000*B50*B51/B52</f>
        <v>16.900714285714283</v>
      </c>
      <c r="C55" s="1" t="s">
        <v>98</v>
      </c>
      <c r="D55" s="4" t="s">
        <v>78</v>
      </c>
      <c r="E55" s="17">
        <f>1000*E50*E51/E52</f>
        <v>30.728571428571428</v>
      </c>
      <c r="F55" s="1" t="s">
        <v>98</v>
      </c>
      <c r="G55" s="1" t="s">
        <v>99</v>
      </c>
    </row>
    <row r="57" spans="1:7" x14ac:dyDescent="0.25">
      <c r="A57" s="4"/>
    </row>
    <row r="58" spans="1:7" x14ac:dyDescent="0.25">
      <c r="A58" s="3" t="s">
        <v>103</v>
      </c>
    </row>
    <row r="59" spans="1:7" x14ac:dyDescent="0.25">
      <c r="A59" s="4"/>
    </row>
    <row r="60" spans="1:7" x14ac:dyDescent="0.25">
      <c r="A60" s="4"/>
      <c r="B60" s="1" t="s">
        <v>105</v>
      </c>
    </row>
    <row r="61" spans="1:7" x14ac:dyDescent="0.25">
      <c r="A61" s="4"/>
    </row>
    <row r="62" spans="1:7" x14ac:dyDescent="0.25">
      <c r="A62" s="4" t="s">
        <v>23</v>
      </c>
    </row>
    <row r="63" spans="1:7" x14ac:dyDescent="0.25">
      <c r="A63" s="4" t="s">
        <v>107</v>
      </c>
      <c r="B63" s="1" t="s">
        <v>108</v>
      </c>
    </row>
    <row r="64" spans="1:7" x14ac:dyDescent="0.25">
      <c r="A64" s="4" t="s">
        <v>110</v>
      </c>
      <c r="B64" s="38">
        <v>3.1415000000000002</v>
      </c>
    </row>
    <row r="65" spans="1:3" x14ac:dyDescent="0.25">
      <c r="A65" s="4" t="s">
        <v>111</v>
      </c>
      <c r="B65" s="1" t="s">
        <v>112</v>
      </c>
    </row>
    <row r="66" spans="1:3" x14ac:dyDescent="0.25">
      <c r="A66" s="4" t="s">
        <v>114</v>
      </c>
      <c r="B66" s="1" t="s">
        <v>115</v>
      </c>
    </row>
    <row r="67" spans="1:3" x14ac:dyDescent="0.25">
      <c r="A67" s="4"/>
    </row>
    <row r="68" spans="1:3" x14ac:dyDescent="0.25">
      <c r="A68" s="4" t="s">
        <v>91</v>
      </c>
    </row>
    <row r="69" spans="1:3" x14ac:dyDescent="0.25">
      <c r="A69" s="4"/>
    </row>
    <row r="70" spans="1:3" x14ac:dyDescent="0.25">
      <c r="A70" s="4" t="s">
        <v>111</v>
      </c>
      <c r="B70" s="18">
        <v>10</v>
      </c>
      <c r="C70" s="1" t="s">
        <v>58</v>
      </c>
    </row>
    <row r="71" spans="1:3" x14ac:dyDescent="0.25">
      <c r="A71" s="4" t="s">
        <v>114</v>
      </c>
      <c r="B71" s="18">
        <v>0.55000000000000004</v>
      </c>
      <c r="C71" s="1" t="s">
        <v>58</v>
      </c>
    </row>
    <row r="72" spans="1:3" x14ac:dyDescent="0.25">
      <c r="A72" s="4"/>
    </row>
    <row r="73" spans="1:3" x14ac:dyDescent="0.25">
      <c r="A73" s="4" t="s">
        <v>116</v>
      </c>
    </row>
    <row r="74" spans="1:3" x14ac:dyDescent="0.25">
      <c r="A74" s="4" t="s">
        <v>107</v>
      </c>
      <c r="B74" s="44">
        <f>3.1415*B71+2*B70</f>
        <v>21.727824999999999</v>
      </c>
      <c r="C74" s="1" t="s">
        <v>46</v>
      </c>
    </row>
    <row r="75" spans="1:3" x14ac:dyDescent="0.25">
      <c r="A75" s="4"/>
    </row>
    <row r="76" spans="1:3" x14ac:dyDescent="0.25">
      <c r="A76" s="4"/>
    </row>
    <row r="77" spans="1:3" x14ac:dyDescent="0.25">
      <c r="A77" s="3" t="s">
        <v>117</v>
      </c>
    </row>
    <row r="78" spans="1:3" x14ac:dyDescent="0.25">
      <c r="A78" s="4"/>
    </row>
    <row r="79" spans="1:3" x14ac:dyDescent="0.25">
      <c r="A79" s="4"/>
      <c r="B79" s="1" t="s">
        <v>118</v>
      </c>
    </row>
    <row r="80" spans="1:3" x14ac:dyDescent="0.25">
      <c r="A80" s="4"/>
      <c r="C80" s="1" t="s">
        <v>75</v>
      </c>
    </row>
    <row r="81" spans="1:5" x14ac:dyDescent="0.25">
      <c r="A81" s="4" t="s">
        <v>23</v>
      </c>
    </row>
    <row r="82" spans="1:5" x14ac:dyDescent="0.25">
      <c r="A82" s="4" t="s">
        <v>119</v>
      </c>
      <c r="B82" s="1" t="s">
        <v>120</v>
      </c>
    </row>
    <row r="83" spans="1:5" x14ac:dyDescent="0.25">
      <c r="A83" s="4" t="s">
        <v>107</v>
      </c>
      <c r="B83" s="1" t="s">
        <v>121</v>
      </c>
    </row>
    <row r="84" spans="1:5" x14ac:dyDescent="0.25">
      <c r="A84" s="4" t="s">
        <v>28</v>
      </c>
      <c r="B84" s="1" t="s">
        <v>29</v>
      </c>
    </row>
    <row r="85" spans="1:5" x14ac:dyDescent="0.25">
      <c r="A85" s="4" t="s">
        <v>38</v>
      </c>
      <c r="B85" s="1" t="s">
        <v>39</v>
      </c>
    </row>
    <row r="86" spans="1:5" x14ac:dyDescent="0.25">
      <c r="A86" s="4"/>
    </row>
    <row r="87" spans="1:5" x14ac:dyDescent="0.25">
      <c r="A87" s="4" t="s">
        <v>91</v>
      </c>
    </row>
    <row r="88" spans="1:5" x14ac:dyDescent="0.25">
      <c r="A88" s="4" t="s">
        <v>107</v>
      </c>
      <c r="B88" s="44">
        <f>B74</f>
        <v>21.727824999999999</v>
      </c>
      <c r="C88" s="1" t="s">
        <v>58</v>
      </c>
    </row>
    <row r="89" spans="1:5" x14ac:dyDescent="0.25">
      <c r="A89" s="4" t="s">
        <v>28</v>
      </c>
      <c r="B89" s="19">
        <f>B25</f>
        <v>1</v>
      </c>
      <c r="C89" s="1" t="s">
        <v>46</v>
      </c>
    </row>
    <row r="90" spans="1:5" x14ac:dyDescent="0.25">
      <c r="A90" s="4" t="s">
        <v>38</v>
      </c>
      <c r="B90" s="19">
        <f>B30</f>
        <v>350</v>
      </c>
      <c r="C90" s="1" t="s">
        <v>52</v>
      </c>
    </row>
    <row r="91" spans="1:5" x14ac:dyDescent="0.25">
      <c r="A91" s="4"/>
    </row>
    <row r="92" spans="1:5" x14ac:dyDescent="0.25">
      <c r="A92" s="4" t="s">
        <v>116</v>
      </c>
    </row>
    <row r="93" spans="1:5" x14ac:dyDescent="0.25">
      <c r="A93" s="4" t="s">
        <v>119</v>
      </c>
      <c r="B93" s="44">
        <f>1000*B88*B89/B90</f>
        <v>62.079500000000003</v>
      </c>
      <c r="C93" s="1" t="s">
        <v>46</v>
      </c>
      <c r="D93" s="34">
        <f>ROUNDUP(B93,1)</f>
        <v>62.1</v>
      </c>
      <c r="E93" s="1" t="s">
        <v>86</v>
      </c>
    </row>
    <row r="94" spans="1:5" x14ac:dyDescent="0.25">
      <c r="A94" s="4"/>
    </row>
    <row r="95" spans="1:5" x14ac:dyDescent="0.25">
      <c r="A95" s="3" t="s">
        <v>122</v>
      </c>
    </row>
    <row r="97" spans="1:4" x14ac:dyDescent="0.25">
      <c r="A97" s="4"/>
      <c r="B97" s="1" t="s">
        <v>123</v>
      </c>
    </row>
    <row r="98" spans="1:4" x14ac:dyDescent="0.25">
      <c r="C98" s="38">
        <v>2</v>
      </c>
      <c r="D98" s="1">
        <v>4</v>
      </c>
    </row>
    <row r="99" spans="1:4" x14ac:dyDescent="0.25">
      <c r="A99" s="4" t="s">
        <v>23</v>
      </c>
    </row>
    <row r="100" spans="1:4" x14ac:dyDescent="0.25">
      <c r="A100" s="4" t="s">
        <v>124</v>
      </c>
      <c r="B100" s="1" t="s">
        <v>125</v>
      </c>
    </row>
    <row r="101" spans="1:4" x14ac:dyDescent="0.25">
      <c r="A101" s="4" t="s">
        <v>126</v>
      </c>
      <c r="B101" s="1" t="s">
        <v>127</v>
      </c>
    </row>
    <row r="102" spans="1:4" x14ac:dyDescent="0.25">
      <c r="A102" s="4" t="s">
        <v>119</v>
      </c>
      <c r="B102" s="1" t="s">
        <v>128</v>
      </c>
    </row>
    <row r="103" spans="1:4" x14ac:dyDescent="0.25">
      <c r="A103" s="4" t="s">
        <v>129</v>
      </c>
      <c r="B103" s="1" t="s">
        <v>130</v>
      </c>
    </row>
    <row r="104" spans="1:4" x14ac:dyDescent="0.25">
      <c r="A104" s="4" t="s">
        <v>107</v>
      </c>
      <c r="B104" s="1" t="s">
        <v>121</v>
      </c>
    </row>
    <row r="105" spans="1:4" x14ac:dyDescent="0.25">
      <c r="A105" s="4" t="s">
        <v>131</v>
      </c>
      <c r="B105" s="1" t="s">
        <v>132</v>
      </c>
    </row>
    <row r="107" spans="1:4" x14ac:dyDescent="0.25">
      <c r="A107" s="4" t="s">
        <v>91</v>
      </c>
    </row>
    <row r="108" spans="1:4" x14ac:dyDescent="0.25">
      <c r="A108" s="4" t="s">
        <v>126</v>
      </c>
      <c r="B108" s="18">
        <v>3</v>
      </c>
      <c r="C108" s="1" t="s">
        <v>68</v>
      </c>
    </row>
    <row r="109" spans="1:4" ht="12" customHeight="1" x14ac:dyDescent="0.25">
      <c r="A109" s="4" t="s">
        <v>119</v>
      </c>
      <c r="B109" s="43">
        <f>B93</f>
        <v>62.079500000000003</v>
      </c>
      <c r="C109" s="1" t="s">
        <v>46</v>
      </c>
    </row>
    <row r="110" spans="1:4" x14ac:dyDescent="0.25">
      <c r="A110" s="4" t="s">
        <v>129</v>
      </c>
      <c r="B110" s="43">
        <f>B222</f>
        <v>7.1888095999999999</v>
      </c>
      <c r="C110" s="1" t="s">
        <v>98</v>
      </c>
    </row>
    <row r="111" spans="1:4" x14ac:dyDescent="0.25">
      <c r="A111" s="4" t="s">
        <v>107</v>
      </c>
      <c r="B111" s="44">
        <f>B74</f>
        <v>21.727824999999999</v>
      </c>
      <c r="C111" s="1" t="s">
        <v>58</v>
      </c>
    </row>
    <row r="112" spans="1:4" x14ac:dyDescent="0.25">
      <c r="A112" s="4" t="s">
        <v>131</v>
      </c>
      <c r="B112" s="17">
        <f>I29*I24*I27</f>
        <v>10.754999999999999</v>
      </c>
      <c r="C112" s="1" t="s">
        <v>68</v>
      </c>
    </row>
    <row r="114" spans="1:5" x14ac:dyDescent="0.25">
      <c r="A114" s="4" t="s">
        <v>116</v>
      </c>
    </row>
    <row r="115" spans="1:5" x14ac:dyDescent="0.25">
      <c r="A115" s="4" t="s">
        <v>124</v>
      </c>
      <c r="B115" s="17">
        <f>(B108*B109+B110*B111)/2+(B112*B109)/4</f>
        <v>338.13410409855999</v>
      </c>
      <c r="C115" s="1" t="s">
        <v>133</v>
      </c>
    </row>
    <row r="116" spans="1:5" x14ac:dyDescent="0.25">
      <c r="A116" s="4"/>
    </row>
    <row r="117" spans="1:5" x14ac:dyDescent="0.25">
      <c r="A117" s="3" t="s">
        <v>134</v>
      </c>
    </row>
    <row r="118" spans="1:5" x14ac:dyDescent="0.25">
      <c r="A118" s="4"/>
    </row>
    <row r="119" spans="1:5" x14ac:dyDescent="0.25">
      <c r="A119" s="4"/>
      <c r="B119" s="1" t="s">
        <v>135</v>
      </c>
      <c r="D119" s="1" t="s">
        <v>136</v>
      </c>
    </row>
    <row r="120" spans="1:5" x14ac:dyDescent="0.25">
      <c r="A120" s="4"/>
    </row>
    <row r="121" spans="1:5" x14ac:dyDescent="0.25">
      <c r="A121" s="4"/>
      <c r="B121" s="45" t="s">
        <v>137</v>
      </c>
      <c r="C121" s="45"/>
      <c r="D121" s="45"/>
      <c r="E121" s="45" t="s">
        <v>138</v>
      </c>
    </row>
    <row r="122" spans="1:5" x14ac:dyDescent="0.25">
      <c r="A122" s="4"/>
      <c r="B122" s="45"/>
      <c r="C122" s="46" t="s">
        <v>139</v>
      </c>
      <c r="D122" s="47" t="s">
        <v>140</v>
      </c>
      <c r="E122" s="45"/>
    </row>
    <row r="123" spans="1:5" x14ac:dyDescent="0.25">
      <c r="A123" s="4"/>
    </row>
    <row r="124" spans="1:5" x14ac:dyDescent="0.25">
      <c r="A124" s="4" t="s">
        <v>23</v>
      </c>
      <c r="E124" s="38"/>
    </row>
    <row r="125" spans="1:5" x14ac:dyDescent="0.25">
      <c r="A125" s="4" t="s">
        <v>141</v>
      </c>
      <c r="B125" s="1" t="s">
        <v>142</v>
      </c>
    </row>
    <row r="126" spans="1:5" x14ac:dyDescent="0.25">
      <c r="A126" s="4" t="s">
        <v>78</v>
      </c>
      <c r="B126" s="1" t="s">
        <v>79</v>
      </c>
    </row>
    <row r="127" spans="1:5" x14ac:dyDescent="0.25">
      <c r="A127" s="4" t="s">
        <v>111</v>
      </c>
      <c r="B127" s="1" t="s">
        <v>112</v>
      </c>
    </row>
    <row r="128" spans="1:5" x14ac:dyDescent="0.25">
      <c r="A128" s="4" t="s">
        <v>143</v>
      </c>
      <c r="B128" s="1" t="s">
        <v>144</v>
      </c>
    </row>
    <row r="129" spans="1:4" x14ac:dyDescent="0.25">
      <c r="A129" s="4"/>
      <c r="B129" s="1" t="s">
        <v>145</v>
      </c>
    </row>
    <row r="130" spans="1:4" x14ac:dyDescent="0.25">
      <c r="A130" s="4"/>
      <c r="B130" s="1" t="s">
        <v>146</v>
      </c>
    </row>
    <row r="131" spans="1:4" x14ac:dyDescent="0.25">
      <c r="A131" s="4" t="s">
        <v>131</v>
      </c>
      <c r="B131" s="1" t="s">
        <v>132</v>
      </c>
    </row>
    <row r="132" spans="1:4" x14ac:dyDescent="0.25">
      <c r="A132" s="4" t="s">
        <v>147</v>
      </c>
      <c r="B132" s="1" t="s">
        <v>120</v>
      </c>
    </row>
    <row r="133" spans="1:4" x14ac:dyDescent="0.25">
      <c r="A133" s="4"/>
    </row>
    <row r="134" spans="1:4" x14ac:dyDescent="0.25">
      <c r="A134" s="4"/>
    </row>
    <row r="135" spans="1:4" x14ac:dyDescent="0.25">
      <c r="A135" s="4" t="s">
        <v>91</v>
      </c>
    </row>
    <row r="136" spans="1:4" x14ac:dyDescent="0.25">
      <c r="A136" s="4" t="s">
        <v>78</v>
      </c>
      <c r="B136" s="43">
        <f>E55</f>
        <v>30.728571428571428</v>
      </c>
      <c r="C136" s="1" t="s">
        <v>98</v>
      </c>
    </row>
    <row r="137" spans="1:4" x14ac:dyDescent="0.25">
      <c r="A137" s="4" t="s">
        <v>111</v>
      </c>
      <c r="B137" s="43">
        <f>B70</f>
        <v>10</v>
      </c>
      <c r="C137" s="1" t="s">
        <v>58</v>
      </c>
    </row>
    <row r="138" spans="1:4" x14ac:dyDescent="0.25">
      <c r="A138" s="4" t="s">
        <v>143</v>
      </c>
      <c r="B138" s="48">
        <v>7</v>
      </c>
      <c r="C138" s="1" t="s">
        <v>58</v>
      </c>
    </row>
    <row r="139" spans="1:4" x14ac:dyDescent="0.25">
      <c r="A139" s="4" t="s">
        <v>131</v>
      </c>
      <c r="B139" s="44">
        <f>B112</f>
        <v>10.754999999999999</v>
      </c>
      <c r="C139" s="1" t="s">
        <v>68</v>
      </c>
    </row>
    <row r="140" spans="1:4" x14ac:dyDescent="0.25">
      <c r="A140" s="4" t="s">
        <v>129</v>
      </c>
      <c r="B140" s="44">
        <f>B110</f>
        <v>7.1888095999999999</v>
      </c>
      <c r="C140" s="1" t="s">
        <v>68</v>
      </c>
    </row>
    <row r="141" spans="1:4" x14ac:dyDescent="0.25">
      <c r="A141" s="4" t="s">
        <v>147</v>
      </c>
      <c r="B141" s="44">
        <f>B93</f>
        <v>62.079500000000003</v>
      </c>
      <c r="C141" s="1" t="s">
        <v>46</v>
      </c>
    </row>
    <row r="142" spans="1:4" x14ac:dyDescent="0.25">
      <c r="A142" s="4"/>
    </row>
    <row r="143" spans="1:4" x14ac:dyDescent="0.25">
      <c r="A143" s="4" t="s">
        <v>116</v>
      </c>
    </row>
    <row r="144" spans="1:4" x14ac:dyDescent="0.25">
      <c r="A144" s="4" t="s">
        <v>141</v>
      </c>
      <c r="B144" s="17">
        <f>B136*(B137+B138)</f>
        <v>522.38571428571424</v>
      </c>
      <c r="C144" s="1" t="s">
        <v>148</v>
      </c>
      <c r="D144" s="1" t="s">
        <v>149</v>
      </c>
    </row>
    <row r="145" spans="1:4" x14ac:dyDescent="0.25">
      <c r="A145" s="4" t="s">
        <v>141</v>
      </c>
      <c r="B145" s="49">
        <f>0.8*B139*B141*((B137+B138)/B137)</f>
        <v>908.02443059999996</v>
      </c>
      <c r="C145" s="1" t="s">
        <v>148</v>
      </c>
      <c r="D145" s="1" t="s">
        <v>150</v>
      </c>
    </row>
    <row r="146" spans="1:4" x14ac:dyDescent="0.25">
      <c r="A146" s="4"/>
    </row>
    <row r="147" spans="1:4" x14ac:dyDescent="0.25">
      <c r="A147" s="3" t="s">
        <v>151</v>
      </c>
    </row>
    <row r="148" spans="1:4" x14ac:dyDescent="0.25">
      <c r="A148" s="4"/>
    </row>
    <row r="149" spans="1:4" x14ac:dyDescent="0.25">
      <c r="B149" s="1" t="s">
        <v>152</v>
      </c>
    </row>
    <row r="151" spans="1:4" x14ac:dyDescent="0.25">
      <c r="A151" s="4" t="s">
        <v>153</v>
      </c>
    </row>
    <row r="152" spans="1:4" x14ac:dyDescent="0.25">
      <c r="A152" s="4" t="s">
        <v>154</v>
      </c>
      <c r="B152" s="1" t="s">
        <v>155</v>
      </c>
    </row>
    <row r="153" spans="1:4" x14ac:dyDescent="0.25">
      <c r="A153" s="4" t="s">
        <v>141</v>
      </c>
      <c r="B153" s="1" t="s">
        <v>156</v>
      </c>
    </row>
    <row r="154" spans="1:4" x14ac:dyDescent="0.25">
      <c r="A154" s="4" t="s">
        <v>157</v>
      </c>
      <c r="B154" s="1" t="s">
        <v>158</v>
      </c>
    </row>
    <row r="155" spans="1:4" x14ac:dyDescent="0.25">
      <c r="A155" s="4"/>
      <c r="B155" s="1" t="s">
        <v>159</v>
      </c>
    </row>
    <row r="156" spans="1:4" x14ac:dyDescent="0.25">
      <c r="B156" s="1" t="s">
        <v>160</v>
      </c>
    </row>
    <row r="157" spans="1:4" x14ac:dyDescent="0.25">
      <c r="A157" s="4" t="s">
        <v>91</v>
      </c>
    </row>
    <row r="158" spans="1:4" x14ac:dyDescent="0.25">
      <c r="A158" s="4" t="s">
        <v>141</v>
      </c>
      <c r="B158" s="44">
        <f>B145</f>
        <v>908.02443059999996</v>
      </c>
      <c r="C158" s="1" t="s">
        <v>148</v>
      </c>
    </row>
    <row r="159" spans="1:4" x14ac:dyDescent="0.25">
      <c r="A159" s="4" t="s">
        <v>157</v>
      </c>
      <c r="B159" s="50">
        <v>0.9</v>
      </c>
      <c r="C159" s="1" t="s">
        <v>50</v>
      </c>
    </row>
    <row r="161" spans="1:7" x14ac:dyDescent="0.25">
      <c r="A161" s="4" t="s">
        <v>116</v>
      </c>
    </row>
    <row r="162" spans="1:7" x14ac:dyDescent="0.25">
      <c r="A162" s="4" t="s">
        <v>154</v>
      </c>
      <c r="B162" s="17">
        <f>(1+B159)*B158</f>
        <v>1725.2464181399998</v>
      </c>
      <c r="C162" s="1" t="s">
        <v>148</v>
      </c>
      <c r="E162" s="1">
        <f>10*B162</f>
        <v>17252.464181399999</v>
      </c>
      <c r="F162" s="1">
        <f>E162/1000</f>
        <v>17.252464181399997</v>
      </c>
      <c r="G162" s="1">
        <f>F162*10/2</f>
        <v>86.262320906999989</v>
      </c>
    </row>
    <row r="163" spans="1:7" x14ac:dyDescent="0.25">
      <c r="A163" s="4"/>
    </row>
    <row r="164" spans="1:7" x14ac:dyDescent="0.25">
      <c r="A164" s="3" t="s">
        <v>161</v>
      </c>
    </row>
    <row r="166" spans="1:7" x14ac:dyDescent="0.25">
      <c r="B166" s="1" t="s">
        <v>162</v>
      </c>
    </row>
    <row r="167" spans="1:7" x14ac:dyDescent="0.25">
      <c r="B167" s="51" t="s">
        <v>163</v>
      </c>
    </row>
    <row r="168" spans="1:7" x14ac:dyDescent="0.25">
      <c r="B168" s="1" t="s">
        <v>164</v>
      </c>
    </row>
    <row r="170" spans="1:7" x14ac:dyDescent="0.25">
      <c r="B170" s="1" t="s">
        <v>165</v>
      </c>
    </row>
    <row r="171" spans="1:7" x14ac:dyDescent="0.25">
      <c r="B171" s="1" t="s">
        <v>166</v>
      </c>
    </row>
    <row r="172" spans="1:7" x14ac:dyDescent="0.25">
      <c r="B172" s="1" t="s">
        <v>167</v>
      </c>
    </row>
    <row r="174" spans="1:7" x14ac:dyDescent="0.25">
      <c r="B174" s="1" t="s">
        <v>168</v>
      </c>
    </row>
    <row r="175" spans="1:7" x14ac:dyDescent="0.25">
      <c r="B175" s="1" t="s">
        <v>169</v>
      </c>
    </row>
    <row r="176" spans="1:7" x14ac:dyDescent="0.25">
      <c r="A176" s="1" t="s">
        <v>43</v>
      </c>
    </row>
    <row r="177" spans="1:3" x14ac:dyDescent="0.25">
      <c r="A177" s="4" t="s">
        <v>170</v>
      </c>
      <c r="B177" s="18">
        <v>0.35</v>
      </c>
      <c r="C177" s="1" t="s">
        <v>46</v>
      </c>
    </row>
    <row r="178" spans="1:3" x14ac:dyDescent="0.25">
      <c r="A178" s="4" t="s">
        <v>171</v>
      </c>
      <c r="B178" s="18">
        <v>180</v>
      </c>
      <c r="C178" s="1" t="s">
        <v>172</v>
      </c>
    </row>
    <row r="180" spans="1:3" x14ac:dyDescent="0.25">
      <c r="A180" s="4" t="s">
        <v>116</v>
      </c>
    </row>
    <row r="181" spans="1:3" x14ac:dyDescent="0.25">
      <c r="A181" s="4" t="s">
        <v>173</v>
      </c>
      <c r="B181" s="19">
        <f>1/(POWER(2.71828,(0.0174*B177*B178)))</f>
        <v>0.33413864657348746</v>
      </c>
    </row>
    <row r="182" spans="1:3" x14ac:dyDescent="0.25">
      <c r="A182" s="4"/>
    </row>
    <row r="183" spans="1:3" x14ac:dyDescent="0.25">
      <c r="A183" s="3" t="s">
        <v>174</v>
      </c>
    </row>
    <row r="184" spans="1:3" x14ac:dyDescent="0.25">
      <c r="A184" s="4"/>
    </row>
    <row r="185" spans="1:3" x14ac:dyDescent="0.25">
      <c r="B185" s="1" t="s">
        <v>175</v>
      </c>
    </row>
    <row r="187" spans="1:3" x14ac:dyDescent="0.25">
      <c r="A187" s="4" t="s">
        <v>176</v>
      </c>
      <c r="B187"/>
    </row>
    <row r="188" spans="1:3" x14ac:dyDescent="0.25">
      <c r="A188" s="4" t="s">
        <v>177</v>
      </c>
      <c r="B188" s="19">
        <f>B181*B158</f>
        <v>303.40605429634559</v>
      </c>
      <c r="C188" s="1" t="s">
        <v>133</v>
      </c>
    </row>
    <row r="189" spans="1:3" x14ac:dyDescent="0.25">
      <c r="A189" s="4"/>
      <c r="B189"/>
    </row>
    <row r="190" spans="1:3" x14ac:dyDescent="0.25">
      <c r="A190" s="4" t="s">
        <v>178</v>
      </c>
      <c r="B190" s="44">
        <f>B70*1.5%</f>
        <v>0.15</v>
      </c>
      <c r="C190" s="1" t="s">
        <v>58</v>
      </c>
    </row>
    <row r="193" spans="1:4" x14ac:dyDescent="0.25">
      <c r="A193" s="3" t="s">
        <v>179</v>
      </c>
    </row>
    <row r="194" spans="1:4" x14ac:dyDescent="0.25">
      <c r="A194" s="3"/>
    </row>
    <row r="195" spans="1:4" x14ac:dyDescent="0.25">
      <c r="A195" s="3" t="s">
        <v>180</v>
      </c>
    </row>
    <row r="196" spans="1:4" x14ac:dyDescent="0.25">
      <c r="A196" s="3"/>
    </row>
    <row r="197" spans="1:4" x14ac:dyDescent="0.25">
      <c r="A197" s="3"/>
      <c r="B197" s="1" t="s">
        <v>181</v>
      </c>
      <c r="D197" s="1" t="s">
        <v>182</v>
      </c>
    </row>
    <row r="198" spans="1:4" x14ac:dyDescent="0.25">
      <c r="A198" s="3"/>
      <c r="B198" s="42" t="s">
        <v>183</v>
      </c>
      <c r="D198" s="1" t="s">
        <v>184</v>
      </c>
    </row>
    <row r="199" spans="1:4" x14ac:dyDescent="0.25">
      <c r="A199" s="3"/>
      <c r="B199" s="42"/>
    </row>
    <row r="200" spans="1:4" x14ac:dyDescent="0.25">
      <c r="A200" s="52" t="s">
        <v>185</v>
      </c>
    </row>
    <row r="201" spans="1:4" x14ac:dyDescent="0.25">
      <c r="A201" s="53" t="s">
        <v>186</v>
      </c>
      <c r="B201" s="1" t="s">
        <v>187</v>
      </c>
    </row>
    <row r="202" spans="1:4" x14ac:dyDescent="0.25">
      <c r="A202" s="4" t="s">
        <v>188</v>
      </c>
      <c r="B202" s="1" t="s">
        <v>189</v>
      </c>
    </row>
    <row r="203" spans="1:4" x14ac:dyDescent="0.25">
      <c r="A203" s="4" t="s">
        <v>190</v>
      </c>
      <c r="B203" s="1" t="s">
        <v>191</v>
      </c>
    </row>
    <row r="204" spans="1:4" x14ac:dyDescent="0.25">
      <c r="A204" s="4" t="s">
        <v>154</v>
      </c>
      <c r="B204" s="1" t="s">
        <v>192</v>
      </c>
    </row>
    <row r="205" spans="1:4" x14ac:dyDescent="0.25">
      <c r="A205" s="4" t="s">
        <v>70</v>
      </c>
      <c r="B205" s="1" t="s">
        <v>193</v>
      </c>
    </row>
    <row r="206" spans="1:4" x14ac:dyDescent="0.25">
      <c r="A206" s="4" t="s">
        <v>194</v>
      </c>
      <c r="B206" s="1" t="s">
        <v>195</v>
      </c>
    </row>
    <row r="207" spans="1:4" x14ac:dyDescent="0.25">
      <c r="A207" s="52" t="s">
        <v>43</v>
      </c>
    </row>
    <row r="208" spans="1:4" x14ac:dyDescent="0.25">
      <c r="A208" s="4" t="s">
        <v>154</v>
      </c>
      <c r="B208" s="17">
        <f>B162</f>
        <v>1725.2464181399998</v>
      </c>
      <c r="C208" s="1" t="s">
        <v>133</v>
      </c>
    </row>
    <row r="209" spans="1:11" x14ac:dyDescent="0.25">
      <c r="A209" s="4" t="s">
        <v>190</v>
      </c>
      <c r="B209" s="18">
        <f>16*25.4/10</f>
        <v>40.64</v>
      </c>
      <c r="C209" s="1" t="s">
        <v>196</v>
      </c>
    </row>
    <row r="210" spans="1:11" x14ac:dyDescent="0.25">
      <c r="A210" s="4" t="s">
        <v>197</v>
      </c>
      <c r="B210" s="17">
        <f>B162</f>
        <v>1725.2464181399998</v>
      </c>
      <c r="C210" s="1" t="s">
        <v>133</v>
      </c>
    </row>
    <row r="212" spans="1:11" x14ac:dyDescent="0.25">
      <c r="A212" s="4" t="s">
        <v>70</v>
      </c>
      <c r="B212" s="18">
        <v>33</v>
      </c>
      <c r="C212" s="1" t="s">
        <v>71</v>
      </c>
    </row>
    <row r="213" spans="1:11" x14ac:dyDescent="0.25">
      <c r="A213" s="4"/>
    </row>
    <row r="214" spans="1:11" x14ac:dyDescent="0.25">
      <c r="A214" s="52" t="s">
        <v>55</v>
      </c>
    </row>
    <row r="215" spans="1:11" x14ac:dyDescent="0.25">
      <c r="A215" s="52"/>
    </row>
    <row r="216" spans="1:11" x14ac:dyDescent="0.25">
      <c r="A216" s="4" t="s">
        <v>188</v>
      </c>
      <c r="B216" s="19">
        <f>B210/B209</f>
        <v>42.451929580216529</v>
      </c>
      <c r="C216" s="1" t="s">
        <v>198</v>
      </c>
    </row>
    <row r="217" spans="1:11" x14ac:dyDescent="0.25">
      <c r="A217" s="4" t="s">
        <v>186</v>
      </c>
      <c r="B217" s="19">
        <f>B216/B212</f>
        <v>1.28642210849141</v>
      </c>
      <c r="C217" s="1" t="s">
        <v>81</v>
      </c>
    </row>
    <row r="218" spans="1:11" x14ac:dyDescent="0.25">
      <c r="A218" s="38" t="s">
        <v>199</v>
      </c>
    </row>
    <row r="219" spans="1:11" x14ac:dyDescent="0.25">
      <c r="A219" s="4" t="s">
        <v>200</v>
      </c>
      <c r="B219" s="18">
        <v>3</v>
      </c>
      <c r="C219" s="1" t="s">
        <v>81</v>
      </c>
      <c r="F219" s="240" t="s">
        <v>1317</v>
      </c>
      <c r="G219" s="240"/>
      <c r="H219" s="240"/>
      <c r="I219" s="240"/>
      <c r="J219" s="240"/>
      <c r="K219" s="240"/>
    </row>
    <row r="220" spans="1:11" x14ac:dyDescent="0.25">
      <c r="A220" s="4" t="s">
        <v>202</v>
      </c>
      <c r="B220" s="18">
        <v>3.2</v>
      </c>
      <c r="C220" s="1" t="s">
        <v>52</v>
      </c>
    </row>
    <row r="221" spans="1:11" x14ac:dyDescent="0.25">
      <c r="A221" s="4"/>
    </row>
    <row r="222" spans="1:11" x14ac:dyDescent="0.25">
      <c r="A222" s="55" t="s">
        <v>129</v>
      </c>
      <c r="B222" s="43">
        <f>(B219*2.3*1.33+B220*2*1.33)*B209/100</f>
        <v>7.1888095999999999</v>
      </c>
      <c r="C222" s="1" t="s">
        <v>203</v>
      </c>
    </row>
    <row r="223" spans="1:11" x14ac:dyDescent="0.25">
      <c r="A223" s="4"/>
    </row>
    <row r="224" spans="1:11" x14ac:dyDescent="0.25">
      <c r="A224" s="3" t="s">
        <v>204</v>
      </c>
    </row>
    <row r="226" spans="1:3" x14ac:dyDescent="0.25">
      <c r="B226" s="1" t="s">
        <v>205</v>
      </c>
    </row>
    <row r="227" spans="1:3" x14ac:dyDescent="0.25">
      <c r="B227" s="1" t="s">
        <v>206</v>
      </c>
    </row>
    <row r="228" spans="1:3" x14ac:dyDescent="0.25">
      <c r="A228" s="1" t="s">
        <v>207</v>
      </c>
    </row>
    <row r="229" spans="1:3" x14ac:dyDescent="0.25">
      <c r="A229" s="4" t="s">
        <v>197</v>
      </c>
      <c r="B229" s="19">
        <f>B210</f>
        <v>1725.2464181399998</v>
      </c>
      <c r="C229" s="1" t="s">
        <v>133</v>
      </c>
    </row>
    <row r="230" spans="1:3" x14ac:dyDescent="0.25">
      <c r="A230" s="4" t="s">
        <v>190</v>
      </c>
      <c r="B230" s="19">
        <f>B209</f>
        <v>40.64</v>
      </c>
      <c r="C230" s="1" t="s">
        <v>196</v>
      </c>
    </row>
    <row r="231" spans="1:3" x14ac:dyDescent="0.25">
      <c r="A231" s="4" t="s">
        <v>208</v>
      </c>
      <c r="B231" s="19">
        <f>B219</f>
        <v>3</v>
      </c>
      <c r="C231" s="1" t="s">
        <v>46</v>
      </c>
    </row>
    <row r="232" spans="1:3" x14ac:dyDescent="0.25">
      <c r="A232" s="4" t="s">
        <v>209</v>
      </c>
      <c r="B232" s="19">
        <f>B212</f>
        <v>33</v>
      </c>
      <c r="C232" s="1" t="s">
        <v>210</v>
      </c>
    </row>
    <row r="234" spans="1:3" x14ac:dyDescent="0.25">
      <c r="A234" s="4" t="s">
        <v>211</v>
      </c>
      <c r="B234" s="19">
        <f>B229*100/(B230*B231*B232)</f>
        <v>42.880736949713665</v>
      </c>
      <c r="C234" s="32" t="s">
        <v>212</v>
      </c>
    </row>
    <row r="235" spans="1:3" x14ac:dyDescent="0.25">
      <c r="A235" s="4"/>
    </row>
    <row r="237" spans="1:3" x14ac:dyDescent="0.25">
      <c r="A237" s="3" t="s">
        <v>213</v>
      </c>
      <c r="B237" s="3"/>
    </row>
    <row r="239" spans="1:3" x14ac:dyDescent="0.25">
      <c r="A239" s="3" t="s">
        <v>214</v>
      </c>
    </row>
    <row r="240" spans="1:3" x14ac:dyDescent="0.25">
      <c r="B240" s="1" t="s">
        <v>215</v>
      </c>
    </row>
    <row r="242" spans="1:2" ht="15" x14ac:dyDescent="0.25">
      <c r="B242" s="1" t="s">
        <v>216</v>
      </c>
    </row>
    <row r="243" spans="1:2" x14ac:dyDescent="0.25">
      <c r="B243" s="4">
        <v>2</v>
      </c>
    </row>
    <row r="245" spans="1:2" ht="15" x14ac:dyDescent="0.25">
      <c r="B245" s="1" t="s">
        <v>217</v>
      </c>
    </row>
    <row r="246" spans="1:2" x14ac:dyDescent="0.25">
      <c r="B246" s="1" t="s">
        <v>218</v>
      </c>
    </row>
    <row r="248" spans="1:2" ht="17.399999999999999" x14ac:dyDescent="0.25">
      <c r="B248" s="1" t="s">
        <v>219</v>
      </c>
    </row>
    <row r="251" spans="1:2" ht="15" x14ac:dyDescent="0.25">
      <c r="B251" s="1" t="s">
        <v>220</v>
      </c>
    </row>
    <row r="252" spans="1:2" x14ac:dyDescent="0.25">
      <c r="B252" s="1" t="s">
        <v>221</v>
      </c>
    </row>
    <row r="254" spans="1:2" x14ac:dyDescent="0.25">
      <c r="A254" s="3" t="s">
        <v>222</v>
      </c>
    </row>
    <row r="256" spans="1:2" x14ac:dyDescent="0.25">
      <c r="B256" s="1" t="s">
        <v>223</v>
      </c>
    </row>
    <row r="258" spans="1:2" ht="15" x14ac:dyDescent="0.25">
      <c r="B258" s="1" t="s">
        <v>224</v>
      </c>
    </row>
    <row r="259" spans="1:2" x14ac:dyDescent="0.25">
      <c r="B259" s="4">
        <v>2</v>
      </c>
    </row>
    <row r="261" spans="1:2" ht="15" x14ac:dyDescent="0.25">
      <c r="B261" s="1" t="s">
        <v>225</v>
      </c>
    </row>
    <row r="262" spans="1:2" x14ac:dyDescent="0.25">
      <c r="B262" s="1" t="s">
        <v>221</v>
      </c>
    </row>
    <row r="264" spans="1:2" x14ac:dyDescent="0.25">
      <c r="A264" s="1" t="s">
        <v>23</v>
      </c>
    </row>
    <row r="265" spans="1:2" x14ac:dyDescent="0.25">
      <c r="B265" s="1" t="s">
        <v>226</v>
      </c>
    </row>
    <row r="266" spans="1:2" x14ac:dyDescent="0.25">
      <c r="B266" s="1" t="s">
        <v>227</v>
      </c>
    </row>
    <row r="267" spans="1:2" x14ac:dyDescent="0.25">
      <c r="B267" s="1" t="s">
        <v>228</v>
      </c>
    </row>
    <row r="268" spans="1:2" x14ac:dyDescent="0.25">
      <c r="B268" s="1" t="s">
        <v>229</v>
      </c>
    </row>
    <row r="269" spans="1:2" ht="15.6" x14ac:dyDescent="0.25">
      <c r="B269" s="52" t="s">
        <v>230</v>
      </c>
    </row>
    <row r="270" spans="1:2" x14ac:dyDescent="0.25">
      <c r="B270" s="1" t="s">
        <v>231</v>
      </c>
    </row>
    <row r="271" spans="1:2" x14ac:dyDescent="0.25">
      <c r="B271" s="1" t="s">
        <v>232</v>
      </c>
    </row>
    <row r="272" spans="1:2" x14ac:dyDescent="0.25">
      <c r="B272" s="1" t="s">
        <v>233</v>
      </c>
    </row>
    <row r="273" spans="1:13" x14ac:dyDescent="0.25">
      <c r="B273" s="1" t="s">
        <v>234</v>
      </c>
    </row>
    <row r="274" spans="1:13" x14ac:dyDescent="0.25">
      <c r="B274" s="1" t="s">
        <v>235</v>
      </c>
    </row>
    <row r="275" spans="1:13" x14ac:dyDescent="0.25">
      <c r="B275" s="1" t="s">
        <v>236</v>
      </c>
    </row>
    <row r="276" spans="1:13" x14ac:dyDescent="0.25">
      <c r="B276" s="1" t="s">
        <v>237</v>
      </c>
    </row>
    <row r="277" spans="1:13" x14ac:dyDescent="0.25">
      <c r="B277" s="1" t="s">
        <v>238</v>
      </c>
    </row>
    <row r="278" spans="1:13" x14ac:dyDescent="0.25">
      <c r="B278" s="1" t="s">
        <v>239</v>
      </c>
    </row>
    <row r="280" spans="1:13" x14ac:dyDescent="0.25">
      <c r="A280" s="3" t="s">
        <v>240</v>
      </c>
      <c r="K280" s="9" t="s">
        <v>241</v>
      </c>
      <c r="L280" s="9"/>
    </row>
    <row r="281" spans="1:13" ht="15.6" x14ac:dyDescent="0.3">
      <c r="A281" s="1" t="s">
        <v>243</v>
      </c>
      <c r="K281" s="9" t="s">
        <v>244</v>
      </c>
      <c r="L281" s="9" t="s">
        <v>245</v>
      </c>
    </row>
    <row r="282" spans="1:13" x14ac:dyDescent="0.25">
      <c r="K282" s="9">
        <v>20</v>
      </c>
      <c r="L282" s="9">
        <v>67</v>
      </c>
      <c r="M282" s="1">
        <v>47</v>
      </c>
    </row>
    <row r="283" spans="1:13" x14ac:dyDescent="0.25">
      <c r="A283" s="4" t="s">
        <v>246</v>
      </c>
      <c r="B283" s="18">
        <v>120</v>
      </c>
      <c r="C283" s="1" t="s">
        <v>133</v>
      </c>
      <c r="K283" s="9">
        <v>25</v>
      </c>
      <c r="L283" s="9">
        <v>77</v>
      </c>
      <c r="M283" s="1">
        <v>52</v>
      </c>
    </row>
    <row r="284" spans="1:13" ht="14.4" x14ac:dyDescent="0.3">
      <c r="A284" s="4" t="s">
        <v>247</v>
      </c>
      <c r="B284" s="57">
        <f>(VLOOKUP(D26,Q8:AF30,14,)+I297/2)/10-5.6</f>
        <v>13.65</v>
      </c>
      <c r="C284" s="1" t="s">
        <v>196</v>
      </c>
      <c r="K284" s="9">
        <v>30</v>
      </c>
      <c r="L284" s="9">
        <v>82</v>
      </c>
      <c r="M284" s="1">
        <v>52</v>
      </c>
    </row>
    <row r="285" spans="1:13" x14ac:dyDescent="0.25">
      <c r="A285" s="4" t="s">
        <v>248</v>
      </c>
      <c r="B285" s="17">
        <f>B162</f>
        <v>1725.2464181399998</v>
      </c>
      <c r="C285" s="1" t="s">
        <v>68</v>
      </c>
      <c r="K285" s="9">
        <v>35</v>
      </c>
      <c r="L285" s="9">
        <v>85</v>
      </c>
      <c r="M285" s="1">
        <v>50</v>
      </c>
    </row>
    <row r="286" spans="1:13" x14ac:dyDescent="0.25">
      <c r="A286" s="4" t="s">
        <v>147</v>
      </c>
      <c r="B286" s="17">
        <f>B377</f>
        <v>7.5</v>
      </c>
      <c r="C286" s="1" t="s">
        <v>249</v>
      </c>
      <c r="K286" s="9">
        <v>40</v>
      </c>
      <c r="L286" s="9">
        <v>85</v>
      </c>
      <c r="M286" s="1">
        <v>45</v>
      </c>
    </row>
    <row r="287" spans="1:13" x14ac:dyDescent="0.25">
      <c r="A287" s="4" t="s">
        <v>114</v>
      </c>
      <c r="B287" s="17">
        <v>60</v>
      </c>
      <c r="C287" s="1" t="s">
        <v>196</v>
      </c>
      <c r="K287" s="9">
        <v>45</v>
      </c>
      <c r="L287" s="9">
        <v>90</v>
      </c>
      <c r="M287" s="1">
        <v>45</v>
      </c>
    </row>
    <row r="288" spans="1:13" x14ac:dyDescent="0.25">
      <c r="A288" s="4" t="s">
        <v>30</v>
      </c>
      <c r="B288" s="17">
        <f>B26</f>
        <v>1.4</v>
      </c>
      <c r="C288" s="1" t="s">
        <v>48</v>
      </c>
      <c r="K288" s="9">
        <v>50</v>
      </c>
      <c r="L288" s="9">
        <v>95</v>
      </c>
      <c r="M288" s="1">
        <v>45</v>
      </c>
    </row>
    <row r="289" spans="1:13" x14ac:dyDescent="0.25">
      <c r="A289" s="4" t="s">
        <v>250</v>
      </c>
      <c r="B289" s="50">
        <v>2</v>
      </c>
      <c r="C289" s="1" t="s">
        <v>46</v>
      </c>
      <c r="K289" s="9">
        <v>55</v>
      </c>
      <c r="L289" s="9">
        <v>105</v>
      </c>
      <c r="M289" s="1">
        <v>50</v>
      </c>
    </row>
    <row r="290" spans="1:13" x14ac:dyDescent="0.25">
      <c r="A290" s="4" t="s">
        <v>251</v>
      </c>
      <c r="B290" s="50">
        <v>1.5</v>
      </c>
      <c r="C290" s="1" t="s">
        <v>46</v>
      </c>
      <c r="K290" s="9">
        <v>60</v>
      </c>
      <c r="L290" s="9">
        <v>110</v>
      </c>
      <c r="M290" s="1">
        <v>50</v>
      </c>
    </row>
    <row r="291" spans="1:13" x14ac:dyDescent="0.25">
      <c r="A291" s="4" t="s">
        <v>252</v>
      </c>
      <c r="B291" s="19">
        <f>B284*B285/2</f>
        <v>11774.806803805499</v>
      </c>
      <c r="C291" s="1" t="s">
        <v>253</v>
      </c>
      <c r="K291" s="9">
        <v>65</v>
      </c>
      <c r="L291" s="9">
        <v>115</v>
      </c>
      <c r="M291" s="1">
        <v>50</v>
      </c>
    </row>
    <row r="292" spans="1:13" x14ac:dyDescent="0.25">
      <c r="A292" s="4" t="s">
        <v>254</v>
      </c>
      <c r="B292" s="19">
        <f>B286*38*B287/B288</f>
        <v>12214.285714285716</v>
      </c>
      <c r="C292" s="1" t="s">
        <v>253</v>
      </c>
      <c r="K292" s="9">
        <v>70</v>
      </c>
      <c r="L292" s="9">
        <v>120</v>
      </c>
      <c r="M292" s="1">
        <v>50</v>
      </c>
    </row>
    <row r="293" spans="1:13" x14ac:dyDescent="0.25">
      <c r="A293" s="4" t="s">
        <v>255</v>
      </c>
      <c r="B293" s="19">
        <f>POWER((POWER(B290*B291,2)+POWER(B289*B292,2)),0.5)</f>
        <v>30144.796754853749</v>
      </c>
      <c r="C293" s="1" t="s">
        <v>253</v>
      </c>
      <c r="K293" s="9">
        <v>75</v>
      </c>
      <c r="L293" s="9">
        <v>125</v>
      </c>
      <c r="M293" s="1">
        <v>50</v>
      </c>
    </row>
    <row r="294" spans="1:13" x14ac:dyDescent="0.25">
      <c r="K294" s="9">
        <v>80</v>
      </c>
      <c r="L294" s="9">
        <v>140</v>
      </c>
      <c r="M294" s="1">
        <v>60</v>
      </c>
    </row>
    <row r="295" spans="1:13" x14ac:dyDescent="0.25">
      <c r="A295" s="1" t="s">
        <v>256</v>
      </c>
      <c r="D295" s="1" t="s">
        <v>257</v>
      </c>
      <c r="K295" s="9">
        <v>85</v>
      </c>
      <c r="L295" s="9">
        <v>145</v>
      </c>
      <c r="M295" s="1">
        <v>60</v>
      </c>
    </row>
    <row r="296" spans="1:13" x14ac:dyDescent="0.25">
      <c r="A296" s="4" t="s">
        <v>258</v>
      </c>
      <c r="B296" s="19">
        <f>10*POWER(((16*B293)/(3.1415*560)),1/3)</f>
        <v>64.963450457662447</v>
      </c>
      <c r="C296" s="1" t="s">
        <v>52</v>
      </c>
      <c r="D296" s="4" t="s">
        <v>258</v>
      </c>
      <c r="E296" s="17">
        <f>B336</f>
        <v>97.123584178689072</v>
      </c>
      <c r="F296" s="1" t="s">
        <v>52</v>
      </c>
      <c r="H296" s="4" t="s">
        <v>259</v>
      </c>
      <c r="I296" s="19" cm="1">
        <f t="array" ref="I296">SUMPRODUCT(LARGE((K282:K310&gt;E296)*(K282:K310),COUNTIF(K282:K310,"&gt;"&amp;E296)))-15</f>
        <v>85</v>
      </c>
      <c r="J296" s="1" t="s">
        <v>52</v>
      </c>
      <c r="K296" s="9">
        <v>90</v>
      </c>
      <c r="L296" s="9">
        <v>160</v>
      </c>
      <c r="M296" s="1">
        <v>70</v>
      </c>
    </row>
    <row r="297" spans="1:13" x14ac:dyDescent="0.25">
      <c r="A297" s="1" t="s">
        <v>199</v>
      </c>
      <c r="H297" s="4" t="s">
        <v>260</v>
      </c>
      <c r="I297" s="18">
        <v>145</v>
      </c>
      <c r="J297" s="1" t="s">
        <v>52</v>
      </c>
      <c r="K297" s="9">
        <v>100</v>
      </c>
      <c r="L297" s="9">
        <v>175</v>
      </c>
      <c r="M297" s="1">
        <v>75</v>
      </c>
    </row>
    <row r="298" spans="1:13" x14ac:dyDescent="0.25">
      <c r="A298" s="4" t="s">
        <v>261</v>
      </c>
      <c r="B298" s="18">
        <f>4*25.4</f>
        <v>101.6</v>
      </c>
      <c r="C298" s="1" t="s">
        <v>52</v>
      </c>
      <c r="E298" s="1">
        <f>B328*10+I297+95+253</f>
        <v>1298</v>
      </c>
      <c r="F298" s="1" t="s">
        <v>52</v>
      </c>
      <c r="K298" s="9">
        <v>110</v>
      </c>
      <c r="L298" s="9">
        <v>185</v>
      </c>
      <c r="M298" s="1">
        <v>75</v>
      </c>
    </row>
    <row r="299" spans="1:13" x14ac:dyDescent="0.25">
      <c r="K299" s="9">
        <v>115</v>
      </c>
      <c r="L299" s="9">
        <v>190</v>
      </c>
      <c r="M299" s="1">
        <v>75</v>
      </c>
    </row>
    <row r="300" spans="1:13" x14ac:dyDescent="0.25">
      <c r="A300" s="3" t="s">
        <v>262</v>
      </c>
      <c r="K300" s="9">
        <v>125</v>
      </c>
      <c r="L300" s="9">
        <v>205</v>
      </c>
      <c r="M300" s="1">
        <v>80</v>
      </c>
    </row>
    <row r="301" spans="1:13" ht="15.6" x14ac:dyDescent="0.3">
      <c r="A301" s="1" t="s">
        <v>243</v>
      </c>
      <c r="K301" s="9">
        <v>135</v>
      </c>
      <c r="L301" s="9">
        <v>180</v>
      </c>
      <c r="M301" s="1">
        <v>45</v>
      </c>
    </row>
    <row r="302" spans="1:13" x14ac:dyDescent="0.25">
      <c r="A302" s="4" t="s">
        <v>247</v>
      </c>
      <c r="B302" s="34">
        <f>B284</f>
        <v>13.65</v>
      </c>
      <c r="C302" s="1" t="s">
        <v>196</v>
      </c>
      <c r="K302" s="9">
        <v>140</v>
      </c>
      <c r="L302" s="9">
        <v>190</v>
      </c>
      <c r="M302" s="1">
        <v>50</v>
      </c>
    </row>
    <row r="303" spans="1:13" x14ac:dyDescent="0.25">
      <c r="A303" s="4" t="s">
        <v>263</v>
      </c>
      <c r="B303" s="17">
        <f>B188</f>
        <v>303.40605429634559</v>
      </c>
      <c r="C303" s="1" t="s">
        <v>68</v>
      </c>
      <c r="K303" s="9">
        <v>150</v>
      </c>
      <c r="L303" s="9">
        <v>205</v>
      </c>
      <c r="M303" s="1">
        <v>55</v>
      </c>
    </row>
    <row r="304" spans="1:13" x14ac:dyDescent="0.25">
      <c r="A304" s="4" t="s">
        <v>251</v>
      </c>
      <c r="B304" s="50">
        <v>1.5</v>
      </c>
      <c r="C304" s="1" t="s">
        <v>46</v>
      </c>
      <c r="K304" s="9">
        <v>160</v>
      </c>
      <c r="L304" s="9">
        <v>210</v>
      </c>
      <c r="M304" s="1">
        <v>50</v>
      </c>
    </row>
    <row r="305" spans="1:13" x14ac:dyDescent="0.25">
      <c r="A305" s="4"/>
      <c r="K305" s="9">
        <v>170</v>
      </c>
      <c r="L305" s="9">
        <v>220</v>
      </c>
      <c r="M305" s="1">
        <v>50</v>
      </c>
    </row>
    <row r="306" spans="1:13" x14ac:dyDescent="0.25">
      <c r="A306" s="1" t="s">
        <v>256</v>
      </c>
      <c r="D306" s="1" t="s">
        <v>257</v>
      </c>
      <c r="K306" s="9">
        <v>180</v>
      </c>
      <c r="L306" s="9">
        <v>235</v>
      </c>
      <c r="M306" s="1">
        <v>55</v>
      </c>
    </row>
    <row r="307" spans="1:13" x14ac:dyDescent="0.25">
      <c r="A307" s="4" t="s">
        <v>258</v>
      </c>
      <c r="B307" s="19">
        <f>10*POWER((32*B284*B303*B304)/(3.1415*560*2),1/3)</f>
        <v>38.371992262316006</v>
      </c>
      <c r="C307" s="1" t="s">
        <v>52</v>
      </c>
      <c r="D307" s="4" t="s">
        <v>258</v>
      </c>
      <c r="E307" s="17">
        <f>B350</f>
        <v>59.274637967553616</v>
      </c>
      <c r="F307" s="1" t="s">
        <v>52</v>
      </c>
      <c r="H307" s="4" t="s">
        <v>259</v>
      </c>
      <c r="I307" s="19" cm="1">
        <f t="array" ref="I307">SUMPRODUCT(LARGE((K282:K310&gt;E307)*(K282:K310),COUNTIF(K282:K310,"&gt;"&amp;E307)))-10</f>
        <v>50</v>
      </c>
      <c r="J307" s="1" t="s">
        <v>52</v>
      </c>
      <c r="K307" s="9">
        <v>200</v>
      </c>
      <c r="L307" s="9">
        <v>255</v>
      </c>
      <c r="M307" s="1">
        <v>55</v>
      </c>
    </row>
    <row r="308" spans="1:13" x14ac:dyDescent="0.25">
      <c r="A308" s="1" t="s">
        <v>265</v>
      </c>
      <c r="I308" s="152">
        <v>95</v>
      </c>
      <c r="J308" s="1" t="s">
        <v>52</v>
      </c>
      <c r="K308" s="9">
        <v>220</v>
      </c>
      <c r="L308" s="9">
        <v>265</v>
      </c>
      <c r="M308" s="1">
        <v>45</v>
      </c>
    </row>
    <row r="309" spans="1:13" x14ac:dyDescent="0.25">
      <c r="A309" s="4" t="s">
        <v>266</v>
      </c>
      <c r="B309" s="18">
        <f>2.5*25.4</f>
        <v>63.5</v>
      </c>
      <c r="C309" s="1" t="s">
        <v>52</v>
      </c>
      <c r="E309" s="1">
        <f>B328*10+L296+53</f>
        <v>1018</v>
      </c>
      <c r="K309" s="9">
        <v>240</v>
      </c>
      <c r="L309" s="9">
        <v>285</v>
      </c>
      <c r="M309" s="1">
        <v>45</v>
      </c>
    </row>
    <row r="310" spans="1:13" x14ac:dyDescent="0.25">
      <c r="K310" s="9">
        <v>260</v>
      </c>
      <c r="L310" s="9">
        <v>295</v>
      </c>
      <c r="M310" s="1">
        <v>35</v>
      </c>
    </row>
    <row r="311" spans="1:13" x14ac:dyDescent="0.25">
      <c r="A311" s="3" t="s">
        <v>267</v>
      </c>
    </row>
    <row r="312" spans="1:13" x14ac:dyDescent="0.25">
      <c r="A312" s="3"/>
    </row>
    <row r="313" spans="1:13" x14ac:dyDescent="0.25">
      <c r="B313" s="1" t="s">
        <v>268</v>
      </c>
    </row>
    <row r="314" spans="1:13" ht="15.6" x14ac:dyDescent="0.25">
      <c r="B314" s="52" t="s">
        <v>269</v>
      </c>
    </row>
    <row r="315" spans="1:13" x14ac:dyDescent="0.25">
      <c r="A315" s="1" t="s">
        <v>270</v>
      </c>
    </row>
    <row r="316" spans="1:13" x14ac:dyDescent="0.25">
      <c r="A316" s="4" t="s">
        <v>271</v>
      </c>
      <c r="B316" s="1" t="s">
        <v>272</v>
      </c>
    </row>
    <row r="317" spans="1:13" x14ac:dyDescent="0.25">
      <c r="A317" s="4" t="s">
        <v>248</v>
      </c>
      <c r="B317" s="1" t="s">
        <v>273</v>
      </c>
    </row>
    <row r="318" spans="1:13" x14ac:dyDescent="0.25">
      <c r="A318" s="4" t="s">
        <v>274</v>
      </c>
      <c r="B318" s="1" t="s">
        <v>275</v>
      </c>
    </row>
    <row r="319" spans="1:13" x14ac:dyDescent="0.25">
      <c r="A319" s="4" t="s">
        <v>276</v>
      </c>
      <c r="B319" s="1" t="s">
        <v>277</v>
      </c>
    </row>
    <row r="320" spans="1:13" x14ac:dyDescent="0.25">
      <c r="A320" s="4" t="s">
        <v>278</v>
      </c>
      <c r="B320" s="1" t="s">
        <v>279</v>
      </c>
    </row>
    <row r="321" spans="1:6" x14ac:dyDescent="0.25">
      <c r="A321" s="4" t="s">
        <v>280</v>
      </c>
      <c r="B321" s="1" t="s">
        <v>281</v>
      </c>
      <c r="D321" s="52"/>
    </row>
    <row r="322" spans="1:6" ht="15.6" x14ac:dyDescent="0.25">
      <c r="A322" s="4" t="s">
        <v>282</v>
      </c>
      <c r="B322" s="52" t="s">
        <v>283</v>
      </c>
    </row>
    <row r="323" spans="1:6" x14ac:dyDescent="0.25">
      <c r="A323" s="4"/>
    </row>
    <row r="324" spans="1:6" x14ac:dyDescent="0.25">
      <c r="A324" s="1" t="s">
        <v>284</v>
      </c>
    </row>
    <row r="326" spans="1:6" x14ac:dyDescent="0.25">
      <c r="A326" s="4" t="s">
        <v>248</v>
      </c>
      <c r="B326" s="19">
        <f>B285</f>
        <v>1725.2464181399998</v>
      </c>
      <c r="C326" s="1" t="s">
        <v>133</v>
      </c>
    </row>
    <row r="327" spans="1:6" x14ac:dyDescent="0.25">
      <c r="A327" s="4" t="s">
        <v>274</v>
      </c>
      <c r="B327" s="50">
        <v>1.5</v>
      </c>
      <c r="C327" s="1" t="s">
        <v>287</v>
      </c>
    </row>
    <row r="328" spans="1:6" ht="14.4" x14ac:dyDescent="0.3">
      <c r="A328" s="4" t="s">
        <v>276</v>
      </c>
      <c r="B328" s="59">
        <f>(VLOOKUP(D26,Q8:AF30,15,)+I297+120)/10+2</f>
        <v>80.5</v>
      </c>
      <c r="C328" s="1" t="s">
        <v>196</v>
      </c>
    </row>
    <row r="329" spans="1:6" ht="14.4" x14ac:dyDescent="0.3">
      <c r="A329" s="4" t="s">
        <v>278</v>
      </c>
      <c r="B329" s="59">
        <f>(B209)+1.8</f>
        <v>42.44</v>
      </c>
      <c r="C329" s="1" t="s">
        <v>196</v>
      </c>
    </row>
    <row r="330" spans="1:6" x14ac:dyDescent="0.25">
      <c r="A330" s="4" t="s">
        <v>280</v>
      </c>
      <c r="B330" s="17">
        <f>B298/10</f>
        <v>10.16</v>
      </c>
      <c r="C330" s="1" t="s">
        <v>196</v>
      </c>
    </row>
    <row r="331" spans="1:6" x14ac:dyDescent="0.25">
      <c r="A331" s="4" t="s">
        <v>282</v>
      </c>
      <c r="B331" s="61">
        <v>2100000</v>
      </c>
      <c r="C331" s="1" t="s">
        <v>292</v>
      </c>
      <c r="E331" s="1" t="s">
        <v>293</v>
      </c>
    </row>
    <row r="332" spans="1:6" x14ac:dyDescent="0.25">
      <c r="E332" s="4">
        <v>2000</v>
      </c>
    </row>
    <row r="334" spans="1:6" x14ac:dyDescent="0.25">
      <c r="A334" s="4" t="s">
        <v>271</v>
      </c>
      <c r="B334" s="61">
        <f>4*B326*B327*(B328-B329)*(2*B328*B328+2*B328*B329-B329*B329)/(3*3.1415*B331*B330*B330*B330*B330)</f>
        <v>3.3612643181611182E-2</v>
      </c>
      <c r="C334" s="1" t="s">
        <v>196</v>
      </c>
      <c r="D334" s="1" t="s">
        <v>300</v>
      </c>
      <c r="E334" s="61">
        <f>B328/E332</f>
        <v>4.0250000000000001E-2</v>
      </c>
      <c r="F334" s="1" t="s">
        <v>196</v>
      </c>
    </row>
    <row r="335" spans="1:6" x14ac:dyDescent="0.25">
      <c r="A335" s="4"/>
    </row>
    <row r="336" spans="1:6" x14ac:dyDescent="0.25">
      <c r="A336" s="4" t="s">
        <v>280</v>
      </c>
      <c r="B336" s="17">
        <f>10*((E332*4*B326*B327*(B328-B329)*(2*B328^2+2*B328*B329-B329^2))/(3*PI()*B331*B328))^(1/4)</f>
        <v>97.123584178689072</v>
      </c>
      <c r="C336" s="1" t="s">
        <v>52</v>
      </c>
    </row>
    <row r="338" spans="1:6" x14ac:dyDescent="0.25">
      <c r="A338" s="1" t="s">
        <v>304</v>
      </c>
    </row>
    <row r="340" spans="1:6" x14ac:dyDescent="0.25">
      <c r="A340" s="4" t="s">
        <v>248</v>
      </c>
      <c r="B340" s="19">
        <f>B303</f>
        <v>303.40605429634559</v>
      </c>
      <c r="C340" s="1" t="s">
        <v>133</v>
      </c>
    </row>
    <row r="341" spans="1:6" x14ac:dyDescent="0.25">
      <c r="A341" s="4" t="s">
        <v>274</v>
      </c>
      <c r="B341" s="50">
        <v>1.5</v>
      </c>
      <c r="C341" s="1" t="s">
        <v>287</v>
      </c>
    </row>
    <row r="342" spans="1:6" ht="14.4" x14ac:dyDescent="0.3">
      <c r="A342" s="4" t="s">
        <v>276</v>
      </c>
      <c r="B342" s="59">
        <f>B328-2</f>
        <v>78.5</v>
      </c>
      <c r="C342" s="1" t="s">
        <v>196</v>
      </c>
    </row>
    <row r="343" spans="1:6" ht="14.4" x14ac:dyDescent="0.3">
      <c r="A343" s="4" t="s">
        <v>278</v>
      </c>
      <c r="B343" s="59">
        <f>B329</f>
        <v>42.44</v>
      </c>
      <c r="C343" s="1" t="s">
        <v>196</v>
      </c>
    </row>
    <row r="344" spans="1:6" x14ac:dyDescent="0.25">
      <c r="A344" s="4" t="s">
        <v>280</v>
      </c>
      <c r="B344" s="17">
        <f>B309/10</f>
        <v>6.35</v>
      </c>
      <c r="C344" s="1" t="s">
        <v>196</v>
      </c>
    </row>
    <row r="345" spans="1:6" x14ac:dyDescent="0.25">
      <c r="A345" s="4" t="s">
        <v>282</v>
      </c>
      <c r="B345" s="50">
        <v>2100000</v>
      </c>
      <c r="C345" s="1" t="s">
        <v>292</v>
      </c>
      <c r="E345" s="1" t="s">
        <v>309</v>
      </c>
    </row>
    <row r="346" spans="1:6" x14ac:dyDescent="0.25">
      <c r="E346" s="4">
        <v>1700</v>
      </c>
    </row>
    <row r="348" spans="1:6" x14ac:dyDescent="0.25">
      <c r="A348" s="4" t="s">
        <v>271</v>
      </c>
      <c r="B348" s="61">
        <f>4*B340*B341*(B342-B343)*(2*B342*B342+2*B342*B343-B343*B343)/(3*3.1415*B345*B344*B344*B344*B344)</f>
        <v>3.5060191451178162E-2</v>
      </c>
      <c r="C348" s="1" t="s">
        <v>196</v>
      </c>
      <c r="D348" s="1" t="s">
        <v>300</v>
      </c>
      <c r="E348" s="61">
        <f>B342/E346</f>
        <v>4.6176470588235291E-2</v>
      </c>
      <c r="F348" s="1" t="s">
        <v>196</v>
      </c>
    </row>
    <row r="350" spans="1:6" x14ac:dyDescent="0.25">
      <c r="A350" s="4" t="s">
        <v>280</v>
      </c>
      <c r="B350" s="17">
        <f>10*((E346*4*B340*B341*(B342-B343)*(2*B342^2+2*B342*B343-B343^2))/(3*PI()*B345*B342))^(1/4)</f>
        <v>59.274637967553616</v>
      </c>
      <c r="C350" s="1" t="s">
        <v>52</v>
      </c>
    </row>
    <row r="352" spans="1:6" x14ac:dyDescent="0.25">
      <c r="A352" s="3" t="s">
        <v>316</v>
      </c>
    </row>
    <row r="354" spans="1:3" x14ac:dyDescent="0.25">
      <c r="A354" s="3"/>
      <c r="B354" s="3" t="s">
        <v>318</v>
      </c>
      <c r="C354" s="3"/>
    </row>
    <row r="355" spans="1:3" x14ac:dyDescent="0.25">
      <c r="A355" s="3"/>
      <c r="B355" s="3"/>
      <c r="C355" s="3" t="s">
        <v>319</v>
      </c>
    </row>
    <row r="356" spans="1:3" x14ac:dyDescent="0.25">
      <c r="A356" s="52" t="s">
        <v>23</v>
      </c>
    </row>
    <row r="357" spans="1:3" x14ac:dyDescent="0.25">
      <c r="A357" s="4" t="s">
        <v>147</v>
      </c>
      <c r="B357" s="1" t="s">
        <v>320</v>
      </c>
    </row>
    <row r="358" spans="1:3" x14ac:dyDescent="0.25">
      <c r="A358" s="4" t="s">
        <v>322</v>
      </c>
      <c r="B358" s="1" t="s">
        <v>323</v>
      </c>
    </row>
    <row r="359" spans="1:3" s="3" customFormat="1" x14ac:dyDescent="0.25">
      <c r="A359" s="4" t="s">
        <v>78</v>
      </c>
      <c r="B359" s="1" t="s">
        <v>79</v>
      </c>
      <c r="C359" s="1"/>
    </row>
    <row r="360" spans="1:3" x14ac:dyDescent="0.25">
      <c r="A360" s="4" t="s">
        <v>28</v>
      </c>
      <c r="B360" s="1" t="s">
        <v>29</v>
      </c>
    </row>
    <row r="361" spans="1:3" x14ac:dyDescent="0.25">
      <c r="A361" s="4" t="s">
        <v>111</v>
      </c>
      <c r="B361" s="1" t="s">
        <v>112</v>
      </c>
    </row>
    <row r="362" spans="1:3" x14ac:dyDescent="0.25">
      <c r="A362" s="4" t="s">
        <v>114</v>
      </c>
      <c r="B362" s="1" t="s">
        <v>115</v>
      </c>
    </row>
    <row r="363" spans="1:3" x14ac:dyDescent="0.25">
      <c r="A363" s="4" t="s">
        <v>326</v>
      </c>
      <c r="B363" s="1" t="s">
        <v>327</v>
      </c>
    </row>
    <row r="365" spans="1:3" x14ac:dyDescent="0.25">
      <c r="A365" s="1" t="s">
        <v>91</v>
      </c>
    </row>
    <row r="366" spans="1:3" x14ac:dyDescent="0.25">
      <c r="A366" s="4" t="s">
        <v>322</v>
      </c>
      <c r="B366" s="19">
        <f>B26</f>
        <v>1.4</v>
      </c>
      <c r="C366" s="1" t="s">
        <v>48</v>
      </c>
    </row>
    <row r="367" spans="1:3" x14ac:dyDescent="0.25">
      <c r="A367" s="4" t="s">
        <v>328</v>
      </c>
      <c r="B367" s="17">
        <f>E55</f>
        <v>30.728571428571428</v>
      </c>
      <c r="C367" s="1" t="s">
        <v>98</v>
      </c>
    </row>
    <row r="368" spans="1:3" x14ac:dyDescent="0.25">
      <c r="A368" s="4" t="s">
        <v>28</v>
      </c>
      <c r="B368" s="19">
        <f>B25</f>
        <v>1</v>
      </c>
      <c r="C368" s="1" t="s">
        <v>46</v>
      </c>
    </row>
    <row r="369" spans="1:8" x14ac:dyDescent="0.25">
      <c r="A369" s="4" t="s">
        <v>111</v>
      </c>
      <c r="B369" s="19">
        <f>B70</f>
        <v>10</v>
      </c>
      <c r="C369" s="1" t="s">
        <v>58</v>
      </c>
    </row>
    <row r="370" spans="1:8" x14ac:dyDescent="0.25">
      <c r="A370" s="4" t="s">
        <v>114</v>
      </c>
      <c r="B370" s="63">
        <f>B71</f>
        <v>0.55000000000000004</v>
      </c>
      <c r="C370" s="1" t="s">
        <v>58</v>
      </c>
    </row>
    <row r="371" spans="1:8" x14ac:dyDescent="0.25">
      <c r="A371" s="4" t="s">
        <v>326</v>
      </c>
      <c r="B371" s="18">
        <v>0.95</v>
      </c>
      <c r="C371" s="1" t="s">
        <v>50</v>
      </c>
    </row>
    <row r="372" spans="1:8" x14ac:dyDescent="0.25">
      <c r="A372" s="4"/>
    </row>
    <row r="373" spans="1:8" x14ac:dyDescent="0.25">
      <c r="A373" s="4" t="s">
        <v>55</v>
      </c>
    </row>
    <row r="374" spans="1:8" x14ac:dyDescent="0.25">
      <c r="A374" s="4" t="s">
        <v>147</v>
      </c>
      <c r="B374" s="44">
        <f>B366*B367*B368*(B369+7*B370)/(75*B371)</f>
        <v>8.3624842105263166</v>
      </c>
      <c r="C374" s="1" t="s">
        <v>249</v>
      </c>
      <c r="F374" s="4" t="s">
        <v>1318</v>
      </c>
      <c r="G374" s="17">
        <f>9.8*(B370/2)*B145/C402</f>
        <v>67.982602602934904</v>
      </c>
      <c r="H374" s="1" t="s">
        <v>755</v>
      </c>
    </row>
    <row r="375" spans="1:8" x14ac:dyDescent="0.25">
      <c r="A375" s="4" t="s">
        <v>329</v>
      </c>
      <c r="B375" s="18">
        <v>10</v>
      </c>
      <c r="C375" s="1" t="s">
        <v>330</v>
      </c>
      <c r="F375" s="4" t="s">
        <v>1319</v>
      </c>
      <c r="G375" s="18">
        <v>120</v>
      </c>
      <c r="H375" s="1" t="s">
        <v>755</v>
      </c>
    </row>
    <row r="376" spans="1:8" x14ac:dyDescent="0.25">
      <c r="A376" s="4" t="s">
        <v>331</v>
      </c>
      <c r="B376" s="19">
        <f>B375/B374</f>
        <v>1.1958169065853006</v>
      </c>
      <c r="C376" s="1" t="s">
        <v>332</v>
      </c>
      <c r="F376" s="4" t="s">
        <v>1320</v>
      </c>
      <c r="G376" s="233">
        <v>3.4</v>
      </c>
    </row>
    <row r="377" spans="1:8" x14ac:dyDescent="0.25">
      <c r="A377" s="4" t="s">
        <v>147</v>
      </c>
      <c r="B377" s="19">
        <f>B375*0.75</f>
        <v>7.5</v>
      </c>
      <c r="C377" s="1" t="s">
        <v>333</v>
      </c>
      <c r="F377" s="4" t="s">
        <v>1321</v>
      </c>
      <c r="G377" s="220">
        <f>G374/G375</f>
        <v>0.56652168835779082</v>
      </c>
    </row>
    <row r="380" spans="1:8" x14ac:dyDescent="0.25">
      <c r="A380" s="3" t="s">
        <v>334</v>
      </c>
    </row>
    <row r="381" spans="1:8" x14ac:dyDescent="0.25">
      <c r="A381" s="3"/>
    </row>
    <row r="382" spans="1:8" x14ac:dyDescent="0.25">
      <c r="B382" s="52" t="s">
        <v>335</v>
      </c>
    </row>
    <row r="383" spans="1:8" x14ac:dyDescent="0.25">
      <c r="B383" s="52" t="s">
        <v>336</v>
      </c>
    </row>
    <row r="385" spans="1:3" x14ac:dyDescent="0.25">
      <c r="B385" s="52" t="s">
        <v>337</v>
      </c>
    </row>
    <row r="386" spans="1:3" x14ac:dyDescent="0.25">
      <c r="B386" s="52" t="s">
        <v>338</v>
      </c>
    </row>
    <row r="387" spans="1:3" x14ac:dyDescent="0.25">
      <c r="A387" s="52" t="s">
        <v>23</v>
      </c>
    </row>
    <row r="388" spans="1:3" x14ac:dyDescent="0.25">
      <c r="B388" s="1" t="s">
        <v>339</v>
      </c>
    </row>
    <row r="389" spans="1:3" x14ac:dyDescent="0.25">
      <c r="B389" s="1" t="s">
        <v>340</v>
      </c>
      <c r="C389" s="64"/>
    </row>
    <row r="390" spans="1:3" x14ac:dyDescent="0.25">
      <c r="B390" s="1" t="s">
        <v>341</v>
      </c>
    </row>
    <row r="391" spans="1:3" x14ac:dyDescent="0.25">
      <c r="B391" s="1" t="s">
        <v>342</v>
      </c>
      <c r="C391" s="64"/>
    </row>
    <row r="392" spans="1:3" x14ac:dyDescent="0.25">
      <c r="B392" s="1" t="s">
        <v>343</v>
      </c>
      <c r="C392" s="64"/>
    </row>
    <row r="393" spans="1:3" x14ac:dyDescent="0.25">
      <c r="B393" s="64"/>
    </row>
    <row r="394" spans="1:3" x14ac:dyDescent="0.25">
      <c r="A394" s="1" t="s">
        <v>344</v>
      </c>
      <c r="B394" s="64"/>
    </row>
    <row r="395" spans="1:3" x14ac:dyDescent="0.25">
      <c r="A395" s="4" t="s">
        <v>345</v>
      </c>
      <c r="B395" s="17">
        <f>(POWER(((6.56-((100-B234)/40))*(2*POWER(B219,1/2)+0.0122*B212)),2))*1.05/1000</f>
        <v>0.41347288304159008</v>
      </c>
      <c r="C395" s="1" t="s">
        <v>58</v>
      </c>
    </row>
    <row r="396" spans="1:3" x14ac:dyDescent="0.25">
      <c r="A396" s="4" t="s">
        <v>114</v>
      </c>
      <c r="B396" s="17">
        <f>B370</f>
        <v>0.55000000000000004</v>
      </c>
      <c r="C396" s="1" t="s">
        <v>58</v>
      </c>
    </row>
    <row r="397" spans="1:3" x14ac:dyDescent="0.25">
      <c r="A397" s="4" t="s">
        <v>26</v>
      </c>
      <c r="B397" s="17">
        <f>B366</f>
        <v>1.4</v>
      </c>
      <c r="C397" s="38" t="s">
        <v>48</v>
      </c>
    </row>
    <row r="398" spans="1:3" x14ac:dyDescent="0.25">
      <c r="A398" s="4" t="s">
        <v>346</v>
      </c>
      <c r="B398" s="18">
        <v>1750</v>
      </c>
      <c r="C398" s="38" t="s">
        <v>347</v>
      </c>
    </row>
    <row r="399" spans="1:3" x14ac:dyDescent="0.25">
      <c r="A399" s="4" t="s">
        <v>348</v>
      </c>
      <c r="B399" s="65">
        <f>B397*60/B396/3.1415</f>
        <v>48.616034609986535</v>
      </c>
      <c r="C399" s="38" t="s">
        <v>347</v>
      </c>
    </row>
    <row r="401" spans="1:11" x14ac:dyDescent="0.25">
      <c r="A401" s="1" t="s">
        <v>349</v>
      </c>
    </row>
    <row r="402" spans="1:11" x14ac:dyDescent="0.25">
      <c r="A402" s="1" t="s">
        <v>350</v>
      </c>
      <c r="B402" s="66">
        <v>1</v>
      </c>
      <c r="C402" s="65">
        <f>B398/B399</f>
        <v>35.99635416666667</v>
      </c>
      <c r="F402" s="240" t="s">
        <v>1398</v>
      </c>
      <c r="G402" s="240"/>
      <c r="H402" s="240"/>
      <c r="I402" s="240"/>
      <c r="J402" s="240"/>
      <c r="K402" s="240"/>
    </row>
    <row r="405" spans="1:11" x14ac:dyDescent="0.25">
      <c r="A405" s="3" t="s">
        <v>351</v>
      </c>
    </row>
    <row r="407" spans="1:11" x14ac:dyDescent="0.25">
      <c r="A407" s="3" t="s">
        <v>352</v>
      </c>
    </row>
    <row r="408" spans="1:11" ht="15" x14ac:dyDescent="0.25">
      <c r="A408" s="1" t="s">
        <v>353</v>
      </c>
    </row>
    <row r="409" spans="1:11" x14ac:dyDescent="0.25">
      <c r="A409" s="1" t="s">
        <v>354</v>
      </c>
    </row>
    <row r="410" spans="1:11" x14ac:dyDescent="0.25">
      <c r="A410" s="1" t="s">
        <v>355</v>
      </c>
    </row>
    <row r="411" spans="1:11" x14ac:dyDescent="0.25">
      <c r="B411" s="1" t="s">
        <v>356</v>
      </c>
    </row>
    <row r="412" spans="1:11" x14ac:dyDescent="0.25">
      <c r="B412" s="1" t="s">
        <v>357</v>
      </c>
    </row>
    <row r="413" spans="1:11" x14ac:dyDescent="0.25">
      <c r="B413" s="1" t="s">
        <v>358</v>
      </c>
    </row>
    <row r="414" spans="1:11" x14ac:dyDescent="0.25">
      <c r="B414" s="1" t="s">
        <v>359</v>
      </c>
    </row>
    <row r="415" spans="1:11" x14ac:dyDescent="0.25">
      <c r="B415" s="1" t="s">
        <v>360</v>
      </c>
    </row>
    <row r="416" spans="1:11" x14ac:dyDescent="0.25">
      <c r="B416" s="1" t="s">
        <v>361</v>
      </c>
    </row>
    <row r="417" spans="1:7" x14ac:dyDescent="0.25">
      <c r="A417" s="1" t="s">
        <v>55</v>
      </c>
    </row>
    <row r="419" spans="1:7" x14ac:dyDescent="0.25">
      <c r="A419" s="3" t="s">
        <v>362</v>
      </c>
    </row>
    <row r="421" spans="1:7" x14ac:dyDescent="0.25">
      <c r="A421" s="4" t="s">
        <v>278</v>
      </c>
      <c r="B421" s="67">
        <v>7030</v>
      </c>
      <c r="C421" s="1" t="s">
        <v>46</v>
      </c>
    </row>
    <row r="422" spans="1:7" x14ac:dyDescent="0.25">
      <c r="A422" s="4" t="s">
        <v>363</v>
      </c>
      <c r="B422" s="67">
        <v>1.5</v>
      </c>
      <c r="C422" s="1" t="s">
        <v>46</v>
      </c>
    </row>
    <row r="423" spans="1:7" x14ac:dyDescent="0.25">
      <c r="A423" s="4" t="s">
        <v>364</v>
      </c>
      <c r="B423" s="66">
        <f>B375</f>
        <v>10</v>
      </c>
      <c r="C423" s="1" t="s">
        <v>249</v>
      </c>
    </row>
    <row r="424" spans="1:7" x14ac:dyDescent="0.25">
      <c r="A424" s="4" t="s">
        <v>365</v>
      </c>
      <c r="B424" s="54">
        <v>1750</v>
      </c>
      <c r="C424" s="1" t="s">
        <v>347</v>
      </c>
    </row>
    <row r="426" spans="1:7" x14ac:dyDescent="0.25">
      <c r="A426" s="1" t="s">
        <v>256</v>
      </c>
      <c r="B426" s="4" t="s">
        <v>366</v>
      </c>
      <c r="C426" s="19">
        <f>B421*B422*B423/B424</f>
        <v>60.25714285714286</v>
      </c>
      <c r="D426" s="1" t="s">
        <v>367</v>
      </c>
    </row>
    <row r="428" spans="1:7" x14ac:dyDescent="0.25">
      <c r="A428" s="1" t="s">
        <v>265</v>
      </c>
      <c r="B428" s="1" t="s">
        <v>368</v>
      </c>
    </row>
    <row r="430" spans="1:7" x14ac:dyDescent="0.25">
      <c r="A430" s="3" t="s">
        <v>369</v>
      </c>
    </row>
    <row r="432" spans="1:7" x14ac:dyDescent="0.25">
      <c r="A432" s="4" t="s">
        <v>278</v>
      </c>
      <c r="B432" s="67">
        <v>7030</v>
      </c>
      <c r="C432" s="1" t="s">
        <v>46</v>
      </c>
      <c r="E432" s="4" t="s">
        <v>1238</v>
      </c>
      <c r="G432" s="1" t="s">
        <v>1322</v>
      </c>
    </row>
    <row r="433" spans="1:9" x14ac:dyDescent="0.25">
      <c r="A433" s="4" t="s">
        <v>363</v>
      </c>
      <c r="B433" s="67">
        <v>1.5</v>
      </c>
      <c r="C433" s="1" t="s">
        <v>46</v>
      </c>
      <c r="E433" s="152">
        <f>B212*5</f>
        <v>165</v>
      </c>
      <c r="F433" s="1" t="s">
        <v>1323</v>
      </c>
      <c r="G433" s="4" t="s">
        <v>1324</v>
      </c>
      <c r="H433" s="234">
        <v>25</v>
      </c>
      <c r="I433" s="1" t="s">
        <v>307</v>
      </c>
    </row>
    <row r="434" spans="1:9" x14ac:dyDescent="0.25">
      <c r="A434" s="4" t="s">
        <v>364</v>
      </c>
      <c r="B434" s="66">
        <f>B423</f>
        <v>10</v>
      </c>
      <c r="C434" s="1" t="s">
        <v>249</v>
      </c>
      <c r="D434" s="4" t="s">
        <v>1325</v>
      </c>
      <c r="E434" s="69">
        <f>H434*E433</f>
        <v>12958.687500000002</v>
      </c>
      <c r="F434" s="1" t="s">
        <v>1326</v>
      </c>
      <c r="G434" s="4" t="s">
        <v>278</v>
      </c>
      <c r="H434" s="234">
        <f>H433*3.1415</f>
        <v>78.537500000000009</v>
      </c>
      <c r="I434" s="1" t="s">
        <v>307</v>
      </c>
    </row>
    <row r="435" spans="1:9" x14ac:dyDescent="0.25">
      <c r="A435" s="4" t="s">
        <v>365</v>
      </c>
      <c r="B435" s="68">
        <f>B399</f>
        <v>48.616034609986535</v>
      </c>
      <c r="C435" s="1" t="s">
        <v>347</v>
      </c>
    </row>
    <row r="436" spans="1:9" x14ac:dyDescent="0.25">
      <c r="A436" s="4"/>
    </row>
    <row r="437" spans="1:9" x14ac:dyDescent="0.25">
      <c r="A437" s="1" t="s">
        <v>256</v>
      </c>
      <c r="B437" s="4" t="s">
        <v>366</v>
      </c>
      <c r="C437" s="69">
        <f>B432*B433*B434/B435</f>
        <v>2169.0374553571432</v>
      </c>
      <c r="D437" s="1" t="s">
        <v>367</v>
      </c>
      <c r="F437" s="4" t="s">
        <v>370</v>
      </c>
      <c r="G437" s="67">
        <v>6.5</v>
      </c>
      <c r="H437" s="1" t="s">
        <v>46</v>
      </c>
      <c r="I437" s="42" t="s">
        <v>1327</v>
      </c>
    </row>
    <row r="438" spans="1:9" x14ac:dyDescent="0.25">
      <c r="B438" s="4" t="s">
        <v>366</v>
      </c>
      <c r="C438" s="69">
        <f>B432*B433*B434/(9.8*B435)</f>
        <v>221.33035258746358</v>
      </c>
      <c r="D438" s="1" t="s">
        <v>371</v>
      </c>
      <c r="F438" s="4" t="s">
        <v>372</v>
      </c>
      <c r="G438" s="69">
        <f>C437*G437/15</f>
        <v>939.9162306547621</v>
      </c>
      <c r="H438" s="1" t="s">
        <v>373</v>
      </c>
      <c r="I438" s="234" t="s">
        <v>1328</v>
      </c>
    </row>
    <row r="439" spans="1:9" x14ac:dyDescent="0.25">
      <c r="B439" s="4"/>
    </row>
    <row r="440" spans="1:9" x14ac:dyDescent="0.25">
      <c r="B440" s="4" t="s">
        <v>1329</v>
      </c>
      <c r="C440" s="235">
        <f>H433/200</f>
        <v>0.125</v>
      </c>
      <c r="D440" s="1" t="s">
        <v>1330</v>
      </c>
      <c r="E440" s="69">
        <f>C438/C440</f>
        <v>1770.6428206997086</v>
      </c>
      <c r="F440" s="1" t="s">
        <v>1326</v>
      </c>
    </row>
    <row r="442" spans="1:9" x14ac:dyDescent="0.25">
      <c r="A442" s="1" t="s">
        <v>265</v>
      </c>
      <c r="B442" s="1" t="s">
        <v>374</v>
      </c>
    </row>
    <row r="444" spans="1:9" x14ac:dyDescent="0.25">
      <c r="A444" s="3" t="s">
        <v>375</v>
      </c>
    </row>
    <row r="445" spans="1:9" x14ac:dyDescent="0.25">
      <c r="A445" s="3" t="s">
        <v>376</v>
      </c>
    </row>
    <row r="447" spans="1:9" x14ac:dyDescent="0.25">
      <c r="A447" s="3" t="s">
        <v>377</v>
      </c>
    </row>
    <row r="450" spans="1:4" x14ac:dyDescent="0.25">
      <c r="B450" s="1" t="s">
        <v>378</v>
      </c>
      <c r="D450" s="70" t="s">
        <v>379</v>
      </c>
    </row>
    <row r="451" spans="1:4" x14ac:dyDescent="0.25">
      <c r="C451" s="42" t="s">
        <v>380</v>
      </c>
      <c r="D451" s="42" t="s">
        <v>381</v>
      </c>
    </row>
    <row r="453" spans="1:4" x14ac:dyDescent="0.25">
      <c r="A453" s="1" t="s">
        <v>382</v>
      </c>
    </row>
    <row r="455" spans="1:4" x14ac:dyDescent="0.25">
      <c r="B455" s="1" t="s">
        <v>383</v>
      </c>
    </row>
    <row r="456" spans="1:4" x14ac:dyDescent="0.25">
      <c r="C456" s="1" t="s">
        <v>384</v>
      </c>
    </row>
    <row r="458" spans="1:4" x14ac:dyDescent="0.25">
      <c r="A458" s="1" t="s">
        <v>385</v>
      </c>
    </row>
    <row r="460" spans="1:4" x14ac:dyDescent="0.25">
      <c r="A460" s="4" t="s">
        <v>386</v>
      </c>
      <c r="B460" s="1" t="s">
        <v>387</v>
      </c>
    </row>
    <row r="461" spans="1:4" x14ac:dyDescent="0.25">
      <c r="A461" s="4" t="s">
        <v>28</v>
      </c>
      <c r="B461" s="1" t="s">
        <v>388</v>
      </c>
    </row>
    <row r="462" spans="1:4" x14ac:dyDescent="0.25">
      <c r="A462" s="4" t="s">
        <v>248</v>
      </c>
      <c r="B462" s="1" t="s">
        <v>389</v>
      </c>
    </row>
    <row r="463" spans="1:4" x14ac:dyDescent="0.25">
      <c r="A463" s="4" t="s">
        <v>278</v>
      </c>
      <c r="B463" s="1" t="s">
        <v>390</v>
      </c>
    </row>
    <row r="465" spans="1:4" x14ac:dyDescent="0.25">
      <c r="A465" s="3" t="s">
        <v>391</v>
      </c>
    </row>
    <row r="466" spans="1:4" x14ac:dyDescent="0.25">
      <c r="B466" s="4" t="s">
        <v>386</v>
      </c>
      <c r="C466" s="18">
        <v>50000</v>
      </c>
      <c r="D466" s="1" t="s">
        <v>392</v>
      </c>
    </row>
    <row r="467" spans="1:4" x14ac:dyDescent="0.25">
      <c r="B467" s="4" t="s">
        <v>28</v>
      </c>
      <c r="C467" s="17">
        <f>B435</f>
        <v>48.616034609986535</v>
      </c>
      <c r="D467" s="1" t="s">
        <v>347</v>
      </c>
    </row>
    <row r="468" spans="1:4" x14ac:dyDescent="0.25">
      <c r="B468" s="4" t="s">
        <v>248</v>
      </c>
      <c r="C468" s="69">
        <f>9.8*B326/2</f>
        <v>8453.7074488859998</v>
      </c>
      <c r="D468" s="1" t="s">
        <v>393</v>
      </c>
    </row>
    <row r="469" spans="1:4" x14ac:dyDescent="0.25">
      <c r="A469" s="4" t="s">
        <v>394</v>
      </c>
      <c r="B469" s="4"/>
    </row>
    <row r="470" spans="1:4" x14ac:dyDescent="0.25">
      <c r="B470" s="4" t="s">
        <v>278</v>
      </c>
      <c r="C470" s="69">
        <f>C468*POWER((C466*C467*60/1000000),1/3)</f>
        <v>44498.715709514247</v>
      </c>
      <c r="D470" s="1" t="s">
        <v>393</v>
      </c>
    </row>
    <row r="471" spans="1:4" x14ac:dyDescent="0.25">
      <c r="B471" s="4"/>
    </row>
    <row r="473" spans="1:4" x14ac:dyDescent="0.25">
      <c r="A473" s="3" t="s">
        <v>395</v>
      </c>
    </row>
    <row r="474" spans="1:4" x14ac:dyDescent="0.25">
      <c r="B474" s="4" t="s">
        <v>386</v>
      </c>
      <c r="C474" s="18">
        <v>50000</v>
      </c>
      <c r="D474" s="1" t="s">
        <v>392</v>
      </c>
    </row>
    <row r="475" spans="1:4" x14ac:dyDescent="0.25">
      <c r="B475" s="4" t="s">
        <v>28</v>
      </c>
      <c r="C475" s="17">
        <f>C467</f>
        <v>48.616034609986535</v>
      </c>
      <c r="D475" s="1" t="s">
        <v>347</v>
      </c>
    </row>
    <row r="476" spans="1:4" x14ac:dyDescent="0.25">
      <c r="B476" s="4" t="s">
        <v>248</v>
      </c>
      <c r="C476" s="69">
        <f>9.8*B340/2</f>
        <v>1486.6896660520936</v>
      </c>
      <c r="D476" s="1" t="s">
        <v>393</v>
      </c>
    </row>
    <row r="477" spans="1:4" x14ac:dyDescent="0.25">
      <c r="A477" s="4" t="s">
        <v>394</v>
      </c>
    </row>
    <row r="478" spans="1:4" x14ac:dyDescent="0.25">
      <c r="B478" s="4" t="s">
        <v>278</v>
      </c>
      <c r="C478" s="69">
        <f>C476*POWER((C474*C475*60/1000000),1/3)</f>
        <v>7825.6529691765672</v>
      </c>
      <c r="D478" s="1" t="s">
        <v>393</v>
      </c>
    </row>
    <row r="482" spans="2:2" x14ac:dyDescent="0.25">
      <c r="B482" s="1" t="s">
        <v>396</v>
      </c>
    </row>
    <row r="483" spans="2:2" x14ac:dyDescent="0.25">
      <c r="B483" s="1" t="s">
        <v>397</v>
      </c>
    </row>
    <row r="484" spans="2:2" x14ac:dyDescent="0.25">
      <c r="B484" s="1" t="s">
        <v>398</v>
      </c>
    </row>
  </sheetData>
  <mergeCells count="2">
    <mergeCell ref="F219:K219"/>
    <mergeCell ref="F402:K402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8E04-24E3-4D73-BD16-0E6F95001D4F}">
  <sheetPr>
    <tabColor theme="9" tint="0.59999389629810485"/>
  </sheetPr>
  <dimension ref="A2:E137"/>
  <sheetViews>
    <sheetView topLeftCell="A115" zoomScale="101" workbookViewId="0">
      <selection activeCell="C5" sqref="C5"/>
    </sheetView>
  </sheetViews>
  <sheetFormatPr defaultColWidth="9.21875" defaultRowHeight="13.2" x14ac:dyDescent="0.25"/>
  <cols>
    <col min="1" max="1" width="9.21875" style="114"/>
    <col min="2" max="2" width="18.44140625" style="114" customWidth="1"/>
    <col min="3" max="3" width="9.21875" style="114" customWidth="1"/>
    <col min="4" max="4" width="99.77734375" style="114" bestFit="1" customWidth="1"/>
    <col min="5" max="16384" width="9.21875" style="114"/>
  </cols>
  <sheetData>
    <row r="2" spans="1:4" x14ac:dyDescent="0.25">
      <c r="A2" s="209" t="s">
        <v>1233</v>
      </c>
      <c r="B2" s="209" t="s">
        <v>1234</v>
      </c>
      <c r="C2" s="209" t="s">
        <v>1235</v>
      </c>
      <c r="D2" s="209" t="s">
        <v>1236</v>
      </c>
    </row>
    <row r="3" spans="1:4" x14ac:dyDescent="0.25">
      <c r="A3" s="259" t="s">
        <v>1353</v>
      </c>
      <c r="B3" s="209" t="s">
        <v>1237</v>
      </c>
      <c r="C3" s="210">
        <v>1</v>
      </c>
      <c r="D3" s="209" t="s">
        <v>1395</v>
      </c>
    </row>
    <row r="4" spans="1:4" x14ac:dyDescent="0.25">
      <c r="A4" s="259"/>
      <c r="B4" s="209" t="s">
        <v>1238</v>
      </c>
      <c r="C4" s="210">
        <v>46</v>
      </c>
      <c r="D4" s="209" t="s">
        <v>1396</v>
      </c>
    </row>
    <row r="5" spans="1:4" x14ac:dyDescent="0.25">
      <c r="A5" s="259"/>
      <c r="B5" s="209" t="s">
        <v>1239</v>
      </c>
      <c r="C5" s="210">
        <v>2</v>
      </c>
      <c r="D5" s="209" t="s">
        <v>1250</v>
      </c>
    </row>
    <row r="6" spans="1:4" x14ac:dyDescent="0.25">
      <c r="A6" s="259"/>
      <c r="B6" s="209" t="s">
        <v>1240</v>
      </c>
      <c r="C6" s="210">
        <v>2</v>
      </c>
      <c r="D6" s="209" t="s">
        <v>1400</v>
      </c>
    </row>
    <row r="7" spans="1:4" x14ac:dyDescent="0.25">
      <c r="A7" s="259"/>
      <c r="B7" s="209" t="s">
        <v>90</v>
      </c>
      <c r="C7" s="210">
        <v>1</v>
      </c>
      <c r="D7" s="209" t="s">
        <v>1401</v>
      </c>
    </row>
    <row r="8" spans="1:4" x14ac:dyDescent="0.25">
      <c r="A8" s="259"/>
      <c r="B8" s="209" t="s">
        <v>1241</v>
      </c>
      <c r="C8" s="210">
        <v>1</v>
      </c>
      <c r="D8" s="209" t="s">
        <v>1255</v>
      </c>
    </row>
    <row r="9" spans="1:4" x14ac:dyDescent="0.25">
      <c r="A9" s="259"/>
      <c r="B9" s="209" t="s">
        <v>1242</v>
      </c>
      <c r="C9" s="210">
        <v>1</v>
      </c>
      <c r="D9" s="209" t="s">
        <v>1256</v>
      </c>
    </row>
    <row r="10" spans="1:4" x14ac:dyDescent="0.25">
      <c r="A10" s="259"/>
      <c r="B10" s="209" t="s">
        <v>1243</v>
      </c>
      <c r="C10" s="210">
        <v>1</v>
      </c>
      <c r="D10" s="209" t="s">
        <v>1257</v>
      </c>
    </row>
    <row r="11" spans="1:4" x14ac:dyDescent="0.25">
      <c r="A11" s="259"/>
      <c r="B11" s="209" t="s">
        <v>1244</v>
      </c>
      <c r="C11" s="210">
        <v>4</v>
      </c>
      <c r="D11" s="209" t="s">
        <v>1258</v>
      </c>
    </row>
    <row r="12" spans="1:4" x14ac:dyDescent="0.25">
      <c r="A12" s="259"/>
      <c r="B12" s="209" t="s">
        <v>1244</v>
      </c>
      <c r="C12" s="210">
        <v>2</v>
      </c>
      <c r="D12" s="209" t="s">
        <v>1245</v>
      </c>
    </row>
    <row r="13" spans="1:4" x14ac:dyDescent="0.25">
      <c r="A13" s="259"/>
      <c r="B13" s="209" t="s">
        <v>1259</v>
      </c>
      <c r="C13" s="210">
        <v>104</v>
      </c>
      <c r="D13" s="209" t="s">
        <v>1260</v>
      </c>
    </row>
    <row r="15" spans="1:4" x14ac:dyDescent="0.25">
      <c r="A15" s="259" t="s">
        <v>1352</v>
      </c>
      <c r="B15" s="209" t="s">
        <v>1237</v>
      </c>
      <c r="C15" s="210">
        <v>1</v>
      </c>
      <c r="D15" s="209" t="s">
        <v>1397</v>
      </c>
    </row>
    <row r="16" spans="1:4" x14ac:dyDescent="0.25">
      <c r="A16" s="259"/>
      <c r="B16" s="209" t="s">
        <v>1238</v>
      </c>
      <c r="C16" s="210">
        <v>45</v>
      </c>
      <c r="D16" s="209" t="s">
        <v>1396</v>
      </c>
    </row>
    <row r="17" spans="1:4" x14ac:dyDescent="0.25">
      <c r="A17" s="259"/>
      <c r="B17" s="209" t="s">
        <v>1239</v>
      </c>
      <c r="C17" s="210">
        <v>2</v>
      </c>
      <c r="D17" s="209" t="s">
        <v>1250</v>
      </c>
    </row>
    <row r="18" spans="1:4" x14ac:dyDescent="0.25">
      <c r="A18" s="259"/>
      <c r="B18" s="209" t="s">
        <v>1240</v>
      </c>
      <c r="C18" s="210">
        <v>2</v>
      </c>
      <c r="D18" s="209" t="s">
        <v>1400</v>
      </c>
    </row>
    <row r="19" spans="1:4" x14ac:dyDescent="0.25">
      <c r="A19" s="259"/>
      <c r="B19" s="209" t="s">
        <v>90</v>
      </c>
      <c r="C19" s="210">
        <v>1</v>
      </c>
      <c r="D19" s="209" t="s">
        <v>1402</v>
      </c>
    </row>
    <row r="20" spans="1:4" x14ac:dyDescent="0.25">
      <c r="A20" s="259"/>
      <c r="B20" s="209" t="s">
        <v>1241</v>
      </c>
      <c r="C20" s="210">
        <v>1</v>
      </c>
      <c r="D20" s="209" t="s">
        <v>1403</v>
      </c>
    </row>
    <row r="21" spans="1:4" x14ac:dyDescent="0.25">
      <c r="A21" s="259"/>
      <c r="B21" s="209" t="s">
        <v>1242</v>
      </c>
      <c r="C21" s="210">
        <v>1</v>
      </c>
      <c r="D21" s="209" t="s">
        <v>1264</v>
      </c>
    </row>
    <row r="22" spans="1:4" x14ac:dyDescent="0.25">
      <c r="A22" s="259"/>
      <c r="B22" s="209" t="s">
        <v>1243</v>
      </c>
      <c r="C22" s="210">
        <v>1</v>
      </c>
      <c r="D22" s="209" t="s">
        <v>1265</v>
      </c>
    </row>
    <row r="23" spans="1:4" x14ac:dyDescent="0.25">
      <c r="A23" s="259"/>
      <c r="B23" s="209" t="s">
        <v>1244</v>
      </c>
      <c r="C23" s="210">
        <v>4</v>
      </c>
      <c r="D23" s="209" t="s">
        <v>1267</v>
      </c>
    </row>
    <row r="24" spans="1:4" x14ac:dyDescent="0.25">
      <c r="A24" s="259"/>
      <c r="B24" s="209" t="s">
        <v>1268</v>
      </c>
      <c r="C24" s="210">
        <v>2</v>
      </c>
      <c r="D24" s="209" t="s">
        <v>1269</v>
      </c>
    </row>
    <row r="25" spans="1:4" x14ac:dyDescent="0.25">
      <c r="A25" s="259"/>
      <c r="B25" s="209" t="s">
        <v>1259</v>
      </c>
      <c r="C25" s="210">
        <v>102</v>
      </c>
      <c r="D25" s="209" t="s">
        <v>1270</v>
      </c>
    </row>
    <row r="27" spans="1:4" ht="12.75" customHeight="1" x14ac:dyDescent="0.25">
      <c r="A27" s="259" t="s">
        <v>1306</v>
      </c>
      <c r="B27" s="209" t="s">
        <v>1307</v>
      </c>
      <c r="C27" s="210">
        <v>1</v>
      </c>
      <c r="D27" s="209" t="s">
        <v>1340</v>
      </c>
    </row>
    <row r="28" spans="1:4" x14ac:dyDescent="0.25">
      <c r="A28" s="259"/>
      <c r="B28" s="209" t="s">
        <v>1240</v>
      </c>
      <c r="C28" s="210">
        <v>2</v>
      </c>
      <c r="D28" s="209" t="s">
        <v>1261</v>
      </c>
    </row>
    <row r="29" spans="1:4" x14ac:dyDescent="0.25">
      <c r="A29" s="259"/>
      <c r="B29" s="209" t="s">
        <v>1308</v>
      </c>
      <c r="C29" s="210">
        <v>1</v>
      </c>
      <c r="D29" s="209" t="s">
        <v>1312</v>
      </c>
    </row>
    <row r="30" spans="1:4" x14ac:dyDescent="0.25">
      <c r="A30" s="259"/>
      <c r="B30" s="209" t="s">
        <v>1309</v>
      </c>
      <c r="C30" s="210">
        <v>1</v>
      </c>
      <c r="D30" s="209" t="s">
        <v>1313</v>
      </c>
    </row>
    <row r="31" spans="1:4" x14ac:dyDescent="0.25">
      <c r="A31" s="212"/>
      <c r="C31" s="124"/>
    </row>
    <row r="32" spans="1:4" x14ac:dyDescent="0.25">
      <c r="A32" s="260" t="s">
        <v>1266</v>
      </c>
      <c r="B32" s="211" t="s">
        <v>1237</v>
      </c>
      <c r="C32" s="210">
        <v>1</v>
      </c>
      <c r="D32" s="209" t="s">
        <v>1341</v>
      </c>
    </row>
    <row r="33" spans="1:5" x14ac:dyDescent="0.25">
      <c r="A33" s="261"/>
      <c r="B33" s="209" t="s">
        <v>1347</v>
      </c>
      <c r="C33" s="210">
        <v>2</v>
      </c>
      <c r="D33" s="209" t="s">
        <v>1283</v>
      </c>
    </row>
    <row r="34" spans="1:5" x14ac:dyDescent="0.25">
      <c r="A34" s="261"/>
      <c r="B34" s="209" t="s">
        <v>1274</v>
      </c>
      <c r="C34" s="210">
        <v>1</v>
      </c>
      <c r="D34" s="209" t="s">
        <v>1275</v>
      </c>
    </row>
    <row r="35" spans="1:5" x14ac:dyDescent="0.25">
      <c r="A35" s="261"/>
      <c r="B35" s="209" t="s">
        <v>1276</v>
      </c>
      <c r="C35" s="210">
        <v>1</v>
      </c>
      <c r="D35" s="209" t="s">
        <v>1277</v>
      </c>
    </row>
    <row r="36" spans="1:5" x14ac:dyDescent="0.25">
      <c r="A36" s="261"/>
      <c r="B36" s="209" t="s">
        <v>1242</v>
      </c>
      <c r="C36" s="210">
        <v>1</v>
      </c>
      <c r="D36" s="209" t="s">
        <v>1278</v>
      </c>
    </row>
    <row r="37" spans="1:5" x14ac:dyDescent="0.25">
      <c r="A37" s="261"/>
      <c r="B37" s="209" t="s">
        <v>1348</v>
      </c>
      <c r="C37" s="210">
        <v>1</v>
      </c>
      <c r="D37" s="209" t="s">
        <v>1279</v>
      </c>
    </row>
    <row r="38" spans="1:5" x14ac:dyDescent="0.25">
      <c r="A38" s="262"/>
      <c r="B38" s="209" t="s">
        <v>1359</v>
      </c>
      <c r="C38" s="210">
        <v>6</v>
      </c>
      <c r="D38" s="209" t="s">
        <v>1280</v>
      </c>
    </row>
    <row r="40" spans="1:5" x14ac:dyDescent="0.25">
      <c r="A40" s="260" t="s">
        <v>1357</v>
      </c>
      <c r="B40" s="211" t="s">
        <v>1358</v>
      </c>
      <c r="C40" s="210">
        <v>2</v>
      </c>
      <c r="D40" s="237" t="s">
        <v>1361</v>
      </c>
    </row>
    <row r="41" spans="1:5" x14ac:dyDescent="0.25">
      <c r="A41" s="261"/>
      <c r="B41" s="209" t="s">
        <v>1372</v>
      </c>
      <c r="C41" s="210">
        <v>60</v>
      </c>
      <c r="D41" s="236" t="s">
        <v>1375</v>
      </c>
    </row>
    <row r="42" spans="1:5" x14ac:dyDescent="0.25">
      <c r="A42" s="261"/>
      <c r="B42" s="209" t="s">
        <v>1373</v>
      </c>
      <c r="C42" s="210">
        <v>60</v>
      </c>
      <c r="D42" s="236" t="s">
        <v>1376</v>
      </c>
      <c r="E42" s="114" t="s">
        <v>1379</v>
      </c>
    </row>
    <row r="43" spans="1:5" x14ac:dyDescent="0.25">
      <c r="A43" s="261"/>
      <c r="B43" s="209" t="s">
        <v>1373</v>
      </c>
      <c r="C43" s="210">
        <v>12</v>
      </c>
      <c r="D43" s="236" t="s">
        <v>1377</v>
      </c>
    </row>
    <row r="44" spans="1:5" x14ac:dyDescent="0.25">
      <c r="A44" s="261"/>
      <c r="B44" s="209" t="s">
        <v>1374</v>
      </c>
      <c r="C44" s="210">
        <v>24</v>
      </c>
      <c r="D44" s="236" t="s">
        <v>1378</v>
      </c>
    </row>
    <row r="45" spans="1:5" x14ac:dyDescent="0.25">
      <c r="A45" s="262"/>
      <c r="B45" s="209" t="s">
        <v>1359</v>
      </c>
      <c r="C45" s="210">
        <v>6</v>
      </c>
      <c r="D45" s="209" t="s">
        <v>1362</v>
      </c>
    </row>
    <row r="46" spans="1:5" x14ac:dyDescent="0.25">
      <c r="A46" s="212"/>
      <c r="C46" s="124"/>
    </row>
    <row r="47" spans="1:5" x14ac:dyDescent="0.25">
      <c r="A47" s="260" t="s">
        <v>1281</v>
      </c>
      <c r="B47" s="211" t="s">
        <v>1237</v>
      </c>
      <c r="C47" s="210">
        <v>1</v>
      </c>
      <c r="D47" s="209" t="s">
        <v>1342</v>
      </c>
    </row>
    <row r="48" spans="1:5" x14ac:dyDescent="0.25">
      <c r="A48" s="261"/>
      <c r="B48" s="209" t="s">
        <v>1347</v>
      </c>
      <c r="C48" s="210">
        <v>2</v>
      </c>
      <c r="D48" s="209" t="s">
        <v>1287</v>
      </c>
    </row>
    <row r="49" spans="1:4" x14ac:dyDescent="0.25">
      <c r="A49" s="261"/>
      <c r="B49" s="209" t="s">
        <v>1274</v>
      </c>
      <c r="C49" s="210">
        <v>1</v>
      </c>
      <c r="D49" s="209" t="s">
        <v>1284</v>
      </c>
    </row>
    <row r="50" spans="1:4" x14ac:dyDescent="0.25">
      <c r="A50" s="261"/>
      <c r="B50" s="209" t="s">
        <v>1276</v>
      </c>
      <c r="C50" s="210">
        <v>1</v>
      </c>
      <c r="D50" s="209" t="s">
        <v>1285</v>
      </c>
    </row>
    <row r="51" spans="1:4" x14ac:dyDescent="0.25">
      <c r="A51" s="261"/>
      <c r="B51" s="209" t="s">
        <v>1242</v>
      </c>
      <c r="C51" s="210">
        <v>1</v>
      </c>
      <c r="D51" s="209" t="s">
        <v>1288</v>
      </c>
    </row>
    <row r="52" spans="1:4" x14ac:dyDescent="0.25">
      <c r="A52" s="261"/>
      <c r="B52" s="209" t="s">
        <v>1348</v>
      </c>
      <c r="C52" s="210">
        <v>1</v>
      </c>
      <c r="D52" s="209" t="s">
        <v>1289</v>
      </c>
    </row>
    <row r="53" spans="1:4" x14ac:dyDescent="0.25">
      <c r="A53" s="262"/>
      <c r="B53" s="209" t="s">
        <v>1359</v>
      </c>
      <c r="C53" s="210">
        <v>6</v>
      </c>
      <c r="D53" s="209" t="s">
        <v>1286</v>
      </c>
    </row>
    <row r="54" spans="1:4" x14ac:dyDescent="0.25">
      <c r="A54" s="212"/>
      <c r="C54" s="124"/>
    </row>
    <row r="55" spans="1:4" ht="12.75" customHeight="1" x14ac:dyDescent="0.25">
      <c r="A55" s="259" t="s">
        <v>1354</v>
      </c>
      <c r="B55" s="209" t="s">
        <v>1237</v>
      </c>
      <c r="C55" s="210">
        <v>1</v>
      </c>
      <c r="D55" s="209" t="s">
        <v>1343</v>
      </c>
    </row>
    <row r="56" spans="1:4" x14ac:dyDescent="0.25">
      <c r="A56" s="259"/>
      <c r="B56" s="209" t="s">
        <v>1249</v>
      </c>
      <c r="C56" s="210">
        <v>14</v>
      </c>
      <c r="D56" s="209" t="s">
        <v>1298</v>
      </c>
    </row>
    <row r="57" spans="1:4" x14ac:dyDescent="0.25">
      <c r="A57" s="259"/>
      <c r="B57" s="209" t="s">
        <v>1239</v>
      </c>
      <c r="C57" s="210">
        <v>2</v>
      </c>
      <c r="D57" s="209" t="s">
        <v>1287</v>
      </c>
    </row>
    <row r="58" spans="1:4" x14ac:dyDescent="0.25">
      <c r="A58" s="259"/>
      <c r="B58" s="209" t="s">
        <v>1240</v>
      </c>
      <c r="C58" s="210">
        <v>2</v>
      </c>
      <c r="D58" s="209" t="s">
        <v>1252</v>
      </c>
    </row>
    <row r="59" spans="1:4" x14ac:dyDescent="0.25">
      <c r="A59" s="259"/>
      <c r="B59" s="209" t="s">
        <v>90</v>
      </c>
      <c r="C59" s="210">
        <v>1</v>
      </c>
      <c r="D59" s="209" t="s">
        <v>1294</v>
      </c>
    </row>
    <row r="60" spans="1:4" x14ac:dyDescent="0.25">
      <c r="A60" s="259"/>
      <c r="B60" s="209" t="s">
        <v>1241</v>
      </c>
      <c r="C60" s="210">
        <v>1</v>
      </c>
      <c r="D60" s="209" t="s">
        <v>1295</v>
      </c>
    </row>
    <row r="61" spans="1:4" x14ac:dyDescent="0.25">
      <c r="A61" s="259"/>
      <c r="B61" s="209" t="s">
        <v>1242</v>
      </c>
      <c r="C61" s="210">
        <v>1</v>
      </c>
      <c r="D61" s="209" t="s">
        <v>1303</v>
      </c>
    </row>
    <row r="62" spans="1:4" x14ac:dyDescent="0.25">
      <c r="A62" s="259"/>
      <c r="B62" s="209" t="s">
        <v>1243</v>
      </c>
      <c r="C62" s="210">
        <v>1</v>
      </c>
      <c r="D62" s="209" t="s">
        <v>1293</v>
      </c>
    </row>
    <row r="63" spans="1:4" x14ac:dyDescent="0.25">
      <c r="A63" s="259"/>
      <c r="B63" s="209" t="s">
        <v>1244</v>
      </c>
      <c r="C63" s="210">
        <v>1</v>
      </c>
      <c r="D63" s="209" t="s">
        <v>1304</v>
      </c>
    </row>
    <row r="64" spans="1:4" x14ac:dyDescent="0.25">
      <c r="A64" s="259"/>
      <c r="B64" s="209" t="s">
        <v>1244</v>
      </c>
      <c r="C64" s="210">
        <v>1</v>
      </c>
      <c r="D64" s="209" t="s">
        <v>1254</v>
      </c>
    </row>
    <row r="65" spans="1:4" x14ac:dyDescent="0.25">
      <c r="A65" s="259"/>
      <c r="B65" s="209" t="s">
        <v>1248</v>
      </c>
      <c r="C65" s="210">
        <v>15</v>
      </c>
      <c r="D65" s="209" t="s">
        <v>1292</v>
      </c>
    </row>
    <row r="66" spans="1:4" x14ac:dyDescent="0.25">
      <c r="A66" s="259"/>
      <c r="B66" s="209" t="s">
        <v>1349</v>
      </c>
      <c r="C66" s="210"/>
      <c r="D66" s="209"/>
    </row>
    <row r="67" spans="1:4" x14ac:dyDescent="0.25">
      <c r="A67" s="259"/>
      <c r="B67" s="209" t="s">
        <v>1350</v>
      </c>
      <c r="C67" s="210"/>
      <c r="D67" s="209"/>
    </row>
    <row r="68" spans="1:4" x14ac:dyDescent="0.25">
      <c r="A68" s="212"/>
      <c r="C68" s="124"/>
    </row>
    <row r="69" spans="1:4" ht="12.75" customHeight="1" x14ac:dyDescent="0.25">
      <c r="A69" s="259" t="s">
        <v>1355</v>
      </c>
      <c r="B69" s="211" t="s">
        <v>1237</v>
      </c>
      <c r="C69" s="210">
        <v>1</v>
      </c>
      <c r="D69" s="209" t="s">
        <v>1344</v>
      </c>
    </row>
    <row r="70" spans="1:4" x14ac:dyDescent="0.25">
      <c r="A70" s="259"/>
      <c r="B70" s="209" t="s">
        <v>1249</v>
      </c>
      <c r="C70" s="210">
        <v>8</v>
      </c>
      <c r="D70" s="209" t="s">
        <v>1298</v>
      </c>
    </row>
    <row r="71" spans="1:4" x14ac:dyDescent="0.25">
      <c r="A71" s="259"/>
      <c r="B71" s="209" t="s">
        <v>1239</v>
      </c>
      <c r="C71" s="210">
        <v>2</v>
      </c>
      <c r="D71" s="209" t="s">
        <v>1287</v>
      </c>
    </row>
    <row r="72" spans="1:4" x14ac:dyDescent="0.25">
      <c r="A72" s="259"/>
      <c r="B72" s="209" t="s">
        <v>1240</v>
      </c>
      <c r="C72" s="210">
        <v>2</v>
      </c>
      <c r="D72" s="209" t="s">
        <v>1252</v>
      </c>
    </row>
    <row r="73" spans="1:4" x14ac:dyDescent="0.25">
      <c r="A73" s="259"/>
      <c r="B73" s="209" t="s">
        <v>90</v>
      </c>
      <c r="C73" s="210">
        <v>1</v>
      </c>
      <c r="D73" s="209" t="s">
        <v>1294</v>
      </c>
    </row>
    <row r="74" spans="1:4" x14ac:dyDescent="0.25">
      <c r="A74" s="259"/>
      <c r="B74" s="209" t="s">
        <v>1241</v>
      </c>
      <c r="C74" s="210">
        <v>1</v>
      </c>
      <c r="D74" s="209" t="s">
        <v>1295</v>
      </c>
    </row>
    <row r="75" spans="1:4" x14ac:dyDescent="0.25">
      <c r="A75" s="259"/>
      <c r="B75" s="209" t="s">
        <v>1242</v>
      </c>
      <c r="C75" s="210">
        <v>1</v>
      </c>
      <c r="D75" s="209" t="s">
        <v>1303</v>
      </c>
    </row>
    <row r="76" spans="1:4" x14ac:dyDescent="0.25">
      <c r="A76" s="259"/>
      <c r="B76" s="209" t="s">
        <v>1243</v>
      </c>
      <c r="C76" s="210">
        <v>1</v>
      </c>
      <c r="D76" s="209" t="s">
        <v>1293</v>
      </c>
    </row>
    <row r="77" spans="1:4" x14ac:dyDescent="0.25">
      <c r="A77" s="259"/>
      <c r="B77" s="209" t="s">
        <v>1244</v>
      </c>
      <c r="C77" s="210">
        <v>1</v>
      </c>
      <c r="D77" s="209" t="s">
        <v>1304</v>
      </c>
    </row>
    <row r="78" spans="1:4" x14ac:dyDescent="0.25">
      <c r="A78" s="259"/>
      <c r="B78" s="209" t="s">
        <v>1244</v>
      </c>
      <c r="C78" s="210">
        <v>1</v>
      </c>
      <c r="D78" s="209" t="s">
        <v>1254</v>
      </c>
    </row>
    <row r="79" spans="1:4" x14ac:dyDescent="0.25">
      <c r="A79" s="259"/>
      <c r="B79" s="209" t="s">
        <v>1248</v>
      </c>
      <c r="C79" s="210">
        <v>8</v>
      </c>
      <c r="D79" s="209" t="s">
        <v>1292</v>
      </c>
    </row>
    <row r="80" spans="1:4" x14ac:dyDescent="0.25">
      <c r="A80" s="259"/>
      <c r="B80" s="209" t="s">
        <v>1349</v>
      </c>
      <c r="C80" s="210"/>
      <c r="D80" s="209"/>
    </row>
    <row r="81" spans="1:4" x14ac:dyDescent="0.25">
      <c r="A81" s="259"/>
      <c r="B81" s="209" t="s">
        <v>1350</v>
      </c>
      <c r="C81" s="210"/>
      <c r="D81" s="209"/>
    </row>
    <row r="82" spans="1:4" x14ac:dyDescent="0.25">
      <c r="A82" s="212"/>
      <c r="C82" s="124"/>
    </row>
    <row r="83" spans="1:4" ht="12.75" customHeight="1" x14ac:dyDescent="0.25">
      <c r="A83" s="259" t="s">
        <v>1356</v>
      </c>
      <c r="B83" s="209" t="s">
        <v>1237</v>
      </c>
      <c r="C83" s="210">
        <v>1</v>
      </c>
      <c r="D83" s="209" t="s">
        <v>1381</v>
      </c>
    </row>
    <row r="84" spans="1:4" x14ac:dyDescent="0.25">
      <c r="A84" s="259"/>
      <c r="B84" s="209" t="s">
        <v>1249</v>
      </c>
      <c r="C84" s="210">
        <v>35</v>
      </c>
      <c r="D84" s="209" t="s">
        <v>1298</v>
      </c>
    </row>
    <row r="85" spans="1:4" x14ac:dyDescent="0.25">
      <c r="A85" s="259"/>
      <c r="B85" s="209" t="s">
        <v>1239</v>
      </c>
      <c r="C85" s="210">
        <v>2</v>
      </c>
      <c r="D85" s="209" t="s">
        <v>1287</v>
      </c>
    </row>
    <row r="86" spans="1:4" x14ac:dyDescent="0.25">
      <c r="A86" s="259"/>
      <c r="B86" s="209" t="s">
        <v>1240</v>
      </c>
      <c r="C86" s="210">
        <v>2</v>
      </c>
      <c r="D86" s="209" t="s">
        <v>1252</v>
      </c>
    </row>
    <row r="87" spans="1:4" x14ac:dyDescent="0.25">
      <c r="A87" s="259"/>
      <c r="B87" s="209" t="s">
        <v>90</v>
      </c>
      <c r="C87" s="210">
        <v>1</v>
      </c>
      <c r="D87" s="209" t="s">
        <v>1294</v>
      </c>
    </row>
    <row r="88" spans="1:4" x14ac:dyDescent="0.25">
      <c r="A88" s="259"/>
      <c r="B88" s="209" t="s">
        <v>1241</v>
      </c>
      <c r="C88" s="210">
        <v>1</v>
      </c>
      <c r="D88" s="209" t="s">
        <v>1295</v>
      </c>
    </row>
    <row r="89" spans="1:4" x14ac:dyDescent="0.25">
      <c r="A89" s="259"/>
      <c r="B89" s="209" t="s">
        <v>1242</v>
      </c>
      <c r="C89" s="210">
        <v>1</v>
      </c>
      <c r="D89" s="209" t="s">
        <v>1303</v>
      </c>
    </row>
    <row r="90" spans="1:4" x14ac:dyDescent="0.25">
      <c r="A90" s="259"/>
      <c r="B90" s="209" t="s">
        <v>1243</v>
      </c>
      <c r="C90" s="210">
        <v>1</v>
      </c>
      <c r="D90" s="209" t="s">
        <v>1293</v>
      </c>
    </row>
    <row r="91" spans="1:4" x14ac:dyDescent="0.25">
      <c r="A91" s="259"/>
      <c r="B91" s="209" t="s">
        <v>1244</v>
      </c>
      <c r="C91" s="210">
        <v>1</v>
      </c>
      <c r="D91" s="209" t="s">
        <v>1304</v>
      </c>
    </row>
    <row r="92" spans="1:4" x14ac:dyDescent="0.25">
      <c r="A92" s="259"/>
      <c r="B92" s="209" t="s">
        <v>1244</v>
      </c>
      <c r="C92" s="210">
        <v>1</v>
      </c>
      <c r="D92" s="209" t="s">
        <v>1254</v>
      </c>
    </row>
    <row r="93" spans="1:4" x14ac:dyDescent="0.25">
      <c r="A93" s="259"/>
      <c r="B93" s="209" t="s">
        <v>1248</v>
      </c>
      <c r="C93" s="210">
        <v>45</v>
      </c>
      <c r="D93" s="209" t="s">
        <v>1292</v>
      </c>
    </row>
    <row r="94" spans="1:4" x14ac:dyDescent="0.25">
      <c r="A94" s="259"/>
      <c r="B94" s="209" t="s">
        <v>1349</v>
      </c>
      <c r="C94" s="210"/>
      <c r="D94" s="209"/>
    </row>
    <row r="95" spans="1:4" x14ac:dyDescent="0.25">
      <c r="A95" s="259"/>
      <c r="B95" s="209" t="s">
        <v>1350</v>
      </c>
      <c r="C95" s="210"/>
      <c r="D95" s="209"/>
    </row>
    <row r="96" spans="1:4" x14ac:dyDescent="0.25">
      <c r="A96" s="212"/>
      <c r="C96" s="124"/>
    </row>
    <row r="97" spans="1:4" ht="12.75" customHeight="1" x14ac:dyDescent="0.25">
      <c r="A97" s="259" t="s">
        <v>1345</v>
      </c>
      <c r="B97" s="209" t="s">
        <v>1237</v>
      </c>
      <c r="C97" s="210">
        <v>1</v>
      </c>
      <c r="D97" s="209" t="s">
        <v>1388</v>
      </c>
    </row>
    <row r="98" spans="1:4" x14ac:dyDescent="0.25">
      <c r="A98" s="259"/>
      <c r="B98" s="209" t="s">
        <v>1249</v>
      </c>
      <c r="C98" s="210">
        <v>16</v>
      </c>
      <c r="D98" s="209" t="s">
        <v>1290</v>
      </c>
    </row>
    <row r="99" spans="1:4" x14ac:dyDescent="0.25">
      <c r="A99" s="259"/>
      <c r="B99" s="209" t="s">
        <v>1239</v>
      </c>
      <c r="C99" s="210">
        <v>2</v>
      </c>
      <c r="D99" s="209" t="s">
        <v>1251</v>
      </c>
    </row>
    <row r="100" spans="1:4" x14ac:dyDescent="0.25">
      <c r="A100" s="259"/>
      <c r="B100" s="209" t="s">
        <v>1240</v>
      </c>
      <c r="C100" s="210">
        <v>2</v>
      </c>
      <c r="D100" s="209" t="s">
        <v>1252</v>
      </c>
    </row>
    <row r="101" spans="1:4" x14ac:dyDescent="0.25">
      <c r="A101" s="259"/>
      <c r="B101" s="209" t="s">
        <v>90</v>
      </c>
      <c r="C101" s="210">
        <v>1</v>
      </c>
      <c r="D101" s="209" t="s">
        <v>1296</v>
      </c>
    </row>
    <row r="102" spans="1:4" x14ac:dyDescent="0.25">
      <c r="A102" s="259"/>
      <c r="B102" s="209" t="s">
        <v>1241</v>
      </c>
      <c r="C102" s="210">
        <v>1</v>
      </c>
      <c r="D102" s="209" t="s">
        <v>1297</v>
      </c>
    </row>
    <row r="103" spans="1:4" x14ac:dyDescent="0.25">
      <c r="A103" s="259"/>
      <c r="B103" s="209" t="s">
        <v>1242</v>
      </c>
      <c r="C103" s="210">
        <v>1</v>
      </c>
      <c r="D103" s="209" t="s">
        <v>1253</v>
      </c>
    </row>
    <row r="104" spans="1:4" x14ac:dyDescent="0.25">
      <c r="A104" s="259"/>
      <c r="B104" s="209" t="s">
        <v>1243</v>
      </c>
      <c r="C104" s="210">
        <v>1</v>
      </c>
      <c r="D104" s="209" t="s">
        <v>1293</v>
      </c>
    </row>
    <row r="105" spans="1:4" x14ac:dyDescent="0.25">
      <c r="A105" s="259"/>
      <c r="B105" s="209" t="s">
        <v>1244</v>
      </c>
      <c r="C105" s="210">
        <v>1</v>
      </c>
      <c r="D105" s="209" t="s">
        <v>1245</v>
      </c>
    </row>
    <row r="106" spans="1:4" x14ac:dyDescent="0.25">
      <c r="A106" s="259"/>
      <c r="B106" s="209" t="s">
        <v>1244</v>
      </c>
      <c r="C106" s="210">
        <v>1</v>
      </c>
      <c r="D106" s="209" t="s">
        <v>1254</v>
      </c>
    </row>
    <row r="107" spans="1:4" x14ac:dyDescent="0.25">
      <c r="A107" s="259"/>
      <c r="B107" s="209" t="s">
        <v>1246</v>
      </c>
      <c r="C107" s="210">
        <v>12</v>
      </c>
      <c r="D107" s="209" t="s">
        <v>1305</v>
      </c>
    </row>
    <row r="108" spans="1:4" x14ac:dyDescent="0.25">
      <c r="A108" s="259"/>
      <c r="B108" s="209" t="s">
        <v>1247</v>
      </c>
      <c r="C108" s="210">
        <f>C107*3</f>
        <v>36</v>
      </c>
      <c r="D108" s="209" t="s">
        <v>1291</v>
      </c>
    </row>
    <row r="109" spans="1:4" x14ac:dyDescent="0.25">
      <c r="A109" s="259"/>
      <c r="B109" s="209" t="s">
        <v>1248</v>
      </c>
      <c r="C109" s="210">
        <v>4</v>
      </c>
      <c r="D109" s="209" t="s">
        <v>1292</v>
      </c>
    </row>
    <row r="110" spans="1:4" x14ac:dyDescent="0.25">
      <c r="A110" s="259"/>
      <c r="B110" s="209" t="s">
        <v>1349</v>
      </c>
      <c r="C110" s="210"/>
      <c r="D110" s="209"/>
    </row>
    <row r="111" spans="1:4" x14ac:dyDescent="0.25">
      <c r="A111" s="259"/>
      <c r="B111" s="209" t="s">
        <v>1350</v>
      </c>
      <c r="C111" s="210"/>
      <c r="D111" s="209"/>
    </row>
    <row r="113" spans="1:4" x14ac:dyDescent="0.25">
      <c r="A113" s="259" t="s">
        <v>1351</v>
      </c>
      <c r="B113" s="209" t="s">
        <v>1237</v>
      </c>
      <c r="C113" s="210">
        <v>1</v>
      </c>
      <c r="D113" s="209" t="s">
        <v>1346</v>
      </c>
    </row>
    <row r="114" spans="1:4" x14ac:dyDescent="0.25">
      <c r="A114" s="259"/>
      <c r="B114" s="209" t="s">
        <v>1238</v>
      </c>
      <c r="C114" s="210">
        <v>26</v>
      </c>
      <c r="D114" s="209" t="s">
        <v>1317</v>
      </c>
    </row>
    <row r="115" spans="1:4" x14ac:dyDescent="0.25">
      <c r="A115" s="259"/>
      <c r="B115" s="209" t="s">
        <v>1239</v>
      </c>
      <c r="C115" s="210">
        <v>2</v>
      </c>
      <c r="D115" s="209" t="s">
        <v>1368</v>
      </c>
    </row>
    <row r="116" spans="1:4" x14ac:dyDescent="0.25">
      <c r="A116" s="259"/>
      <c r="B116" s="209" t="s">
        <v>1240</v>
      </c>
      <c r="C116" s="210">
        <v>2</v>
      </c>
      <c r="D116" s="209" t="s">
        <v>1369</v>
      </c>
    </row>
    <row r="117" spans="1:4" x14ac:dyDescent="0.25">
      <c r="A117" s="259"/>
      <c r="B117" s="125" t="s">
        <v>90</v>
      </c>
      <c r="C117" s="210">
        <v>1</v>
      </c>
      <c r="D117" s="209" t="s">
        <v>1262</v>
      </c>
    </row>
    <row r="118" spans="1:4" x14ac:dyDescent="0.25">
      <c r="A118" s="259"/>
      <c r="B118" s="125" t="s">
        <v>1241</v>
      </c>
      <c r="C118" s="210">
        <v>1</v>
      </c>
      <c r="D118" s="209" t="s">
        <v>1263</v>
      </c>
    </row>
    <row r="119" spans="1:4" x14ac:dyDescent="0.25">
      <c r="A119" s="259"/>
      <c r="B119" s="125" t="s">
        <v>1242</v>
      </c>
      <c r="C119" s="210">
        <v>1</v>
      </c>
      <c r="D119" s="209" t="s">
        <v>1333</v>
      </c>
    </row>
    <row r="120" spans="1:4" x14ac:dyDescent="0.25">
      <c r="A120" s="259"/>
      <c r="B120" s="209" t="s">
        <v>1243</v>
      </c>
      <c r="C120" s="210">
        <v>1</v>
      </c>
      <c r="D120" s="209" t="s">
        <v>1332</v>
      </c>
    </row>
    <row r="121" spans="1:4" x14ac:dyDescent="0.25">
      <c r="A121" s="259"/>
      <c r="B121" s="209" t="s">
        <v>1244</v>
      </c>
      <c r="C121" s="210">
        <v>4</v>
      </c>
      <c r="D121" s="209" t="s">
        <v>1334</v>
      </c>
    </row>
    <row r="122" spans="1:4" x14ac:dyDescent="0.25">
      <c r="A122" s="259"/>
      <c r="B122" s="209" t="s">
        <v>1268</v>
      </c>
      <c r="C122" s="210">
        <v>2</v>
      </c>
      <c r="D122" s="209" t="s">
        <v>1269</v>
      </c>
    </row>
    <row r="123" spans="1:4" x14ac:dyDescent="0.25">
      <c r="A123" s="259"/>
      <c r="B123" s="209" t="s">
        <v>1259</v>
      </c>
      <c r="C123" s="210">
        <v>86</v>
      </c>
      <c r="D123" s="209" t="s">
        <v>1331</v>
      </c>
    </row>
    <row r="125" spans="1:4" x14ac:dyDescent="0.25">
      <c r="A125" s="260" t="s">
        <v>1335</v>
      </c>
      <c r="B125" s="209" t="s">
        <v>1237</v>
      </c>
      <c r="C125" s="210">
        <v>1</v>
      </c>
      <c r="D125" s="125" t="s">
        <v>1399</v>
      </c>
    </row>
    <row r="126" spans="1:4" x14ac:dyDescent="0.25">
      <c r="A126" s="261"/>
      <c r="B126" s="209" t="s">
        <v>241</v>
      </c>
      <c r="C126" s="210"/>
      <c r="D126" s="236" t="s">
        <v>1370</v>
      </c>
    </row>
    <row r="127" spans="1:4" x14ac:dyDescent="0.25">
      <c r="A127" s="261"/>
      <c r="B127" s="209" t="s">
        <v>1363</v>
      </c>
      <c r="C127" s="210"/>
      <c r="D127" s="236" t="s">
        <v>1336</v>
      </c>
    </row>
    <row r="128" spans="1:4" x14ac:dyDescent="0.25">
      <c r="A128" s="261"/>
      <c r="B128" s="209" t="s">
        <v>1242</v>
      </c>
      <c r="C128" s="210"/>
      <c r="D128" s="236" t="s">
        <v>1337</v>
      </c>
    </row>
    <row r="129" spans="1:5" x14ac:dyDescent="0.25">
      <c r="A129" s="261"/>
      <c r="B129" s="209" t="s">
        <v>1348</v>
      </c>
      <c r="C129" s="210"/>
      <c r="D129" s="236" t="s">
        <v>1338</v>
      </c>
    </row>
    <row r="130" spans="1:5" x14ac:dyDescent="0.25">
      <c r="A130" s="261"/>
      <c r="B130" s="209" t="s">
        <v>1364</v>
      </c>
      <c r="C130" s="210"/>
      <c r="D130" s="236" t="s">
        <v>1286</v>
      </c>
    </row>
    <row r="131" spans="1:5" x14ac:dyDescent="0.25">
      <c r="A131" s="261"/>
      <c r="B131" s="209" t="s">
        <v>1365</v>
      </c>
      <c r="C131" s="210"/>
      <c r="D131" s="236"/>
    </row>
    <row r="132" spans="1:5" x14ac:dyDescent="0.25">
      <c r="A132" s="261"/>
      <c r="B132" s="209" t="s">
        <v>1366</v>
      </c>
      <c r="C132" s="210"/>
      <c r="D132" s="236"/>
    </row>
    <row r="133" spans="1:5" x14ac:dyDescent="0.25">
      <c r="A133" s="262"/>
      <c r="B133" s="209" t="s">
        <v>1367</v>
      </c>
      <c r="C133" s="210"/>
      <c r="D133" s="236" t="s">
        <v>1338</v>
      </c>
    </row>
    <row r="135" spans="1:5" ht="29.25" customHeight="1" x14ac:dyDescent="0.25">
      <c r="A135" s="259" t="s">
        <v>1339</v>
      </c>
      <c r="B135" s="209" t="s">
        <v>1237</v>
      </c>
      <c r="C135" s="210">
        <v>1</v>
      </c>
      <c r="D135" s="238" t="s">
        <v>1371</v>
      </c>
    </row>
    <row r="136" spans="1:5" x14ac:dyDescent="0.25">
      <c r="A136" s="259"/>
      <c r="B136" s="209" t="s">
        <v>1360</v>
      </c>
      <c r="C136" s="210">
        <v>2</v>
      </c>
      <c r="D136" s="236" t="s">
        <v>1287</v>
      </c>
      <c r="E136" s="114" t="s">
        <v>1380</v>
      </c>
    </row>
    <row r="137" spans="1:5" x14ac:dyDescent="0.25">
      <c r="A137" s="259"/>
      <c r="B137" s="209" t="s">
        <v>839</v>
      </c>
      <c r="C137" s="210">
        <v>1</v>
      </c>
      <c r="D137" s="236" t="s">
        <v>1337</v>
      </c>
    </row>
  </sheetData>
  <mergeCells count="13">
    <mergeCell ref="A3:A13"/>
    <mergeCell ref="A40:A45"/>
    <mergeCell ref="A15:A25"/>
    <mergeCell ref="A47:A53"/>
    <mergeCell ref="A27:A30"/>
    <mergeCell ref="A97:A111"/>
    <mergeCell ref="A32:A38"/>
    <mergeCell ref="A125:A133"/>
    <mergeCell ref="A135:A137"/>
    <mergeCell ref="A113:A123"/>
    <mergeCell ref="A55:A67"/>
    <mergeCell ref="A69:A81"/>
    <mergeCell ref="A83:A95"/>
  </mergeCells>
  <phoneticPr fontId="2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0EC2BF827CB945A8F46A45F294AC4C" ma:contentTypeVersion="21" ma:contentTypeDescription="Crie um novo documento." ma:contentTypeScope="" ma:versionID="0e8dc2eae986ce53260d7d090ce47ea8">
  <xsd:schema xmlns:xsd="http://www.w3.org/2001/XMLSchema" xmlns:xs="http://www.w3.org/2001/XMLSchema" xmlns:p="http://schemas.microsoft.com/office/2006/metadata/properties" xmlns:ns2="df29c834-487d-4169-b5f7-df2518b211a7" xmlns:ns3="7f65f881-607e-404c-b444-fa17ee638463" targetNamespace="http://schemas.microsoft.com/office/2006/metadata/properties" ma:root="true" ma:fieldsID="8dfbfded4d93bba9ef8c8af87fed0aae" ns2:_="" ns3:_="">
    <xsd:import namespace="df29c834-487d-4169-b5f7-df2518b211a7"/>
    <xsd:import namespace="7f65f881-607e-404c-b444-fa17ee638463"/>
    <xsd:element name="properties">
      <xsd:complexType>
        <xsd:sequence>
          <xsd:element name="documentManagement">
            <xsd:complexType>
              <xsd:all>
                <xsd:element ref="ns2:Detalh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9c834-487d-4169-b5f7-df2518b211a7" elementFormDefault="qualified">
    <xsd:import namespace="http://schemas.microsoft.com/office/2006/documentManagement/types"/>
    <xsd:import namespace="http://schemas.microsoft.com/office/infopath/2007/PartnerControls"/>
    <xsd:element name="Detalhes" ma:index="8" nillable="true" ma:displayName="Detalhes" ma:format="Dropdown" ma:internalName="Detalhes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72ee06-c8b0-409a-88d3-2b186a5b68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5f881-607e-404c-b444-fa17ee63846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995794d-4211-4901-8770-d06cb2ce1136}" ma:internalName="TaxCatchAll" ma:showField="CatchAllData" ma:web="7f65f881-607e-404c-b444-fa17ee6384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65f881-607e-404c-b444-fa17ee638463" xsi:nil="true"/>
    <lcf76f155ced4ddcb4097134ff3c332f xmlns="df29c834-487d-4169-b5f7-df2518b211a7">
      <Terms xmlns="http://schemas.microsoft.com/office/infopath/2007/PartnerControls"/>
    </lcf76f155ced4ddcb4097134ff3c332f>
    <_Flow_SignoffStatus xmlns="df29c834-487d-4169-b5f7-df2518b211a7" xsi:nil="true"/>
    <Detalhes xmlns="df29c834-487d-4169-b5f7-df2518b211a7" xsi:nil="true"/>
  </documentManagement>
</p:properties>
</file>

<file path=customXml/itemProps1.xml><?xml version="1.0" encoding="utf-8"?>
<ds:datastoreItem xmlns:ds="http://schemas.openxmlformats.org/officeDocument/2006/customXml" ds:itemID="{2AE614D9-DFCA-4BC4-980E-736053FDA1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AE0C9B-E77B-4975-B5E6-B14CF4993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9c834-487d-4169-b5f7-df2518b211a7"/>
    <ds:schemaRef ds:uri="7f65f881-607e-404c-b444-fa17ee638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6666B1-3AD7-47A8-B0CA-44D56FF68D4D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f65f881-607e-404c-b444-fa17ee638463"/>
    <ds:schemaRef ds:uri="df29c834-487d-4169-b5f7-df2518b211a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110-EL-001</vt:lpstr>
      <vt:lpstr>110-PN-001</vt:lpstr>
      <vt:lpstr>110-MO-001</vt:lpstr>
      <vt:lpstr>110-EL-002</vt:lpstr>
      <vt:lpstr>110-PN-002</vt:lpstr>
      <vt:lpstr>110-TP-001</vt:lpstr>
      <vt:lpstr>110-TP-002</vt:lpstr>
      <vt:lpstr>110-TP-003</vt:lpstr>
      <vt:lpstr>110-TP-004</vt:lpstr>
      <vt:lpstr>110 - EL- 003</vt:lpstr>
      <vt:lpstr>RESUMO</vt:lpstr>
      <vt:lpstr>'110-PN-001'!Area_de_impressao</vt:lpstr>
      <vt:lpstr>'110-PN-002'!Area_de_impressao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Suckow</dc:creator>
  <cp:lastModifiedBy>Jhonatan</cp:lastModifiedBy>
  <dcterms:created xsi:type="dcterms:W3CDTF">2025-04-07T12:21:49Z</dcterms:created>
  <dcterms:modified xsi:type="dcterms:W3CDTF">2026-04-24T23:22:36Z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0x010100870EC2BF827CB945A8F46A45F294AC4C</vt:lpwstr>
  </property>
  <property fmtid="{D5CDD505-2E9C-101B-9397-08002B2CF9AE}" pid="3" name="MediaServiceImageTags">
    <vt:lpwstr/>
  </property>
</Properties>
</file>