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rmem计算器T31" sheetId="8" r:id="rId1"/>
    <sheet name="rmem计算器T21" sheetId="2" r:id="rId2"/>
    <sheet name="rmem计算器T30" sheetId="3" r:id="rId3"/>
    <sheet name="rmem计算器T20&amp;T10" sheetId="4" r:id="rId4"/>
    <sheet name="ChangeLog" sheetId="5" r:id="rId5"/>
  </sheets>
  <calcPr calcId="144525"/>
</workbook>
</file>

<file path=xl/sharedStrings.xml><?xml version="1.0" encoding="utf-8"?>
<sst xmlns="http://schemas.openxmlformats.org/spreadsheetml/2006/main" count="199" uniqueCount="60">
  <si>
    <t>使用说明：
1.设置Sensor、主路、次路、第三路分辨率，图像格式和nrVbs大小；
2.设置内存大小
3.设置编码分辨率(需要注意编码尺寸和通道分辨率不同的情形）；
4.设置编码类型，在Codec一栏选择HEVC即265编码、选择AVC即264编码，不同编码类型内存使用不一样；
5、设置是否是能通道:En，是否是能jpeg编码:EnJpeg；
6、其余选项设置可以按照默认设置进行
最后会自动算出内存分割cmdline，直接复制使用即可。</t>
  </si>
  <si>
    <t>设置分辨率</t>
  </si>
  <si>
    <t>图像格式</t>
  </si>
  <si>
    <t>nrvbs</t>
  </si>
  <si>
    <t>Sensor分辨率</t>
  </si>
  <si>
    <t>主路</t>
  </si>
  <si>
    <t>NV12</t>
  </si>
  <si>
    <t>次路</t>
  </si>
  <si>
    <t>第三路</t>
  </si>
  <si>
    <t>BGR0</t>
  </si>
  <si>
    <t>内存设置</t>
  </si>
  <si>
    <t>芯片型号</t>
  </si>
  <si>
    <t>内存大小</t>
  </si>
  <si>
    <t>64M</t>
  </si>
  <si>
    <t>T31</t>
  </si>
  <si>
    <t>码流</t>
  </si>
  <si>
    <t>En</t>
  </si>
  <si>
    <t>width</t>
  </si>
  <si>
    <t>height</t>
  </si>
  <si>
    <t>depth</t>
  </si>
  <si>
    <t>ncu</t>
  </si>
  <si>
    <t>编码width</t>
  </si>
  <si>
    <t>编码height</t>
  </si>
  <si>
    <t>Codec</t>
  </si>
  <si>
    <t>eGopMode</t>
  </si>
  <si>
    <t>uGopLength</t>
  </si>
  <si>
    <t>bEnableLt</t>
  </si>
  <si>
    <t>uNumB</t>
  </si>
  <si>
    <t>stream_buffer</t>
  </si>
  <si>
    <t>FORCE_REC</t>
  </si>
  <si>
    <t>OSD</t>
  </si>
  <si>
    <t>EnJpeg</t>
  </si>
  <si>
    <t>总和</t>
  </si>
  <si>
    <t>Yes</t>
  </si>
  <si>
    <t>HEVC</t>
  </si>
  <si>
    <t>DEFAULT</t>
  </si>
  <si>
    <t>No</t>
  </si>
  <si>
    <t>注：jpeg消耗空间不大，这里不加入计算</t>
  </si>
  <si>
    <t>剩余内存</t>
  </si>
  <si>
    <t>rmem</t>
  </si>
  <si>
    <t>Byte</t>
  </si>
  <si>
    <t>K</t>
  </si>
  <si>
    <t>M</t>
  </si>
  <si>
    <t>uboot cmdline:</t>
  </si>
  <si>
    <t>使用说明：
1.设置Sensor、主路、次路、第三路分辨率，图像格式和nrVbs大小；
2.设置内存大小
3.设置编码分辨率(需要注意编码尺寸和通道分辨率不同的情形）；
4、设置是否是能通道:En，是否是能jpeg编码:EnJpeg，是否使能EnLongRef（目前不使能）
最后会自动算出内存分割cmdline，直接复制使用即可。
5、下面两个API可以在SDK初始化之前指定编码输出buf和osd模块使用buf的大小来减少rmem使用。
 1）码流buffer: 编码输出buf，这个buf默认是根据分辨率按照经验压缩比计算得到。实际可以根据产品的码流控制来设置大小，需要设置比I帧大。例如在720p分辨率时设置1MB
 2）OSDBuf: OSD模块buf，这个buf存放的是osd叠加图片使用的，默认是分配1Mbyte，可以根据实际产品功能调小，例如512K。 
 内存优化调用: 
 extern "C" {
     //设置编码输出码流buf大小
     extern int IMP_Encoder_SetPoolSize(int size);
     //设置OSD模块使用大小
     extern int IMP_OSD_SetPoolSize(int size);
 }
 初始化SDK之前调用 IMP_OSD_SetPoolSize(180*1024)和IMP_Encoder_SetPoolSize(1*1024*1024);</t>
  </si>
  <si>
    <t>T21</t>
  </si>
  <si>
    <t>OSDBuf</t>
  </si>
  <si>
    <t>码流buffer</t>
  </si>
  <si>
    <t>EnLongRef</t>
  </si>
  <si>
    <t>RMEM</t>
  </si>
  <si>
    <t>使用说明：
1.设置Sensor、主路、次路、第三路分辨率，图像格式和nrVbs大小；
2.设置内存大小
3.确认HASTEMPDN类型，这个问调图像的同事
4.设置编码分辨率(需要注意编码尺寸和通道分辨率不同的情形）；
5、设置是否是能通道:En，是否是能jpeg编码:EnJpeg，是否是能Smart：EnSmart,若HSkip类型为N1X，则选NO，否则选Yes
最后会自动算出内存分割cmdline，直接复制使用即可。</t>
  </si>
  <si>
    <t>HASTEMPDN</t>
  </si>
  <si>
    <t>128M</t>
  </si>
  <si>
    <t>T30</t>
  </si>
  <si>
    <t>EnH264</t>
  </si>
  <si>
    <t>EnSmartH</t>
  </si>
  <si>
    <t>使用说明：
1.设置Sensor、主路、次路、第三路分辨率，图像格式和nrVbs大小；
2.设置内存大小
3.设置编码分辨率(需要注意编码尺寸和通道分辨率不同的情形）；
4、设置是否是能通道:En，是否是能jpeg编码:EnJpeg，是否是能Smart：EnSmart,若HSkip类型为N1X，则选NO，否则选Yes
最后会自动算出内存分割cmdline，直接复制使用即可。</t>
  </si>
  <si>
    <t>T20</t>
  </si>
  <si>
    <t>ispmem</t>
  </si>
  <si>
    <t>2016/11/28 v1.0初版，添加T20及之前芯片计算
2017/9/20 v1.1版本，添加T20及之前芯片smart内存计算
2017/11/30 V1.2版本，添加T30芯片内存计算
2019/7/10 V3.1版本。添加T31芯片内存计算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</si>
</sst>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8"/>
      <color indexed="8"/>
      <name val="宋体"/>
      <charset val="134"/>
    </font>
    <font>
      <sz val="12"/>
      <color indexed="8"/>
      <name val="宋体"/>
      <charset val="134"/>
    </font>
    <font>
      <sz val="18"/>
      <color indexed="20"/>
      <name val="宋体"/>
      <charset val="134"/>
    </font>
    <font>
      <sz val="18"/>
      <name val="宋体"/>
      <charset val="134"/>
    </font>
    <font>
      <b/>
      <sz val="18"/>
      <name val="宋体"/>
      <charset val="134"/>
    </font>
    <font>
      <sz val="14"/>
      <color indexed="8"/>
      <name val="宋体"/>
      <charset val="134"/>
    </font>
    <font>
      <sz val="12"/>
      <color rgb="FFFF0000"/>
      <name val="宋体"/>
      <charset val="134"/>
    </font>
    <font>
      <sz val="18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3" fillId="3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6" borderId="9" applyNumberFormat="0" applyFont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25" fillId="42" borderId="12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4" xfId="0" applyFont="1" applyFill="1" applyBorder="1">
      <alignment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" fillId="9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7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"/>
  <sheetViews>
    <sheetView tabSelected="1" topLeftCell="A10" workbookViewId="0">
      <selection activeCell="G22" sqref="G22:H22"/>
    </sheetView>
  </sheetViews>
  <sheetFormatPr defaultColWidth="9" defaultRowHeight="22.5"/>
  <cols>
    <col min="1" max="2" width="6.125" style="5" customWidth="1"/>
    <col min="3" max="3" width="9.125" style="5" customWidth="1"/>
    <col min="4" max="4" width="10.75" style="5" customWidth="1"/>
    <col min="5" max="5" width="10.5" style="5" customWidth="1"/>
    <col min="6" max="6" width="9.125" style="5" customWidth="1"/>
    <col min="7" max="7" width="13" style="5" customWidth="1"/>
    <col min="8" max="8" width="15.5" style="5" customWidth="1"/>
    <col min="9" max="9" width="15.125" style="5" customWidth="1"/>
    <col min="10" max="10" width="11.5" style="5" customWidth="1"/>
    <col min="11" max="11" width="14" style="5" customWidth="1"/>
    <col min="12" max="12" width="16.25" style="5" customWidth="1"/>
    <col min="13" max="13" width="14.125" style="5" customWidth="1"/>
    <col min="14" max="14" width="9" style="5" customWidth="1"/>
    <col min="15" max="15" width="21" style="5" customWidth="1"/>
    <col min="16" max="16" width="16" style="5" customWidth="1"/>
    <col min="17" max="17" width="11.875" style="5" customWidth="1"/>
    <col min="18" max="18" width="10.375" style="5" customWidth="1"/>
    <col min="19" max="20" width="14" style="5"/>
    <col min="21" max="16381" width="9" style="5"/>
  </cols>
  <sheetData>
    <row r="1" s="5" customFormat="1" spans="1:16384">
      <c r="A1" s="41" t="s">
        <v>0</v>
      </c>
      <c r="B1" s="6"/>
      <c r="C1" s="6"/>
      <c r="D1" s="6"/>
      <c r="E1" s="6"/>
      <c r="F1" s="6"/>
      <c r="G1" s="6"/>
      <c r="H1" s="6"/>
      <c r="I1" s="6"/>
      <c r="J1" s="6"/>
      <c r="M1"/>
      <c r="N1"/>
      <c r="O1"/>
      <c r="P1"/>
      <c r="XFB1"/>
      <c r="XFC1"/>
      <c r="XFD1"/>
    </row>
    <row r="2" s="5" customFormat="1" spans="1:16384">
      <c r="A2" s="6"/>
      <c r="B2" s="6"/>
      <c r="C2" s="6"/>
      <c r="D2" s="6"/>
      <c r="E2" s="6"/>
      <c r="F2" s="6"/>
      <c r="G2" s="6"/>
      <c r="H2" s="6"/>
      <c r="I2" s="6"/>
      <c r="J2" s="6"/>
      <c r="XFB2"/>
      <c r="XFC2"/>
      <c r="XFD2"/>
    </row>
    <row r="3" s="5" customFormat="1" spans="1:16384">
      <c r="A3" s="6"/>
      <c r="B3" s="6"/>
      <c r="C3" s="6"/>
      <c r="D3" s="6"/>
      <c r="E3" s="6"/>
      <c r="F3" s="6"/>
      <c r="G3" s="6"/>
      <c r="H3" s="6"/>
      <c r="I3" s="6"/>
      <c r="J3" s="6"/>
      <c r="XFB3"/>
      <c r="XFC3"/>
      <c r="XFD3"/>
    </row>
    <row r="4" s="5" customFormat="1" ht="53" customHeight="1" spans="1:16384">
      <c r="A4" s="6"/>
      <c r="B4" s="6"/>
      <c r="C4" s="6"/>
      <c r="D4" s="6"/>
      <c r="E4" s="6"/>
      <c r="F4" s="6"/>
      <c r="G4" s="6"/>
      <c r="H4" s="6"/>
      <c r="I4" s="6"/>
      <c r="J4" s="6"/>
      <c r="XFB4"/>
      <c r="XFC4"/>
      <c r="XFD4"/>
    </row>
    <row r="5" s="5" customFormat="1" ht="8" customHeight="1" spans="16382:16384">
      <c r="XFB5"/>
      <c r="XFC5"/>
      <c r="XFD5"/>
    </row>
    <row r="6" s="5" customFormat="1" ht="30.95" customHeight="1" spans="1:16384">
      <c r="A6" s="7" t="s">
        <v>1</v>
      </c>
      <c r="B6" s="8"/>
      <c r="C6" s="8"/>
      <c r="D6" s="8"/>
      <c r="E6" s="8"/>
      <c r="F6" s="8"/>
      <c r="G6" s="8"/>
      <c r="H6" s="9"/>
      <c r="I6" s="15" t="s">
        <v>2</v>
      </c>
      <c r="J6" s="31" t="s">
        <v>3</v>
      </c>
      <c r="XFB6"/>
      <c r="XFC6"/>
      <c r="XFD6"/>
    </row>
    <row r="7" s="5" customFormat="1" ht="23.1" customHeight="1" spans="1:16384">
      <c r="A7" s="10" t="s">
        <v>4</v>
      </c>
      <c r="B7" s="10"/>
      <c r="C7" s="10"/>
      <c r="D7" s="11">
        <v>1920</v>
      </c>
      <c r="E7" s="11"/>
      <c r="F7" s="11"/>
      <c r="G7" s="12">
        <v>1080</v>
      </c>
      <c r="H7" s="13"/>
      <c r="I7" s="32"/>
      <c r="J7" s="32"/>
      <c r="K7" s="4"/>
      <c r="L7" s="4"/>
      <c r="XFB7"/>
      <c r="XFC7"/>
      <c r="XFD7"/>
    </row>
    <row r="8" s="5" customFormat="1" ht="23.1" customHeight="1" spans="1:16384">
      <c r="A8" s="10" t="s">
        <v>5</v>
      </c>
      <c r="B8" s="10"/>
      <c r="C8" s="10"/>
      <c r="D8" s="11">
        <v>1920</v>
      </c>
      <c r="E8" s="11"/>
      <c r="F8" s="11"/>
      <c r="G8" s="12">
        <v>1080</v>
      </c>
      <c r="H8" s="13"/>
      <c r="I8" s="21" t="s">
        <v>6</v>
      </c>
      <c r="J8" s="21">
        <v>2</v>
      </c>
      <c r="K8" s="4"/>
      <c r="L8" s="4"/>
      <c r="XFB8"/>
      <c r="XFC8"/>
      <c r="XFD8"/>
    </row>
    <row r="9" s="5" customFormat="1" ht="27" customHeight="1" spans="1:16384">
      <c r="A9" s="10" t="s">
        <v>7</v>
      </c>
      <c r="B9" s="10"/>
      <c r="C9" s="10"/>
      <c r="D9" s="11">
        <v>640</v>
      </c>
      <c r="E9" s="11"/>
      <c r="F9" s="11"/>
      <c r="G9" s="12">
        <v>360</v>
      </c>
      <c r="H9" s="13"/>
      <c r="I9" s="21" t="s">
        <v>6</v>
      </c>
      <c r="J9" s="21">
        <v>2</v>
      </c>
      <c r="K9" s="4"/>
      <c r="L9" s="4"/>
      <c r="XFB9"/>
      <c r="XFC9"/>
      <c r="XFD9"/>
    </row>
    <row r="10" s="5" customFormat="1" ht="27" customHeight="1" spans="1:16384">
      <c r="A10" s="10" t="s">
        <v>8</v>
      </c>
      <c r="B10" s="10"/>
      <c r="C10" s="10"/>
      <c r="D10" s="11">
        <v>1280</v>
      </c>
      <c r="E10" s="11"/>
      <c r="F10" s="11"/>
      <c r="G10" s="12">
        <v>720</v>
      </c>
      <c r="H10" s="13"/>
      <c r="I10" s="21" t="s">
        <v>9</v>
      </c>
      <c r="J10" s="21">
        <v>2</v>
      </c>
      <c r="K10" s="4"/>
      <c r="L10" s="4"/>
      <c r="XFB10"/>
      <c r="XFC10"/>
      <c r="XFD10"/>
    </row>
    <row r="11" s="3" customFormat="1" ht="15" customHeight="1"/>
    <row r="12" s="5" customFormat="1" ht="27" customHeight="1" spans="1:16384">
      <c r="A12" s="14" t="s">
        <v>10</v>
      </c>
      <c r="B12" s="14"/>
      <c r="C12" s="14"/>
      <c r="D12" s="14"/>
      <c r="E12" s="14"/>
      <c r="F12" s="14"/>
      <c r="G12" s="15" t="s">
        <v>11</v>
      </c>
      <c r="XFB12"/>
      <c r="XFC12"/>
      <c r="XFD12"/>
    </row>
    <row r="13" s="5" customFormat="1" ht="29.1" customHeight="1" spans="1:16384">
      <c r="A13" s="16" t="s">
        <v>12</v>
      </c>
      <c r="B13" s="16"/>
      <c r="C13" s="16"/>
      <c r="D13" s="17" t="s">
        <v>13</v>
      </c>
      <c r="E13" s="17"/>
      <c r="F13" s="17"/>
      <c r="G13" s="18" t="s">
        <v>14</v>
      </c>
      <c r="XFB13"/>
      <c r="XFC13"/>
      <c r="XFD13"/>
    </row>
    <row r="14" s="4" customFormat="1" ht="15" customHeight="1"/>
    <row r="15" s="5" customFormat="1" ht="47.1" customHeight="1" spans="1:19">
      <c r="A15" s="19" t="s">
        <v>15</v>
      </c>
      <c r="B15" s="19" t="s">
        <v>16</v>
      </c>
      <c r="C15" s="19" t="s">
        <v>17</v>
      </c>
      <c r="D15" s="19" t="s">
        <v>18</v>
      </c>
      <c r="E15" s="19" t="s">
        <v>19</v>
      </c>
      <c r="F15" s="19" t="s">
        <v>3</v>
      </c>
      <c r="G15" s="19" t="s">
        <v>20</v>
      </c>
      <c r="H15" s="19" t="s">
        <v>21</v>
      </c>
      <c r="I15" s="19" t="s">
        <v>22</v>
      </c>
      <c r="J15" s="19" t="s">
        <v>23</v>
      </c>
      <c r="K15" s="19" t="s">
        <v>24</v>
      </c>
      <c r="L15" s="19" t="s">
        <v>25</v>
      </c>
      <c r="M15" s="19" t="s">
        <v>26</v>
      </c>
      <c r="N15" s="19" t="s">
        <v>27</v>
      </c>
      <c r="O15" s="19" t="s">
        <v>28</v>
      </c>
      <c r="P15" s="19" t="s">
        <v>29</v>
      </c>
      <c r="Q15" s="19" t="s">
        <v>30</v>
      </c>
      <c r="R15" s="19" t="s">
        <v>31</v>
      </c>
      <c r="S15" s="19" t="s">
        <v>32</v>
      </c>
    </row>
    <row r="16" s="5" customFormat="1" ht="30" customHeight="1" spans="1:19">
      <c r="A16" s="20">
        <v>1</v>
      </c>
      <c r="B16" s="20" t="s">
        <v>33</v>
      </c>
      <c r="C16" s="21">
        <f t="shared" ref="C16:C18" si="0">D8</f>
        <v>1920</v>
      </c>
      <c r="D16" s="21">
        <f t="shared" ref="D16:D18" si="1">G8</f>
        <v>1080</v>
      </c>
      <c r="E16" s="21">
        <f t="shared" ref="E16:E18" si="2">IF(I8="NV12",1.5,IF(I8="RGB565",2,IF(I8="BGR0",4,1.5)))</f>
        <v>1.5</v>
      </c>
      <c r="F16" s="21">
        <f t="shared" ref="F16:F18" si="3">J8</f>
        <v>2</v>
      </c>
      <c r="G16" s="21">
        <f>CEILING(D7,8)*G7*3/2+CEILING(CEILING(D7,32)/32,8)*(CEILING(G7,16)/16+1)*4+CEILING(D7/2,8)*G7*3/2+CEILING(D7/32,8)*G7/32</f>
        <v>4685424</v>
      </c>
      <c r="H16" s="22">
        <f t="shared" ref="H16:H18" si="4">C16</f>
        <v>1920</v>
      </c>
      <c r="I16" s="21">
        <f t="shared" ref="I16:I18" si="5">D16</f>
        <v>1080</v>
      </c>
      <c r="J16" s="42" t="s">
        <v>34</v>
      </c>
      <c r="K16" s="43" t="s">
        <v>35</v>
      </c>
      <c r="L16" s="43">
        <v>50</v>
      </c>
      <c r="M16" s="43" t="b">
        <v>0</v>
      </c>
      <c r="N16" s="43">
        <v>0</v>
      </c>
      <c r="O16" s="43">
        <v>2</v>
      </c>
      <c r="P16" s="43" t="b">
        <v>0</v>
      </c>
      <c r="Q16" s="21">
        <f>CEILING(1*1024*1024,4096)</f>
        <v>1048576</v>
      </c>
      <c r="R16" s="21" t="s">
        <v>33</v>
      </c>
      <c r="S16" s="21">
        <f>IF(B16="Yes",CEILING((CEILING(C16,16)*CEILING(D16,16)*E16*F16),4096)+G16+IF(I8="NV12",(28672+24576+12288+((CEILING(ROUNDUP((IF(J16="HEVC",1536,1536)*(CEILING(H16,64)/64)*(CEILING(I16,64)/64))+(2048+2048)+(CEILING(I16,16)/16)*512,32),4096))*(O16+N16))+((CEILING((CEILING(H16,64)*CEILING(I16,64))*3/2+256+IF(J16="HEVC",CEILING(H16,32)/32*CEILING(I16,32)/32*4,CEILING(H16,16)/16*CEILING(I16,16)/16)*4*4*IF(J16="HEVC",1,2),4096))*(IF(K16="LOW_DELAY_B",2+IF(AND(J16="AVC",L16&gt;1),1,0),1+IF(N16&gt;0,1,0))+IF(M16=TRUE,1,0)+IF(J16="HEVC",1,0)+IF(J16&lt;&gt;"HEVC",1,0)+IF(P16=TRUE,1,0)))+(CEILING(25600+CEILING(IF(J16="HEVC",CEILING(I16,32)/32,CEILING(I16,16)/16)*4,128)+48+16+CEILING(IF(J16="HEVC",(CEILING(H16,32)/32)*(CEILING(I16,32)/32)*8,(CEILING(H16,16)/16)*(CEILING(I16,16)/16)),128),4096)))+Q16+IF(R16="YES",(28672+24576+12288+((CEILING(ROUNDUP((384*(CEILING(H16,64)/64)*(CEILING(I16,64)/64))+(2048+2048)+(CEILING(I16,16)/16)*512,32),4096))*(2+N16))+(CEILING(25600+CEILING((CEILING(I16,16)/16)*4,128)+48+16+CEILING((CEILING(H16,16)/16)*(CEILING(I16,16)/16),128),4096))),0),0),0)</f>
        <v>20864624</v>
      </c>
    </row>
    <row r="17" s="5" customFormat="1" ht="27" customHeight="1" spans="1:19">
      <c r="A17" s="20">
        <v>2</v>
      </c>
      <c r="B17" s="20" t="s">
        <v>33</v>
      </c>
      <c r="C17" s="21">
        <f t="shared" si="0"/>
        <v>640</v>
      </c>
      <c r="D17" s="21">
        <f t="shared" si="1"/>
        <v>360</v>
      </c>
      <c r="E17" s="21">
        <f t="shared" si="2"/>
        <v>1.5</v>
      </c>
      <c r="F17" s="21">
        <f t="shared" si="3"/>
        <v>2</v>
      </c>
      <c r="G17" s="21">
        <v>0</v>
      </c>
      <c r="H17" s="22">
        <f t="shared" si="4"/>
        <v>640</v>
      </c>
      <c r="I17" s="21">
        <f t="shared" si="5"/>
        <v>360</v>
      </c>
      <c r="J17" s="42" t="s">
        <v>34</v>
      </c>
      <c r="K17" s="43" t="s">
        <v>35</v>
      </c>
      <c r="L17" s="21">
        <v>50</v>
      </c>
      <c r="M17" s="43" t="b">
        <v>0</v>
      </c>
      <c r="N17" s="21">
        <v>0</v>
      </c>
      <c r="O17" s="12">
        <v>2</v>
      </c>
      <c r="P17" s="43" t="b">
        <v>0</v>
      </c>
      <c r="Q17" s="21">
        <v>0</v>
      </c>
      <c r="R17" s="21" t="s">
        <v>36</v>
      </c>
      <c r="S17" s="21">
        <f>IF(B17="Yes",CEILING((CEILING(C17,16)*CEILING(D17,16)*E17*F17),4096)+IF(I9="NV12",(28672+24576+12288+((CEILING(ROUNDUP((IF(J17="HEVC",1536,1536)*(CEILING(H17,64)/64)*(CEILING(I17,64)/64))+(2048+2048)+(CEILING(I17,16)/16)*512,32),4096))*(O17+N17))+((CEILING((CEILING(H17,64)*CEILING(I17,64))*3/2+256+IF(J17="HEVC",CEILING(H17,32)/32*CEILING(I17,32)/32*4,CEILING(H17,16)/16*CEILING(I17,16)/16)*4*4*IF(J17="HEVC",1,2),4096))*(IF(K17="LOW_DELAY_B",2+IF(AND(J17="AVC",L17&gt;1),1,0),1+IF(N17&gt;0,1,0))+IF(M17=TRUE,1,0)+IF(J17="HEVC",1,0)+IF(J17&lt;&gt;"HEVC",1,0)+IF(P17=TRUE,1,0)))+(CEILING(25600+CEILING(IF(J17="HEVC",CEILING(I17,32)/32,CEILING(I17,16)/16)*4,128)+48+16+CEILING(IF(J17="HEVC",(CEILING(H17,32)/32)*(CEILING(I17,32)/32)*8,(CEILING(H17,16)/16)*(CEILING(I17,16)/16)),128),4096)))+Q17+IF(R17="YES",(28672+24576+12288+((CEILING(ROUNDUP((384*(CEILING(H17,64)/64)*(CEILING(I17,64)/64))+(2048+2048)+(CEILING(I17,16)/16)*512,32),4096))*(2+N17))+(CEILING(25600+CEILING((CEILING(I17,16)/16)*4,128)+48+16+CEILING((CEILING(H17,16)/16)*(CEILING(I17,16)/16),128),4096))),0),0),0)</f>
        <v>1794048</v>
      </c>
    </row>
    <row r="18" s="5" customFormat="1" ht="27" customHeight="1" spans="1:19">
      <c r="A18" s="20">
        <v>3</v>
      </c>
      <c r="B18" s="20" t="s">
        <v>36</v>
      </c>
      <c r="C18" s="21">
        <f t="shared" si="0"/>
        <v>1280</v>
      </c>
      <c r="D18" s="21">
        <f t="shared" si="1"/>
        <v>720</v>
      </c>
      <c r="E18" s="21">
        <f t="shared" si="2"/>
        <v>4</v>
      </c>
      <c r="F18" s="21">
        <f t="shared" si="3"/>
        <v>2</v>
      </c>
      <c r="G18" s="21">
        <v>0</v>
      </c>
      <c r="H18" s="22">
        <f t="shared" si="4"/>
        <v>1280</v>
      </c>
      <c r="I18" s="21">
        <f t="shared" si="5"/>
        <v>720</v>
      </c>
      <c r="J18" s="42" t="s">
        <v>34</v>
      </c>
      <c r="K18" s="43" t="s">
        <v>35</v>
      </c>
      <c r="L18" s="21">
        <v>50</v>
      </c>
      <c r="M18" s="43" t="b">
        <v>0</v>
      </c>
      <c r="N18" s="21">
        <v>0</v>
      </c>
      <c r="O18" s="12">
        <v>2</v>
      </c>
      <c r="P18" s="43" t="b">
        <v>0</v>
      </c>
      <c r="Q18" s="21">
        <v>0</v>
      </c>
      <c r="R18" s="21" t="s">
        <v>36</v>
      </c>
      <c r="S18" s="21">
        <f>IF(B18="Yes",CEILING((CEILING(C18,16)*CEILING(D18,16)*E18*F18),4096)+IF(I10="NV12",(28672+24576+12288+((CEILING(ROUNDUP((IF(J18="HEVC",1536,1536)*(CEILING(H18,64)/64)*(CEILING(I18,64)/64))+(2048+2048)+(CEILING(I18,16)/16)*512,32),4096))*(O18+N18))+((CEILING((CEILING(H18,64)*CEILING(I18,64))*3/2+256+IF(J18="HEVC",CEILING(H18,32)/32*CEILING(I18,32)/32*4,CEILING(H18,16)/16*CEILING(I18,16)/16)*4*4*IF(J18="HEVC",1,2),4096))*(IF(K18="LOW_DELAY_B",2+IF(AND(J18="AVC",L18&gt;1),1,0),1+IF(N18&gt;0,1,0))+IF(M18=TRUE,1,0)+IF(J18="HEVC",1,0)+IF(J18&lt;&gt;"HEVC",1,0)+IF(P18=TRUE,1,0)))+(CEILING(25600+CEILING(IF(J18="HEVC",CEILING(I18,32)/32,CEILING(I18,16)/16)*4,128)+48+16+CEILING(IF(J18="HEVC",(CEILING(H18,32)/32)*(CEILING(I18,32)/32)*8,(CEILING(H18,16)/16)*(CEILING(I18,16)/16)),128),4096)))+Q18+IF(R18="YES",CEILING(20480,4096),0),0),0)</f>
        <v>0</v>
      </c>
    </row>
    <row r="19" s="5" customFormat="1" ht="21" customHeight="1" spans="1:16384">
      <c r="A19" s="23" t="s">
        <v>37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XFB19"/>
      <c r="XFC19"/>
      <c r="XFD19"/>
    </row>
    <row r="20" s="5" customFormat="1" ht="14.1" customHeight="1" spans="16382:16384">
      <c r="XFB20"/>
      <c r="XFC20"/>
      <c r="XFD20"/>
    </row>
    <row r="21" s="5" customFormat="1" ht="36" customHeight="1" spans="1:16383">
      <c r="A21" s="25"/>
      <c r="B21" s="25"/>
      <c r="C21" s="25"/>
      <c r="D21" s="26" t="s">
        <v>38</v>
      </c>
      <c r="E21" s="26"/>
      <c r="F21" s="26"/>
      <c r="G21" s="26" t="s">
        <v>39</v>
      </c>
      <c r="H21" s="26"/>
      <c r="K21"/>
      <c r="L21"/>
      <c r="M21"/>
      <c r="XEZ21"/>
      <c r="XFA21"/>
      <c r="XFB21"/>
      <c r="XFC21"/>
    </row>
    <row r="22" s="5" customFormat="1" ht="36.95" customHeight="1" spans="1:16383">
      <c r="A22" s="25" t="s">
        <v>40</v>
      </c>
      <c r="B22" s="25"/>
      <c r="C22" s="25"/>
      <c r="D22" s="14">
        <f>CEILING(1024*1024*IF(D13="64M",64,128)-G22,1024)</f>
        <v>44449792</v>
      </c>
      <c r="E22" s="14"/>
      <c r="F22" s="14"/>
      <c r="G22" s="33">
        <f>CEILING(S16+S17+S18,1024)</f>
        <v>22659072</v>
      </c>
      <c r="H22" s="33"/>
      <c r="K22"/>
      <c r="L22"/>
      <c r="M22"/>
      <c r="XEZ22"/>
      <c r="XFA22"/>
      <c r="XFB22"/>
      <c r="XFC22"/>
    </row>
    <row r="23" s="5" customFormat="1" ht="33.95" customHeight="1" spans="1:16383">
      <c r="A23" s="25" t="s">
        <v>41</v>
      </c>
      <c r="B23" s="25"/>
      <c r="C23" s="25"/>
      <c r="D23" s="14">
        <f>D22/1024</f>
        <v>43408</v>
      </c>
      <c r="E23" s="14"/>
      <c r="F23" s="14"/>
      <c r="G23" s="34">
        <f>G22/1024</f>
        <v>22128</v>
      </c>
      <c r="H23" s="34"/>
      <c r="K23"/>
      <c r="L23"/>
      <c r="M23"/>
      <c r="XEZ23"/>
      <c r="XFA23"/>
      <c r="XFB23"/>
      <c r="XFC23"/>
    </row>
    <row r="24" s="5" customFormat="1" ht="30" customHeight="1" spans="1:16383">
      <c r="A24" s="25" t="s">
        <v>42</v>
      </c>
      <c r="B24" s="25"/>
      <c r="C24" s="25"/>
      <c r="D24" s="14">
        <f>IF(D13="64M",64,IF(D13="128M",128,D13))-G24</f>
        <v>42</v>
      </c>
      <c r="E24" s="14"/>
      <c r="F24" s="14"/>
      <c r="G24" s="34">
        <f>ROUNDUP(G23/1024,0)</f>
        <v>22</v>
      </c>
      <c r="H24" s="34"/>
      <c r="K24"/>
      <c r="L24"/>
      <c r="M24"/>
      <c r="XEZ24"/>
      <c r="XFA24"/>
      <c r="XFB24"/>
      <c r="XFC24"/>
    </row>
    <row r="25" s="5" customFormat="1" ht="18.95" customHeight="1" spans="13:16384">
      <c r="M25"/>
      <c r="N25"/>
      <c r="O25"/>
      <c r="P25"/>
      <c r="XFB25"/>
      <c r="XFC25"/>
      <c r="XFD25"/>
    </row>
    <row r="26" s="5" customFormat="1" spans="1:16384">
      <c r="A26" s="28" t="s">
        <v>43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/>
      <c r="N26"/>
      <c r="O26"/>
      <c r="P26"/>
      <c r="XFB26"/>
      <c r="XFC26"/>
      <c r="XFD26"/>
    </row>
    <row r="27" s="5" customFormat="1" ht="18" customHeight="1" spans="1:16384">
      <c r="A27" s="29" t="str">
        <f>"mem="&amp;D23&amp;"K@0x0"&amp;"  rmem="&amp;G23&amp;"K@0x"&amp;DEC2HEX((D23)*1024,7)</f>
        <v>mem=43408K@0x0  rmem=22128K@0x2A64000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/>
      <c r="N27"/>
      <c r="O27"/>
      <c r="P27"/>
      <c r="XFB27"/>
      <c r="XFC27"/>
      <c r="XFD27"/>
    </row>
    <row r="28" s="5" customFormat="1" ht="21.75" customHeight="1" spans="1:16384">
      <c r="A28" s="30" t="str">
        <f>"mem="&amp;D24&amp;"M@0x0"&amp;"  rmem="&amp;G24&amp;"M@0x"&amp;DEC2HEX((D24)*1024*1024,7)</f>
        <v>mem=42M@0x0  rmem=22M@0x2A00000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/>
      <c r="N28"/>
      <c r="O28"/>
      <c r="P28"/>
      <c r="XFB28"/>
      <c r="XFC28"/>
      <c r="XFD28"/>
    </row>
  </sheetData>
  <mergeCells count="34">
    <mergeCell ref="A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XEW11"/>
    <mergeCell ref="A12:F12"/>
    <mergeCell ref="A13:C13"/>
    <mergeCell ref="D13:F13"/>
    <mergeCell ref="A14:XEW14"/>
    <mergeCell ref="A19:M19"/>
    <mergeCell ref="A21:C21"/>
    <mergeCell ref="D21:F21"/>
    <mergeCell ref="G21:H21"/>
    <mergeCell ref="A22:C22"/>
    <mergeCell ref="D22:F22"/>
    <mergeCell ref="G22:H22"/>
    <mergeCell ref="A23:C23"/>
    <mergeCell ref="D23:F23"/>
    <mergeCell ref="G23:H23"/>
    <mergeCell ref="A24:C24"/>
    <mergeCell ref="D24:F24"/>
    <mergeCell ref="G24:H24"/>
    <mergeCell ref="A27:K27"/>
    <mergeCell ref="A28:K28"/>
    <mergeCell ref="A1:J4"/>
  </mergeCells>
  <dataValidations count="8">
    <dataValidation type="list" allowBlank="1" showInputMessage="1" showErrorMessage="1" sqref="M16 P16 M17 P17 M18 P18">
      <formula1>"TRUE,FALSE"</formula1>
    </dataValidation>
    <dataValidation allowBlank="1" showInputMessage="1" showErrorMessage="1" sqref="I7 J7"/>
    <dataValidation type="list" allowBlank="1" showInputMessage="1" showErrorMessage="1" sqref="D13:F13">
      <formula1>"64M,128M"</formula1>
    </dataValidation>
    <dataValidation type="list" showInputMessage="1" showErrorMessage="1" sqref="G13">
      <formula1>"T31"</formula1>
    </dataValidation>
    <dataValidation type="list" allowBlank="1" showInputMessage="1" showErrorMessage="1" sqref="R16 R17 R18 B16:B18">
      <formula1>"Yes,No"</formula1>
    </dataValidation>
    <dataValidation type="list" allowBlank="1" showInputMessage="1" showErrorMessage="1" sqref="K16 K17 K18">
      <formula1>"DEFAULT,PYRAMIDAL,ADAPTIVE,LOW_DELAY_P,LOW_DELAY_B"</formula1>
    </dataValidation>
    <dataValidation type="list" allowBlank="1" showInputMessage="1" showErrorMessage="1" sqref="J16 J17 J18">
      <formula1>"AVC,HEVC"</formula1>
    </dataValidation>
    <dataValidation type="list" allowBlank="1" showInputMessage="1" showErrorMessage="1" sqref="I8:I10">
      <formula1>"NV12,BGR0"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28"/>
  <sheetViews>
    <sheetView topLeftCell="A10" workbookViewId="0">
      <selection activeCell="N16" sqref="N16"/>
    </sheetView>
  </sheetViews>
  <sheetFormatPr defaultColWidth="9" defaultRowHeight="22.5"/>
  <cols>
    <col min="1" max="2" width="6.125" style="5" customWidth="1"/>
    <col min="3" max="3" width="9.125" style="5" customWidth="1"/>
    <col min="4" max="4" width="17" style="5" customWidth="1"/>
    <col min="5" max="5" width="13.5" style="5" customWidth="1"/>
    <col min="6" max="6" width="9.125" style="5" customWidth="1"/>
    <col min="7" max="7" width="16" style="5" customWidth="1"/>
    <col min="8" max="8" width="15.75" style="5" customWidth="1"/>
    <col min="9" max="9" width="17.625" style="5" customWidth="1"/>
    <col min="10" max="10" width="14.75" style="5" customWidth="1"/>
    <col min="11" max="11" width="15.75" style="5" customWidth="1"/>
    <col min="12" max="13" width="17.375" style="5" customWidth="1"/>
    <col min="14" max="14" width="14" style="5" customWidth="1"/>
    <col min="15" max="15" width="9" style="5"/>
    <col min="16" max="16" width="17.375" style="5" customWidth="1"/>
    <col min="17" max="16381" width="9" style="5"/>
  </cols>
  <sheetData>
    <row r="1" ht="13.5" spans="1:16">
      <c r="A1" s="39" t="s">
        <v>44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N1"/>
      <c r="O1"/>
      <c r="P1"/>
    </row>
    <row r="2" ht="13.5" spans="1:1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ht="13.5" spans="1:1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ht="198" customHeight="1" spans="1:12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ht="13" customHeight="1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ht="30.95" customHeight="1" spans="1:11">
      <c r="A6" s="7" t="s">
        <v>1</v>
      </c>
      <c r="B6" s="8"/>
      <c r="C6" s="8"/>
      <c r="D6" s="8"/>
      <c r="E6" s="8"/>
      <c r="F6" s="8"/>
      <c r="G6" s="8"/>
      <c r="H6" s="8"/>
      <c r="I6" s="9"/>
      <c r="J6" s="15" t="s">
        <v>2</v>
      </c>
      <c r="K6" s="31" t="s">
        <v>3</v>
      </c>
    </row>
    <row r="7" ht="23.1" customHeight="1" spans="1:13">
      <c r="A7" s="10" t="s">
        <v>4</v>
      </c>
      <c r="B7" s="10"/>
      <c r="C7" s="10"/>
      <c r="D7" s="11">
        <v>1920</v>
      </c>
      <c r="E7" s="11"/>
      <c r="F7" s="11"/>
      <c r="G7" s="11"/>
      <c r="H7" s="12">
        <v>1080</v>
      </c>
      <c r="I7" s="13"/>
      <c r="J7" s="32"/>
      <c r="K7" s="32"/>
      <c r="L7" s="4"/>
      <c r="M7" s="4"/>
    </row>
    <row r="8" ht="23.1" customHeight="1" spans="1:13">
      <c r="A8" s="10" t="s">
        <v>5</v>
      </c>
      <c r="B8" s="10"/>
      <c r="C8" s="10"/>
      <c r="D8" s="11">
        <v>1920</v>
      </c>
      <c r="E8" s="11"/>
      <c r="F8" s="11"/>
      <c r="G8" s="11"/>
      <c r="H8" s="12">
        <v>1080</v>
      </c>
      <c r="I8" s="13"/>
      <c r="J8" s="21" t="s">
        <v>6</v>
      </c>
      <c r="K8" s="21">
        <v>3</v>
      </c>
      <c r="L8" s="4"/>
      <c r="M8" s="4"/>
    </row>
    <row r="9" ht="27" customHeight="1" spans="1:13">
      <c r="A9" s="10" t="s">
        <v>7</v>
      </c>
      <c r="B9" s="10"/>
      <c r="C9" s="10"/>
      <c r="D9" s="11">
        <v>640</v>
      </c>
      <c r="E9" s="11"/>
      <c r="F9" s="11"/>
      <c r="G9" s="11"/>
      <c r="H9" s="12">
        <v>360</v>
      </c>
      <c r="I9" s="13"/>
      <c r="J9" s="21" t="s">
        <v>6</v>
      </c>
      <c r="K9" s="21">
        <v>3</v>
      </c>
      <c r="L9" s="4"/>
      <c r="M9" s="4"/>
    </row>
    <row r="10" ht="27" customHeight="1" spans="1:13">
      <c r="A10" s="10" t="s">
        <v>8</v>
      </c>
      <c r="B10" s="10"/>
      <c r="C10" s="10"/>
      <c r="D10" s="11">
        <v>1280</v>
      </c>
      <c r="E10" s="11"/>
      <c r="F10" s="11"/>
      <c r="G10" s="11"/>
      <c r="H10" s="12">
        <v>720</v>
      </c>
      <c r="I10" s="13"/>
      <c r="J10" s="21" t="s">
        <v>9</v>
      </c>
      <c r="K10" s="21">
        <v>3</v>
      </c>
      <c r="L10" s="4"/>
      <c r="M10" s="4"/>
    </row>
    <row r="11" s="3" customFormat="1" ht="15" customHeight="1"/>
    <row r="12" ht="27" customHeight="1" spans="1:8">
      <c r="A12" s="14" t="s">
        <v>10</v>
      </c>
      <c r="B12" s="14"/>
      <c r="C12" s="14"/>
      <c r="D12" s="14"/>
      <c r="E12" s="14"/>
      <c r="F12" s="14"/>
      <c r="G12" s="14"/>
      <c r="H12" s="15" t="s">
        <v>11</v>
      </c>
    </row>
    <row r="13" ht="29.1" customHeight="1" spans="1:8">
      <c r="A13" s="16" t="s">
        <v>12</v>
      </c>
      <c r="B13" s="16"/>
      <c r="C13" s="16"/>
      <c r="D13" s="17" t="s">
        <v>13</v>
      </c>
      <c r="E13" s="17"/>
      <c r="F13" s="17"/>
      <c r="G13" s="17"/>
      <c r="H13" s="18" t="s">
        <v>45</v>
      </c>
    </row>
    <row r="14" s="4" customFormat="1" ht="15" customHeight="1"/>
    <row r="15" ht="47.1" customHeight="1" spans="1:14">
      <c r="A15" s="19" t="s">
        <v>15</v>
      </c>
      <c r="B15" s="19" t="s">
        <v>16</v>
      </c>
      <c r="C15" s="19" t="s">
        <v>17</v>
      </c>
      <c r="D15" s="19" t="s">
        <v>18</v>
      </c>
      <c r="E15" s="19" t="s">
        <v>19</v>
      </c>
      <c r="F15" s="19" t="s">
        <v>3</v>
      </c>
      <c r="G15" s="19" t="s">
        <v>20</v>
      </c>
      <c r="H15" s="19" t="s">
        <v>21</v>
      </c>
      <c r="I15" s="19" t="s">
        <v>22</v>
      </c>
      <c r="J15" s="19" t="s">
        <v>46</v>
      </c>
      <c r="K15" s="19" t="s">
        <v>47</v>
      </c>
      <c r="L15" s="19" t="s">
        <v>31</v>
      </c>
      <c r="M15" s="19" t="s">
        <v>48</v>
      </c>
      <c r="N15" s="19" t="s">
        <v>32</v>
      </c>
    </row>
    <row r="16" ht="30" customHeight="1" spans="1:14">
      <c r="A16" s="20">
        <v>1</v>
      </c>
      <c r="B16" s="20" t="s">
        <v>33</v>
      </c>
      <c r="C16" s="21">
        <f t="shared" ref="C16:C18" si="0">D8</f>
        <v>1920</v>
      </c>
      <c r="D16" s="21">
        <f t="shared" ref="D16:D18" si="1">H8</f>
        <v>1080</v>
      </c>
      <c r="E16" s="21">
        <f t="shared" ref="E16:E18" si="2">IF(J8="NV12",1.5,IF(J8="RGB565",2,IF(J8="BGR0",4,1.5)))</f>
        <v>1.5</v>
      </c>
      <c r="F16" s="21">
        <f t="shared" ref="F16:F18" si="3">K8</f>
        <v>3</v>
      </c>
      <c r="G16" s="21">
        <f>CEILING(D7,8)*H7*3/2+((CEILING(CEILING(D7,16)/16,8)*2)*(CEILING(H7,16)/16+1))*20*2</f>
        <v>3772800</v>
      </c>
      <c r="H16" s="22">
        <f t="shared" ref="H16:H18" si="4">C16</f>
        <v>1920</v>
      </c>
      <c r="I16" s="21">
        <f t="shared" ref="I16:I18" si="5">D16</f>
        <v>1080</v>
      </c>
      <c r="J16" s="21">
        <f>CEILING(1*1024*1024,4096)</f>
        <v>1048576</v>
      </c>
      <c r="K16" s="21">
        <f>CEILING(IF(H13="T10",1280*960,IF(OR(H13="T20",H13="T21"),1920*1080,2048*1536)),4096)</f>
        <v>2076672</v>
      </c>
      <c r="L16" s="21" t="s">
        <v>36</v>
      </c>
      <c r="M16" s="21" t="s">
        <v>36</v>
      </c>
      <c r="N16" s="21">
        <f>IF(B16="Yes",CEILING((CEILING(C16,16)*CEILING(D16,16)*E16*F16),4096)+G16+IF(J8="NV12",IF(AND(C16=H16,D16=I16),0,CEILING(CEILING(H16,16)*CEILING(I16,16)*E16,4096))+CEILING(((CEILING(C16,16)+0)*(CEILING(D16,16)+16)+0+0)*E16*IF(M16="YES",3,2)+0+1048576+0,4096)+J16+K16+IF(L16="YES",CEILING(20480+256,4096),0),0),0)</f>
        <v>23708032</v>
      </c>
    </row>
    <row r="17" ht="27" customHeight="1" spans="1:14">
      <c r="A17" s="20">
        <v>2</v>
      </c>
      <c r="B17" s="20" t="s">
        <v>33</v>
      </c>
      <c r="C17" s="21">
        <f t="shared" si="0"/>
        <v>640</v>
      </c>
      <c r="D17" s="21">
        <f t="shared" si="1"/>
        <v>360</v>
      </c>
      <c r="E17" s="21">
        <f t="shared" si="2"/>
        <v>1.5</v>
      </c>
      <c r="F17" s="21">
        <f t="shared" si="3"/>
        <v>3</v>
      </c>
      <c r="G17" s="21">
        <v>0</v>
      </c>
      <c r="H17" s="22">
        <f t="shared" si="4"/>
        <v>640</v>
      </c>
      <c r="I17" s="21">
        <f t="shared" si="5"/>
        <v>360</v>
      </c>
      <c r="J17" s="21">
        <v>0</v>
      </c>
      <c r="K17" s="21">
        <v>0</v>
      </c>
      <c r="L17" s="21" t="s">
        <v>36</v>
      </c>
      <c r="M17" s="21" t="s">
        <v>36</v>
      </c>
      <c r="N17" s="21">
        <f>IF(B17="Yes",CEILING((CEILING(C17,16)*CEILING(D17,16)*E17*F17),4096)+IF(J9="NV12",IF(AND(C17=H17,D17=I17),0,CEILING(CEILING(H17,16)*CEILING(I17,16)*E17,4096))+CEILING(((CEILING(C17,16)+32)*(CEILING(D17,16)+48)+256+1024)*E17*IF(M17="YES",3,2)+256+1048576+256,4096)+J17+K17+IF(L17="YES",CEILING(20480+256,4096),0),0),0)</f>
        <v>2953216</v>
      </c>
    </row>
    <row r="18" ht="27" customHeight="1" spans="1:14">
      <c r="A18" s="20">
        <v>3</v>
      </c>
      <c r="B18" s="20" t="s">
        <v>36</v>
      </c>
      <c r="C18" s="21">
        <f t="shared" si="0"/>
        <v>1280</v>
      </c>
      <c r="D18" s="21">
        <f t="shared" si="1"/>
        <v>720</v>
      </c>
      <c r="E18" s="21">
        <f t="shared" si="2"/>
        <v>4</v>
      </c>
      <c r="F18" s="21">
        <f t="shared" si="3"/>
        <v>3</v>
      </c>
      <c r="G18" s="21">
        <v>0</v>
      </c>
      <c r="H18" s="22">
        <f t="shared" si="4"/>
        <v>1280</v>
      </c>
      <c r="I18" s="21">
        <f t="shared" si="5"/>
        <v>720</v>
      </c>
      <c r="J18" s="21">
        <v>0</v>
      </c>
      <c r="K18" s="21">
        <v>0</v>
      </c>
      <c r="L18" s="21" t="s">
        <v>36</v>
      </c>
      <c r="M18" s="21" t="s">
        <v>36</v>
      </c>
      <c r="N18" s="21">
        <f>IF(B18="Yes",CEILING((CEILING(C18,16)*CEILING(D18,16)*E18*F18),4096)+IF(J10="NV12",IF(AND(C18=H18,D18=I18),0,CEILING(CEILING(H18,16)*CEILING(I18,16)*E18,4096))+CEILING(((CEILING(C18,16)+32)*(CEILING(D18,16)+48)+256+1024)*E18*IF(M18="YES",3,2)+256+1048576+256,4096)+J18+K18+IF(L18="YES",CEILING(20480+256,4096),0),0),0)</f>
        <v>0</v>
      </c>
    </row>
    <row r="19" ht="21" customHeight="1" spans="1:14">
      <c r="A19" s="23" t="s">
        <v>37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ht="14.1" customHeight="1"/>
    <row r="21" ht="36" customHeight="1" spans="1:16">
      <c r="A21" s="25"/>
      <c r="B21" s="25"/>
      <c r="C21" s="25"/>
      <c r="D21" s="26" t="s">
        <v>38</v>
      </c>
      <c r="E21" s="26"/>
      <c r="F21" s="26"/>
      <c r="G21" s="26"/>
      <c r="H21" s="26" t="s">
        <v>49</v>
      </c>
      <c r="I21" s="26"/>
      <c r="J21" s="40"/>
      <c r="K21" s="40"/>
      <c r="N21"/>
      <c r="O21"/>
      <c r="P21"/>
    </row>
    <row r="22" ht="36.95" customHeight="1" spans="1:16">
      <c r="A22" s="25" t="s">
        <v>40</v>
      </c>
      <c r="B22" s="25"/>
      <c r="C22" s="25"/>
      <c r="D22" s="14">
        <f>IF($D$13="64M",64,128)*1024*1024-H22</f>
        <v>40447616</v>
      </c>
      <c r="E22" s="14"/>
      <c r="F22" s="14"/>
      <c r="G22" s="14"/>
      <c r="H22" s="27">
        <f>N16+N17+N18</f>
        <v>26661248</v>
      </c>
      <c r="I22" s="27"/>
      <c r="J22" s="40"/>
      <c r="K22" s="40"/>
      <c r="N22"/>
      <c r="O22"/>
      <c r="P22"/>
    </row>
    <row r="23" ht="33.95" customHeight="1" spans="1:16">
      <c r="A23" s="25" t="s">
        <v>41</v>
      </c>
      <c r="B23" s="25"/>
      <c r="C23" s="25"/>
      <c r="D23" s="14">
        <f>IF($D$13="64M",64,128)*1024-H23</f>
        <v>39496</v>
      </c>
      <c r="E23" s="14"/>
      <c r="F23" s="14"/>
      <c r="G23" s="14"/>
      <c r="H23" s="27">
        <f>CEILING(H22/1024,4)</f>
        <v>26040</v>
      </c>
      <c r="I23" s="27"/>
      <c r="J23" s="40"/>
      <c r="K23" s="40"/>
      <c r="N23"/>
      <c r="O23"/>
      <c r="P23"/>
    </row>
    <row r="24" ht="30" customHeight="1" spans="1:16">
      <c r="A24" s="25" t="s">
        <v>42</v>
      </c>
      <c r="B24" s="25"/>
      <c r="C24" s="25"/>
      <c r="D24" s="14">
        <f>IF($D$13="64M",64,128)-H24</f>
        <v>38</v>
      </c>
      <c r="E24" s="14"/>
      <c r="F24" s="14"/>
      <c r="G24" s="14"/>
      <c r="H24" s="27">
        <f>CEILING(H23/1024,1)</f>
        <v>26</v>
      </c>
      <c r="I24" s="27"/>
      <c r="J24" s="40"/>
      <c r="K24" s="40"/>
      <c r="N24"/>
      <c r="O24"/>
      <c r="P24"/>
    </row>
    <row r="25" ht="18.95" customHeight="1" spans="14:16">
      <c r="N25"/>
      <c r="O25"/>
      <c r="P25"/>
    </row>
    <row r="26" spans="1:16">
      <c r="A26" s="28" t="s">
        <v>43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/>
      <c r="O26"/>
      <c r="P26"/>
    </row>
    <row r="27" ht="18" customHeight="1" spans="1:16">
      <c r="A27" s="29" t="str">
        <f>"mem="&amp;D23&amp;"K@0x0"&amp;"  rmem="&amp;H23&amp;"K@0x"&amp;DEC2HEX(D23*1024,7)</f>
        <v>mem=39496K@0x0  rmem=26040K@0x2692000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/>
      <c r="O27"/>
      <c r="P27"/>
    </row>
    <row r="28" ht="21.75" customHeight="1" spans="1:16">
      <c r="A28" s="30" t="str">
        <f>"mem="&amp;D24&amp;"M@0x0"&amp;" rmem="&amp;H24&amp;"M@0x"&amp;DEC2HEX(D24*1024*1024,7)</f>
        <v>mem=38M@0x0 rmem=26M@0x2600000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/>
      <c r="O28"/>
      <c r="P28"/>
    </row>
  </sheetData>
  <mergeCells count="34">
    <mergeCell ref="A6:I6"/>
    <mergeCell ref="A7:C7"/>
    <mergeCell ref="D7:G7"/>
    <mergeCell ref="H7:I7"/>
    <mergeCell ref="A8:C8"/>
    <mergeCell ref="D8:G8"/>
    <mergeCell ref="H8:I8"/>
    <mergeCell ref="A9:C9"/>
    <mergeCell ref="D9:G9"/>
    <mergeCell ref="H9:I9"/>
    <mergeCell ref="A10:C10"/>
    <mergeCell ref="D10:G10"/>
    <mergeCell ref="H10:I10"/>
    <mergeCell ref="A11:XEW11"/>
    <mergeCell ref="A12:F12"/>
    <mergeCell ref="A13:C13"/>
    <mergeCell ref="D13:G13"/>
    <mergeCell ref="A14:XEW14"/>
    <mergeCell ref="A19:N19"/>
    <mergeCell ref="A21:C21"/>
    <mergeCell ref="D21:F21"/>
    <mergeCell ref="H21:I21"/>
    <mergeCell ref="A22:C22"/>
    <mergeCell ref="D22:G22"/>
    <mergeCell ref="H22:I22"/>
    <mergeCell ref="A23:C23"/>
    <mergeCell ref="D23:G23"/>
    <mergeCell ref="H23:I23"/>
    <mergeCell ref="A24:C24"/>
    <mergeCell ref="D24:G24"/>
    <mergeCell ref="H24:I24"/>
    <mergeCell ref="A27:L27"/>
    <mergeCell ref="A28:L28"/>
    <mergeCell ref="A1:L4"/>
  </mergeCells>
  <dataValidations count="6">
    <dataValidation type="list" showInputMessage="1" showErrorMessage="1" sqref="H13">
      <formula1>"T21"</formula1>
    </dataValidation>
    <dataValidation allowBlank="1" showInputMessage="1" showErrorMessage="1" sqref="J7 K7"/>
    <dataValidation type="list" allowBlank="1" showInputMessage="1" showErrorMessage="1" sqref="J10 J8:J9">
      <formula1>"NV12,BGR0"</formula1>
    </dataValidation>
    <dataValidation type="list" allowBlank="1" showInputMessage="1" showErrorMessage="1" sqref="D13:F13 G13">
      <formula1>"64M,128M"</formula1>
    </dataValidation>
    <dataValidation type="list" allowBlank="1" showInputMessage="1" showErrorMessage="1" sqref="L17 L18 B16:B18">
      <formula1>"Yes,No"</formula1>
    </dataValidation>
    <dataValidation type="list" allowBlank="1" showInputMessage="1" showErrorMessage="1" sqref="L16 M16 M17 M18">
      <formula1>"No"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28"/>
  <sheetViews>
    <sheetView workbookViewId="0">
      <selection activeCell="L15" sqref="L15"/>
    </sheetView>
  </sheetViews>
  <sheetFormatPr defaultColWidth="9" defaultRowHeight="22.5"/>
  <cols>
    <col min="1" max="2" width="6.125" style="5" customWidth="1"/>
    <col min="3" max="3" width="9.125" style="5" customWidth="1"/>
    <col min="4" max="4" width="17" style="5" customWidth="1"/>
    <col min="5" max="5" width="13.5" style="5" customWidth="1"/>
    <col min="6" max="6" width="9.125" style="5" customWidth="1"/>
    <col min="7" max="7" width="15.75" style="5" customWidth="1"/>
    <col min="8" max="8" width="17.625" style="5" customWidth="1"/>
    <col min="9" max="9" width="14.75" style="5" customWidth="1"/>
    <col min="10" max="11" width="15.75" style="5" customWidth="1"/>
    <col min="12" max="13" width="17.375" style="5" customWidth="1"/>
    <col min="14" max="14" width="14" style="5" customWidth="1"/>
    <col min="15" max="15" width="9" style="5"/>
    <col min="16" max="16" width="17.375" style="5" customWidth="1"/>
    <col min="17" max="16381" width="9" style="5"/>
  </cols>
  <sheetData>
    <row r="1" ht="14.25" spans="1:16">
      <c r="A1" s="6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N1"/>
      <c r="O1"/>
      <c r="P1"/>
    </row>
    <row r="2" ht="14.25" spans="1:11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ht="14.25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ht="45" customHeight="1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ht="4" customHeight="1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ht="30.95" customHeight="1" spans="1:11">
      <c r="A6" s="7" t="s">
        <v>1</v>
      </c>
      <c r="B6" s="8"/>
      <c r="C6" s="8"/>
      <c r="D6" s="8"/>
      <c r="E6" s="8"/>
      <c r="F6" s="8"/>
      <c r="G6" s="8"/>
      <c r="H6" s="9"/>
      <c r="I6" s="15" t="s">
        <v>2</v>
      </c>
      <c r="J6" s="31" t="s">
        <v>3</v>
      </c>
      <c r="K6" s="37"/>
    </row>
    <row r="7" ht="23.1" customHeight="1" spans="1:13">
      <c r="A7" s="10" t="s">
        <v>4</v>
      </c>
      <c r="B7" s="10"/>
      <c r="C7" s="10"/>
      <c r="D7" s="11">
        <v>2592</v>
      </c>
      <c r="E7" s="11"/>
      <c r="F7" s="11"/>
      <c r="G7" s="12">
        <v>1520</v>
      </c>
      <c r="H7" s="13"/>
      <c r="I7" s="32"/>
      <c r="J7" s="32"/>
      <c r="K7" s="38"/>
      <c r="L7" s="4"/>
      <c r="M7" s="4"/>
    </row>
    <row r="8" ht="23.1" customHeight="1" spans="1:13">
      <c r="A8" s="10" t="s">
        <v>5</v>
      </c>
      <c r="B8" s="10"/>
      <c r="C8" s="10"/>
      <c r="D8" s="11">
        <v>2592</v>
      </c>
      <c r="E8" s="11"/>
      <c r="F8" s="11"/>
      <c r="G8" s="12">
        <v>1520</v>
      </c>
      <c r="H8" s="13"/>
      <c r="I8" s="21" t="s">
        <v>6</v>
      </c>
      <c r="J8" s="21">
        <v>2</v>
      </c>
      <c r="K8" s="4"/>
      <c r="L8" s="4"/>
      <c r="M8" s="4"/>
    </row>
    <row r="9" ht="27" customHeight="1" spans="1:13">
      <c r="A9" s="10" t="s">
        <v>7</v>
      </c>
      <c r="B9" s="10"/>
      <c r="C9" s="10"/>
      <c r="D9" s="11">
        <v>640</v>
      </c>
      <c r="E9" s="11"/>
      <c r="F9" s="11"/>
      <c r="G9" s="12">
        <v>360</v>
      </c>
      <c r="H9" s="13"/>
      <c r="I9" s="21" t="s">
        <v>6</v>
      </c>
      <c r="J9" s="21">
        <v>2</v>
      </c>
      <c r="K9" s="4"/>
      <c r="L9" s="4"/>
      <c r="M9" s="4"/>
    </row>
    <row r="10" ht="27" customHeight="1" spans="1:13">
      <c r="A10" s="10" t="s">
        <v>8</v>
      </c>
      <c r="B10" s="10"/>
      <c r="C10" s="10"/>
      <c r="D10" s="11">
        <v>1280</v>
      </c>
      <c r="E10" s="11"/>
      <c r="F10" s="11"/>
      <c r="G10" s="12">
        <v>720</v>
      </c>
      <c r="H10" s="13"/>
      <c r="I10" s="21" t="s">
        <v>9</v>
      </c>
      <c r="J10" s="21">
        <v>2</v>
      </c>
      <c r="K10" s="4"/>
      <c r="L10" s="4"/>
      <c r="M10" s="4"/>
    </row>
    <row r="11" s="3" customFormat="1"/>
    <row r="12" ht="27" customHeight="1" spans="1:8">
      <c r="A12" s="14" t="s">
        <v>10</v>
      </c>
      <c r="B12" s="14"/>
      <c r="C12" s="14"/>
      <c r="D12" s="14"/>
      <c r="E12" s="14"/>
      <c r="F12" s="14"/>
      <c r="G12" s="15" t="s">
        <v>11</v>
      </c>
      <c r="H12" s="35" t="s">
        <v>51</v>
      </c>
    </row>
    <row r="13" ht="29.1" customHeight="1" spans="1:8">
      <c r="A13" s="16" t="s">
        <v>12</v>
      </c>
      <c r="B13" s="16"/>
      <c r="C13" s="16"/>
      <c r="D13" s="17" t="s">
        <v>52</v>
      </c>
      <c r="E13" s="17"/>
      <c r="F13" s="17"/>
      <c r="G13" s="18" t="s">
        <v>53</v>
      </c>
      <c r="H13" s="36" t="s">
        <v>33</v>
      </c>
    </row>
    <row r="14" s="4" customFormat="1" ht="15" customHeight="1"/>
    <row r="15" ht="47.1" customHeight="1" spans="1:14">
      <c r="A15" s="19" t="s">
        <v>15</v>
      </c>
      <c r="B15" s="19" t="s">
        <v>16</v>
      </c>
      <c r="C15" s="19" t="s">
        <v>17</v>
      </c>
      <c r="D15" s="19" t="s">
        <v>18</v>
      </c>
      <c r="E15" s="19" t="s">
        <v>19</v>
      </c>
      <c r="F15" s="19" t="s">
        <v>3</v>
      </c>
      <c r="G15" s="19" t="s">
        <v>21</v>
      </c>
      <c r="H15" s="19" t="s">
        <v>22</v>
      </c>
      <c r="I15" s="19" t="s">
        <v>30</v>
      </c>
      <c r="J15" s="19" t="s">
        <v>47</v>
      </c>
      <c r="K15" s="19" t="s">
        <v>54</v>
      </c>
      <c r="L15" s="19" t="s">
        <v>31</v>
      </c>
      <c r="M15" s="19" t="s">
        <v>55</v>
      </c>
      <c r="N15" s="19" t="s">
        <v>32</v>
      </c>
    </row>
    <row r="16" ht="30" customHeight="1" spans="1:14">
      <c r="A16" s="20">
        <v>1</v>
      </c>
      <c r="B16" s="20" t="s">
        <v>33</v>
      </c>
      <c r="C16" s="21">
        <f t="shared" ref="C16:C18" si="0">D8</f>
        <v>2592</v>
      </c>
      <c r="D16" s="21">
        <f t="shared" ref="D16:D18" si="1">G8</f>
        <v>1520</v>
      </c>
      <c r="E16" s="21">
        <f t="shared" ref="E16:E18" si="2">IF(I8="NV12",1.5,IF(I8="RGB565",2,IF(I8="BGR0",4,1.5)))</f>
        <v>1.5</v>
      </c>
      <c r="F16" s="21">
        <f t="shared" ref="F16:F18" si="3">J8</f>
        <v>2</v>
      </c>
      <c r="G16" s="22">
        <f t="shared" ref="G16:G18" si="4">C16</f>
        <v>2592</v>
      </c>
      <c r="H16" s="21">
        <f t="shared" ref="H16:H18" si="5">D16</f>
        <v>1520</v>
      </c>
      <c r="I16" s="21">
        <f>CEILING(1*1024*1024,4096)</f>
        <v>1048576</v>
      </c>
      <c r="J16" s="21">
        <f>CEILING(IF(G13="T10",1280*960,IF(G13="T20",1920*1080,2048*1536)),4096)</f>
        <v>3145728</v>
      </c>
      <c r="K16" s="21" t="s">
        <v>33</v>
      </c>
      <c r="L16" s="21" t="s">
        <v>33</v>
      </c>
      <c r="M16" s="21" t="s">
        <v>36</v>
      </c>
      <c r="N16" s="21">
        <f t="shared" ref="N16:N18" si="6">IF(B16="Yes",CEILING((CEILING(C16,16)*CEILING(D16,16)*E16*F16),4096)+IF(I8="NV12",IF(K16="Yes",IF(AND(C16=G16,D16=H16),0,CEILING(CEILING(G16,16)*CEILING(H16,16)*E16,4096))+CEILING(((CEILING(C16,16)+32)*(CEILING(D16,16)+48)+256+1024)*E16*IF(M16="YES",3,2)+256+20480+256,4096),0)+I16+J16+IF(L16="YES",CEILING(20480+256,4096),0),0),0)</f>
        <v>28409856</v>
      </c>
    </row>
    <row r="17" ht="27" customHeight="1" spans="1:14">
      <c r="A17" s="20">
        <v>2</v>
      </c>
      <c r="B17" s="20" t="s">
        <v>33</v>
      </c>
      <c r="C17" s="21">
        <f t="shared" si="0"/>
        <v>640</v>
      </c>
      <c r="D17" s="21">
        <f t="shared" si="1"/>
        <v>360</v>
      </c>
      <c r="E17" s="21">
        <f t="shared" si="2"/>
        <v>1.5</v>
      </c>
      <c r="F17" s="21">
        <f t="shared" si="3"/>
        <v>2</v>
      </c>
      <c r="G17" s="22">
        <f t="shared" si="4"/>
        <v>640</v>
      </c>
      <c r="H17" s="21">
        <f t="shared" si="5"/>
        <v>360</v>
      </c>
      <c r="I17" s="21">
        <v>0</v>
      </c>
      <c r="J17" s="21">
        <v>0</v>
      </c>
      <c r="K17" s="21" t="s">
        <v>33</v>
      </c>
      <c r="L17" s="21" t="s">
        <v>36</v>
      </c>
      <c r="M17" s="21" t="s">
        <v>36</v>
      </c>
      <c r="N17" s="21">
        <f t="shared" si="6"/>
        <v>1572864</v>
      </c>
    </row>
    <row r="18" ht="27" customHeight="1" spans="1:14">
      <c r="A18" s="20">
        <v>3</v>
      </c>
      <c r="B18" s="20" t="s">
        <v>36</v>
      </c>
      <c r="C18" s="21">
        <f t="shared" si="0"/>
        <v>1280</v>
      </c>
      <c r="D18" s="21">
        <f t="shared" si="1"/>
        <v>720</v>
      </c>
      <c r="E18" s="21">
        <f t="shared" si="2"/>
        <v>4</v>
      </c>
      <c r="F18" s="21">
        <f t="shared" si="3"/>
        <v>2</v>
      </c>
      <c r="G18" s="22">
        <f t="shared" si="4"/>
        <v>1280</v>
      </c>
      <c r="H18" s="21">
        <f t="shared" si="5"/>
        <v>720</v>
      </c>
      <c r="I18" s="21">
        <v>0</v>
      </c>
      <c r="J18" s="21">
        <v>0</v>
      </c>
      <c r="K18" s="21" t="s">
        <v>33</v>
      </c>
      <c r="L18" s="21" t="s">
        <v>36</v>
      </c>
      <c r="M18" s="21" t="s">
        <v>36</v>
      </c>
      <c r="N18" s="21">
        <f t="shared" si="6"/>
        <v>0</v>
      </c>
    </row>
    <row r="19" ht="21" customHeight="1" spans="1:14">
      <c r="A19" s="23" t="s">
        <v>37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ht="14.1" customHeight="1"/>
    <row r="21" ht="36" customHeight="1" spans="1:16">
      <c r="A21" s="25"/>
      <c r="B21" s="25"/>
      <c r="C21" s="25"/>
      <c r="D21" s="26" t="s">
        <v>38</v>
      </c>
      <c r="E21" s="26"/>
      <c r="F21" s="26"/>
      <c r="G21" s="26" t="s">
        <v>20</v>
      </c>
      <c r="H21" s="26"/>
      <c r="I21" s="26" t="s">
        <v>39</v>
      </c>
      <c r="J21" s="26"/>
      <c r="K21" s="26"/>
      <c r="N21"/>
      <c r="O21"/>
      <c r="P21"/>
    </row>
    <row r="22" ht="36.95" customHeight="1" spans="1:16">
      <c r="A22" s="25" t="s">
        <v>40</v>
      </c>
      <c r="B22" s="25"/>
      <c r="C22" s="25"/>
      <c r="D22" s="14">
        <f>CEILING(1024*1024*IF(D13="64M",64,128)-G22-I22,1024)</f>
        <v>88475648</v>
      </c>
      <c r="E22" s="14"/>
      <c r="F22" s="14"/>
      <c r="G22" s="27">
        <f>IF(H13="NO",CEILING(CEILING($D$7,16)*CEILING($G$7,8)*3/2,4096)+CEILING(CEILING((CEILING($D$7,28)/28),16)*((CEILING($G$7,28)/28)+1)*50,4096),CEILING($D$7,16)*CEILING(G7,16)*4)</f>
        <v>15759360</v>
      </c>
      <c r="H22" s="27"/>
      <c r="I22" s="33">
        <f>CEILING(N16+N17+N18,1024)</f>
        <v>29982720</v>
      </c>
      <c r="J22" s="33"/>
      <c r="K22" s="33"/>
      <c r="N22"/>
      <c r="O22"/>
      <c r="P22"/>
    </row>
    <row r="23" ht="33.95" customHeight="1" spans="1:16">
      <c r="A23" s="25" t="s">
        <v>41</v>
      </c>
      <c r="B23" s="25"/>
      <c r="C23" s="25"/>
      <c r="D23" s="14">
        <f>IF(D13="64M",64,128)*1024-CEILING((G22+I22)/1024,4)</f>
        <v>86400</v>
      </c>
      <c r="E23" s="14"/>
      <c r="F23" s="14"/>
      <c r="G23" s="27">
        <f>CEILING(ROUNDUP(G22/1024,0),4)</f>
        <v>15392</v>
      </c>
      <c r="H23" s="27"/>
      <c r="I23" s="34">
        <f>CEILING(ROUNDUP(I22/1024,0),4)</f>
        <v>29280</v>
      </c>
      <c r="J23" s="34"/>
      <c r="K23" s="34"/>
      <c r="N23"/>
      <c r="O23"/>
      <c r="P23"/>
    </row>
    <row r="24" ht="30" customHeight="1" spans="1:16">
      <c r="A24" s="25" t="s">
        <v>42</v>
      </c>
      <c r="B24" s="25"/>
      <c r="C24" s="25"/>
      <c r="D24" s="14">
        <f>IF(D13="64M",64,128)-CEILING((G22+I22)/1024/1024,1)</f>
        <v>84</v>
      </c>
      <c r="E24" s="14"/>
      <c r="F24" s="14"/>
      <c r="G24" s="27">
        <f>ROUNDUP(G23/1024,0)</f>
        <v>16</v>
      </c>
      <c r="H24" s="27"/>
      <c r="I24" s="34">
        <f>ROUNDUP(I23/1024,0)</f>
        <v>29</v>
      </c>
      <c r="J24" s="34"/>
      <c r="K24" s="34"/>
      <c r="N24"/>
      <c r="O24"/>
      <c r="P24"/>
    </row>
    <row r="25" ht="18.95" customHeight="1" spans="14:16">
      <c r="N25"/>
      <c r="O25"/>
      <c r="P25"/>
    </row>
    <row r="26" spans="1:16">
      <c r="A26" s="28" t="s">
        <v>43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/>
      <c r="O26"/>
      <c r="P26"/>
    </row>
    <row r="27" ht="18" customHeight="1" spans="1:16">
      <c r="A27" s="29" t="str">
        <f>"mem="&amp;D23&amp;"K@0x0"&amp;"  rmem="&amp;(IF(D13="64M",64,128)*1024-D23)&amp;"K@0x"&amp;DEC2HEX(D23*1024,7)</f>
        <v>mem=86400K@0x0  rmem=44672K@0x5460000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/>
      <c r="O27"/>
      <c r="P27"/>
    </row>
    <row r="28" ht="21.75" customHeight="1" spans="1:16">
      <c r="A28" s="30" t="str">
        <f>"mem="&amp;D24&amp;"M@0x0"&amp;" rmem="&amp;(IF(D13="64M",64,128)-D24)&amp;"M@0x"&amp;DEC2HEX(D24*1024*1024,7)</f>
        <v>mem=84M@0x0 rmem=44M@0x5400000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/>
      <c r="O28"/>
      <c r="P28"/>
    </row>
  </sheetData>
  <mergeCells count="38">
    <mergeCell ref="A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XEW11"/>
    <mergeCell ref="A12:F12"/>
    <mergeCell ref="A13:C13"/>
    <mergeCell ref="D13:F13"/>
    <mergeCell ref="A14:XEW14"/>
    <mergeCell ref="A19:N19"/>
    <mergeCell ref="A21:C21"/>
    <mergeCell ref="D21:F21"/>
    <mergeCell ref="G21:H21"/>
    <mergeCell ref="I21:J21"/>
    <mergeCell ref="A22:C22"/>
    <mergeCell ref="D22:F22"/>
    <mergeCell ref="G22:H22"/>
    <mergeCell ref="I22:J22"/>
    <mergeCell ref="A23:C23"/>
    <mergeCell ref="D23:F23"/>
    <mergeCell ref="G23:H23"/>
    <mergeCell ref="I23:J23"/>
    <mergeCell ref="A24:C24"/>
    <mergeCell ref="D24:F24"/>
    <mergeCell ref="G24:H24"/>
    <mergeCell ref="I24:J24"/>
    <mergeCell ref="A27:L27"/>
    <mergeCell ref="A28:L28"/>
    <mergeCell ref="A1:J4"/>
  </mergeCells>
  <dataValidations count="6">
    <dataValidation allowBlank="1" showInputMessage="1" showErrorMessage="1" sqref="I7 J7 K7"/>
    <dataValidation type="list" allowBlank="1" showInputMessage="1" showErrorMessage="1" sqref="D13:F13">
      <formula1>"64M,128M"</formula1>
    </dataValidation>
    <dataValidation type="list" allowBlank="1" showInputMessage="1" showErrorMessage="1" sqref="M16 M17 M18">
      <formula1>"No"</formula1>
    </dataValidation>
    <dataValidation type="list" allowBlank="1" showInputMessage="1" showErrorMessage="1" sqref="H13 K16 L16 K17 L17 K18 L18 B16:B18">
      <formula1>"Yes,No"</formula1>
    </dataValidation>
    <dataValidation type="list" showInputMessage="1" showErrorMessage="1" sqref="G13">
      <formula1>"T30"</formula1>
    </dataValidation>
    <dataValidation type="list" allowBlank="1" showInputMessage="1" showErrorMessage="1" sqref="I8:I10">
      <formula1>"NV12,BGR0"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28"/>
  <sheetViews>
    <sheetView topLeftCell="A7" workbookViewId="0">
      <selection activeCell="M18" sqref="M18"/>
    </sheetView>
  </sheetViews>
  <sheetFormatPr defaultColWidth="9" defaultRowHeight="22.5"/>
  <cols>
    <col min="1" max="2" width="6.125" style="5" customWidth="1"/>
    <col min="3" max="3" width="9.125" style="5" customWidth="1"/>
    <col min="4" max="4" width="17" style="5" customWidth="1"/>
    <col min="5" max="5" width="13.5" style="5" customWidth="1"/>
    <col min="6" max="6" width="9.125" style="5" customWidth="1"/>
    <col min="7" max="7" width="15.75" style="5" customWidth="1"/>
    <col min="8" max="8" width="17.625" style="5" customWidth="1"/>
    <col min="9" max="9" width="14.75" style="5" customWidth="1"/>
    <col min="10" max="10" width="15.75" style="5" customWidth="1"/>
    <col min="11" max="12" width="17.375" style="5" customWidth="1"/>
    <col min="13" max="13" width="14" style="5" customWidth="1"/>
    <col min="14" max="14" width="9" style="5"/>
    <col min="15" max="15" width="17.375" style="5" customWidth="1"/>
    <col min="16" max="16380" width="9" style="5"/>
  </cols>
  <sheetData>
    <row r="1" ht="13.5" spans="1:15">
      <c r="A1" s="6" t="s">
        <v>56</v>
      </c>
      <c r="B1" s="6"/>
      <c r="C1" s="6"/>
      <c r="D1" s="6"/>
      <c r="E1" s="6"/>
      <c r="F1" s="6"/>
      <c r="G1" s="6"/>
      <c r="H1" s="6"/>
      <c r="I1" s="6"/>
      <c r="J1" s="6"/>
      <c r="M1"/>
      <c r="N1"/>
      <c r="O1"/>
    </row>
    <row r="2" ht="13.5" spans="1:10">
      <c r="A2" s="6"/>
      <c r="B2" s="6"/>
      <c r="C2" s="6"/>
      <c r="D2" s="6"/>
      <c r="E2" s="6"/>
      <c r="F2" s="6"/>
      <c r="G2" s="6"/>
      <c r="H2" s="6"/>
      <c r="I2" s="6"/>
      <c r="J2" s="6"/>
    </row>
    <row r="3" ht="13.5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ht="42" customHeight="1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ht="8" customHeight="1"/>
    <row r="6" ht="30.95" customHeight="1" spans="1:10">
      <c r="A6" s="7" t="s">
        <v>1</v>
      </c>
      <c r="B6" s="8"/>
      <c r="C6" s="8"/>
      <c r="D6" s="8"/>
      <c r="E6" s="8"/>
      <c r="F6" s="8"/>
      <c r="G6" s="8"/>
      <c r="H6" s="9"/>
      <c r="I6" s="15" t="s">
        <v>2</v>
      </c>
      <c r="J6" s="31" t="s">
        <v>3</v>
      </c>
    </row>
    <row r="7" ht="23.1" customHeight="1" spans="1:12">
      <c r="A7" s="10" t="s">
        <v>4</v>
      </c>
      <c r="B7" s="10"/>
      <c r="C7" s="10"/>
      <c r="D7" s="11">
        <v>1920</v>
      </c>
      <c r="E7" s="11"/>
      <c r="F7" s="11"/>
      <c r="G7" s="12">
        <v>1080</v>
      </c>
      <c r="H7" s="13"/>
      <c r="I7" s="32"/>
      <c r="J7" s="32"/>
      <c r="K7" s="4"/>
      <c r="L7" s="4"/>
    </row>
    <row r="8" ht="23.1" customHeight="1" spans="1:12">
      <c r="A8" s="10" t="s">
        <v>5</v>
      </c>
      <c r="B8" s="10"/>
      <c r="C8" s="10"/>
      <c r="D8" s="11">
        <v>1920</v>
      </c>
      <c r="E8" s="11"/>
      <c r="F8" s="11"/>
      <c r="G8" s="12">
        <v>1080</v>
      </c>
      <c r="H8" s="13"/>
      <c r="I8" s="21" t="s">
        <v>6</v>
      </c>
      <c r="J8" s="21">
        <v>2</v>
      </c>
      <c r="K8" s="4"/>
      <c r="L8" s="4"/>
    </row>
    <row r="9" ht="27" customHeight="1" spans="1:12">
      <c r="A9" s="10" t="s">
        <v>7</v>
      </c>
      <c r="B9" s="10"/>
      <c r="C9" s="10"/>
      <c r="D9" s="11">
        <v>640</v>
      </c>
      <c r="E9" s="11"/>
      <c r="F9" s="11"/>
      <c r="G9" s="12">
        <v>360</v>
      </c>
      <c r="H9" s="13"/>
      <c r="I9" s="21" t="s">
        <v>6</v>
      </c>
      <c r="J9" s="21">
        <v>2</v>
      </c>
      <c r="K9" s="4"/>
      <c r="L9" s="4"/>
    </row>
    <row r="10" ht="27" customHeight="1" spans="1:12">
      <c r="A10" s="10" t="s">
        <v>8</v>
      </c>
      <c r="B10" s="10"/>
      <c r="C10" s="10"/>
      <c r="D10" s="11">
        <v>1280</v>
      </c>
      <c r="E10" s="11"/>
      <c r="F10" s="11"/>
      <c r="G10" s="12">
        <v>720</v>
      </c>
      <c r="H10" s="13"/>
      <c r="I10" s="21" t="s">
        <v>9</v>
      </c>
      <c r="J10" s="21">
        <v>2</v>
      </c>
      <c r="K10" s="4"/>
      <c r="L10" s="4"/>
    </row>
    <row r="11" s="3" customFormat="1" ht="15" customHeight="1"/>
    <row r="12" ht="27" customHeight="1" spans="1:7">
      <c r="A12" s="14" t="s">
        <v>10</v>
      </c>
      <c r="B12" s="14"/>
      <c r="C12" s="14"/>
      <c r="D12" s="14"/>
      <c r="E12" s="14"/>
      <c r="F12" s="14"/>
      <c r="G12" s="15" t="s">
        <v>11</v>
      </c>
    </row>
    <row r="13" ht="29.1" customHeight="1" spans="1:7">
      <c r="A13" s="16" t="s">
        <v>12</v>
      </c>
      <c r="B13" s="16"/>
      <c r="C13" s="16"/>
      <c r="D13" s="17" t="s">
        <v>13</v>
      </c>
      <c r="E13" s="17"/>
      <c r="F13" s="17"/>
      <c r="G13" s="18" t="s">
        <v>57</v>
      </c>
    </row>
    <row r="14" s="4" customFormat="1" ht="15" customHeight="1"/>
    <row r="15" ht="47.1" customHeight="1" spans="1:13">
      <c r="A15" s="19" t="s">
        <v>15</v>
      </c>
      <c r="B15" s="19" t="s">
        <v>16</v>
      </c>
      <c r="C15" s="19" t="s">
        <v>17</v>
      </c>
      <c r="D15" s="19" t="s">
        <v>18</v>
      </c>
      <c r="E15" s="19" t="s">
        <v>19</v>
      </c>
      <c r="F15" s="19" t="s">
        <v>3</v>
      </c>
      <c r="G15" s="19" t="s">
        <v>21</v>
      </c>
      <c r="H15" s="19" t="s">
        <v>22</v>
      </c>
      <c r="I15" s="19" t="s">
        <v>30</v>
      </c>
      <c r="J15" s="19" t="s">
        <v>47</v>
      </c>
      <c r="K15" s="19" t="s">
        <v>31</v>
      </c>
      <c r="L15" s="19" t="s">
        <v>55</v>
      </c>
      <c r="M15" s="19" t="s">
        <v>32</v>
      </c>
    </row>
    <row r="16" ht="30" customHeight="1" spans="1:13">
      <c r="A16" s="20">
        <v>1</v>
      </c>
      <c r="B16" s="20" t="s">
        <v>33</v>
      </c>
      <c r="C16" s="21">
        <f t="shared" ref="C16:C18" si="0">D8</f>
        <v>1920</v>
      </c>
      <c r="D16" s="21">
        <f t="shared" ref="D16:D18" si="1">G8</f>
        <v>1080</v>
      </c>
      <c r="E16" s="21">
        <f t="shared" ref="E16:E18" si="2">IF(I8="NV12",1.5,IF(I8="RGB565",2,IF(I8="BGR0",4,1.5)))</f>
        <v>1.5</v>
      </c>
      <c r="F16" s="21">
        <f t="shared" ref="F16:F18" si="3">J8</f>
        <v>2</v>
      </c>
      <c r="G16" s="22">
        <f t="shared" ref="G16:G18" si="4">C16</f>
        <v>1920</v>
      </c>
      <c r="H16" s="21">
        <f t="shared" ref="H16:H18" si="5">D16</f>
        <v>1080</v>
      </c>
      <c r="I16" s="21">
        <f>CEILING(1*1024*1024,4096)</f>
        <v>1048576</v>
      </c>
      <c r="J16" s="21">
        <f>CEILING(IF(G13="T10",1280*960,IF(G13="T20",1920*1080,2048*1536)),4096)</f>
        <v>2076672</v>
      </c>
      <c r="K16" s="21" t="s">
        <v>33</v>
      </c>
      <c r="L16" s="21" t="s">
        <v>36</v>
      </c>
      <c r="M16" s="21">
        <f>IF(B16="Yes",CEILING((CEILING(C16,16)*CEILING(D16,16)*E16*F16),4096)+IF(I8="NV12",IF(AND(C16=G16,D16=H16),0,CEILING(CEILING(G16,16)*CEILING(H16,16)*E16,4096))+CEILING(((CEILING(C16,16)+32)*(CEILING(D16,16)+48)+256+1024)*E16*IF(L16="YES",3,2)+256+20480+256,4096)+I16+J16+IF(K16="YES",CEILING(20480+256,4096),0),0),0)</f>
        <v>16097280</v>
      </c>
    </row>
    <row r="17" ht="27" customHeight="1" spans="1:13">
      <c r="A17" s="20">
        <v>2</v>
      </c>
      <c r="B17" s="20" t="s">
        <v>33</v>
      </c>
      <c r="C17" s="21">
        <f t="shared" si="0"/>
        <v>640</v>
      </c>
      <c r="D17" s="21">
        <f t="shared" si="1"/>
        <v>360</v>
      </c>
      <c r="E17" s="21">
        <f t="shared" si="2"/>
        <v>1.5</v>
      </c>
      <c r="F17" s="21">
        <f t="shared" si="3"/>
        <v>2</v>
      </c>
      <c r="G17" s="22">
        <f t="shared" si="4"/>
        <v>640</v>
      </c>
      <c r="H17" s="21">
        <f t="shared" si="5"/>
        <v>360</v>
      </c>
      <c r="I17" s="21">
        <v>0</v>
      </c>
      <c r="J17" s="21">
        <v>0</v>
      </c>
      <c r="K17" s="21" t="s">
        <v>36</v>
      </c>
      <c r="L17" s="21" t="s">
        <v>36</v>
      </c>
      <c r="M17" s="21">
        <f>IF(B17="Yes",CEILING((CEILING(C17,16)*CEILING(D17,16)*E17*F17),4096)+IF(I9="NV12",IF(AND(C17=G17,D17=H17),0,CEILING(CEILING(G17,16)*CEILING(H17,16)*E17,4096))+CEILING(((CEILING(C17,16)+32)*(CEILING(D17,16)+48)+256+1024)*E17*IF(L17="YES",3,2)+256+20480+256,4096)+I17+J17+IF(K17="YES",CEILING(20480+256,4096),0),0),0)</f>
        <v>1572864</v>
      </c>
    </row>
    <row r="18" ht="27" customHeight="1" spans="1:13">
      <c r="A18" s="20">
        <v>3</v>
      </c>
      <c r="B18" s="20" t="s">
        <v>36</v>
      </c>
      <c r="C18" s="21">
        <f t="shared" si="0"/>
        <v>1280</v>
      </c>
      <c r="D18" s="21">
        <f t="shared" si="1"/>
        <v>720</v>
      </c>
      <c r="E18" s="21">
        <f t="shared" si="2"/>
        <v>4</v>
      </c>
      <c r="F18" s="21">
        <f t="shared" si="3"/>
        <v>2</v>
      </c>
      <c r="G18" s="22">
        <f t="shared" si="4"/>
        <v>1280</v>
      </c>
      <c r="H18" s="21">
        <f t="shared" si="5"/>
        <v>720</v>
      </c>
      <c r="I18" s="21">
        <v>0</v>
      </c>
      <c r="J18" s="21">
        <v>0</v>
      </c>
      <c r="K18" s="21" t="s">
        <v>36</v>
      </c>
      <c r="L18" s="21" t="s">
        <v>36</v>
      </c>
      <c r="M18" s="21">
        <f>IF(B18="Yes",CEILING((CEILING(C18,16)*CEILING(D18,16)*E18*F18),4096)+IF(I10="NV12",IF(AND(C18=G18,D18=H18),0,CEILING(CEILING(G18,16)*CEILING(H18,16)*E18,4096))+CEILING(((CEILING(C18,16)+32)*(CEILING(D18,16)+48)+256+1024)*E18*IF(L18="YES",3,2)+256+20480,4096)+I18+J18+IF(K18="YES",CEILING(20480,4096),0),0),0)</f>
        <v>0</v>
      </c>
    </row>
    <row r="19" ht="21" customHeight="1" spans="1:13">
      <c r="A19" s="23" t="s">
        <v>37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ht="14.1" customHeight="1"/>
    <row r="21" ht="36" customHeight="1" spans="1:15">
      <c r="A21" s="25"/>
      <c r="B21" s="25"/>
      <c r="C21" s="25"/>
      <c r="D21" s="26" t="s">
        <v>38</v>
      </c>
      <c r="E21" s="26"/>
      <c r="F21" s="26"/>
      <c r="G21" s="26" t="s">
        <v>58</v>
      </c>
      <c r="H21" s="26"/>
      <c r="I21" s="26" t="s">
        <v>39</v>
      </c>
      <c r="J21" s="26"/>
      <c r="M21"/>
      <c r="N21"/>
      <c r="O21"/>
    </row>
    <row r="22" ht="36.95" customHeight="1" spans="1:15">
      <c r="A22" s="25" t="s">
        <v>40</v>
      </c>
      <c r="B22" s="25"/>
      <c r="C22" s="25"/>
      <c r="D22" s="14">
        <f>CEILING(1024*1024*IF(D13="64M",64,128)-G22-I22,1024)</f>
        <v>41082880</v>
      </c>
      <c r="E22" s="14"/>
      <c r="F22" s="14"/>
      <c r="G22" s="27">
        <f>CEILING(CEILING($D$7,16)*CEILING($G$7,16)*4,1024)</f>
        <v>8355840</v>
      </c>
      <c r="H22" s="27"/>
      <c r="I22" s="33">
        <f>CEILING(M16+M17+M18,1024)</f>
        <v>17670144</v>
      </c>
      <c r="J22" s="33"/>
      <c r="M22"/>
      <c r="N22"/>
      <c r="O22"/>
    </row>
    <row r="23" ht="33.95" customHeight="1" spans="1:15">
      <c r="A23" s="25" t="s">
        <v>41</v>
      </c>
      <c r="B23" s="25"/>
      <c r="C23" s="25"/>
      <c r="D23" s="14">
        <f t="shared" ref="D23:I23" si="6">D22/1024</f>
        <v>40120</v>
      </c>
      <c r="E23" s="14"/>
      <c r="F23" s="14"/>
      <c r="G23" s="27">
        <f>G22/1024</f>
        <v>8160</v>
      </c>
      <c r="H23" s="27"/>
      <c r="I23" s="34">
        <f>I22/1024</f>
        <v>17256</v>
      </c>
      <c r="J23" s="34"/>
      <c r="M23"/>
      <c r="N23"/>
      <c r="O23"/>
    </row>
    <row r="24" ht="30" customHeight="1" spans="1:15">
      <c r="A24" s="25" t="s">
        <v>42</v>
      </c>
      <c r="B24" s="25"/>
      <c r="C24" s="25"/>
      <c r="D24" s="14">
        <f>IF(D13="64M",64,IF(D13="128M",128,D13))-G24-I24</f>
        <v>39</v>
      </c>
      <c r="E24" s="14"/>
      <c r="F24" s="14"/>
      <c r="G24" s="27">
        <f>ROUNDUP(G23/1024,0)</f>
        <v>8</v>
      </c>
      <c r="H24" s="27"/>
      <c r="I24" s="34">
        <f>ROUNDUP(I23/1024,0)</f>
        <v>17</v>
      </c>
      <c r="J24" s="34"/>
      <c r="M24"/>
      <c r="N24"/>
      <c r="O24"/>
    </row>
    <row r="25" ht="18.95" customHeight="1" spans="13:15">
      <c r="M25"/>
      <c r="N25"/>
      <c r="O25"/>
    </row>
    <row r="26" spans="1:15">
      <c r="A26" s="28" t="s">
        <v>43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/>
      <c r="N26"/>
      <c r="O26"/>
    </row>
    <row r="27" ht="18" customHeight="1" spans="1:15">
      <c r="A27" s="29" t="str">
        <f>"mem="&amp;D23&amp;"K@0x0"&amp;" ispmem="&amp;G23&amp;"K@0x"&amp;DEC2HEX(D23*1024,7)&amp;" rmem="&amp;I23&amp;"K@0x"&amp;DEC2HEX((D23+G23)*1024,7)</f>
        <v>mem=40120K@0x0 ispmem=8160K@0x272E000 rmem=17256K@0x2F26000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/>
      <c r="N27"/>
      <c r="O27"/>
    </row>
    <row r="28" ht="21.75" customHeight="1" spans="1:15">
      <c r="A28" s="30" t="str">
        <f>"mem="&amp;D24&amp;"M@0x0"&amp;" ispmem="&amp;G24&amp;"M@0x"&amp;DEC2HEX(D24*1024*1024,7)&amp;" rmem="&amp;I24&amp;"M@0x"&amp;DEC2HEX((D24+G24)*1024*1024,7)</f>
        <v>mem=39M@0x0 ispmem=8M@0x2700000 rmem=17M@0x2F00000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/>
      <c r="N28"/>
      <c r="O28"/>
    </row>
  </sheetData>
  <mergeCells count="38">
    <mergeCell ref="A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XEV11"/>
    <mergeCell ref="A12:F12"/>
    <mergeCell ref="A13:C13"/>
    <mergeCell ref="D13:F13"/>
    <mergeCell ref="A14:XEV14"/>
    <mergeCell ref="A19:M19"/>
    <mergeCell ref="A21:C21"/>
    <mergeCell ref="D21:F21"/>
    <mergeCell ref="G21:H21"/>
    <mergeCell ref="I21:J21"/>
    <mergeCell ref="A22:C22"/>
    <mergeCell ref="D22:F22"/>
    <mergeCell ref="G22:H22"/>
    <mergeCell ref="I22:J22"/>
    <mergeCell ref="A23:C23"/>
    <mergeCell ref="D23:F23"/>
    <mergeCell ref="G23:H23"/>
    <mergeCell ref="I23:J23"/>
    <mergeCell ref="A24:C24"/>
    <mergeCell ref="D24:F24"/>
    <mergeCell ref="G24:H24"/>
    <mergeCell ref="I24:J24"/>
    <mergeCell ref="A27:K27"/>
    <mergeCell ref="A28:K28"/>
    <mergeCell ref="A1:J4"/>
  </mergeCells>
  <dataValidations count="6">
    <dataValidation allowBlank="1" showInputMessage="1" showErrorMessage="1" sqref="I7 J7"/>
    <dataValidation type="list" allowBlank="1" showInputMessage="1" showErrorMessage="1" sqref="D13:F13">
      <formula1>"64M,128M"</formula1>
    </dataValidation>
    <dataValidation type="list" showInputMessage="1" showErrorMessage="1" sqref="G13">
      <formula1>"T10,T20"</formula1>
    </dataValidation>
    <dataValidation type="list" allowBlank="1" showInputMessage="1" showErrorMessage="1" sqref="L16 L17 L18">
      <formula1>"No"</formula1>
    </dataValidation>
    <dataValidation type="list" allowBlank="1" showInputMessage="1" showErrorMessage="1" sqref="K16 K17 K18 B16:B18">
      <formula1>"Yes,No"</formula1>
    </dataValidation>
    <dataValidation type="list" allowBlank="1" showInputMessage="1" showErrorMessage="1" sqref="I8:I10">
      <formula1>"NV12,BGR0"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:I9"/>
    </sheetView>
  </sheetViews>
  <sheetFormatPr defaultColWidth="9" defaultRowHeight="13.5"/>
  <sheetData>
    <row r="1" spans="1:9">
      <c r="A1" s="1" t="s">
        <v>59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</sheetData>
  <mergeCells count="1">
    <mergeCell ref="A1:I9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rmem计算器T31</vt:lpstr>
      <vt:lpstr>rmem计算器T21</vt:lpstr>
      <vt:lpstr>rmem计算器T30</vt:lpstr>
      <vt:lpstr>rmem计算器T20&amp;T10</vt:lpstr>
      <vt:lpstr>ChangeLog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Redistuo</cp:lastModifiedBy>
  <dcterms:created xsi:type="dcterms:W3CDTF">2006-09-13T11:21:00Z</dcterms:created>
  <dcterms:modified xsi:type="dcterms:W3CDTF">2020-03-09T04:25:11Z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