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040" windowHeight="9252" tabRatio="500"/>
  </bookViews>
  <sheets>
    <sheet name="EXTERNAL(HEAVY)" sheetId="4" r:id="rId1"/>
    <sheet name="EXTERNAL(LIGHT)" sheetId="2" r:id="rId2"/>
    <sheet name="INTERNAL(HEAVY LOAD)" sheetId="1" r:id="rId3"/>
    <sheet name="INTERNAL(LIGHT LOAD)" sheetId="3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4"/>
  <c r="C61" s="1"/>
  <c r="C46"/>
  <c r="C50" s="1"/>
  <c r="C39"/>
  <c r="C40" s="1"/>
  <c r="C30"/>
  <c r="C31" s="1"/>
  <c r="C35" s="1"/>
  <c r="C38" s="1"/>
  <c r="C26"/>
  <c r="C25"/>
  <c r="C16"/>
  <c r="C37" s="1"/>
  <c r="C35" i="3"/>
  <c r="C40" s="1"/>
  <c r="C67"/>
  <c r="C71" s="1"/>
  <c r="C74" s="1"/>
  <c r="C58"/>
  <c r="C62" s="1"/>
  <c r="C49"/>
  <c r="C27"/>
  <c r="E27" s="1"/>
  <c r="C23"/>
  <c r="C22"/>
  <c r="C20"/>
  <c r="C51" s="1"/>
  <c r="C52" s="1"/>
  <c r="E37" i="1"/>
  <c r="E38"/>
  <c r="E34"/>
  <c r="C59" i="4" l="1"/>
  <c r="C62" s="1"/>
  <c r="C63" i="3"/>
  <c r="C82" s="1"/>
  <c r="C87" s="1"/>
  <c r="C88" s="1"/>
  <c r="C32" i="4"/>
  <c r="C51"/>
  <c r="C52" s="1"/>
  <c r="C64" s="1"/>
  <c r="C24" i="3"/>
  <c r="C41"/>
  <c r="C42"/>
  <c r="C73"/>
  <c r="C55" i="2"/>
  <c r="C59"/>
  <c r="C62" s="1"/>
  <c r="C64" s="1"/>
  <c r="C46"/>
  <c r="C51" s="1"/>
  <c r="C52"/>
  <c r="C16"/>
  <c r="C25"/>
  <c r="C39"/>
  <c r="C40" s="1"/>
  <c r="C61"/>
  <c r="C50"/>
  <c r="C35" i="1"/>
  <c r="C36" s="1"/>
  <c r="G36" s="1"/>
  <c r="C40"/>
  <c r="C41" s="1"/>
  <c r="G41" s="1"/>
  <c r="C57"/>
  <c r="C61" s="1"/>
  <c r="C66"/>
  <c r="C70" s="1"/>
  <c r="C73" s="1"/>
  <c r="C20"/>
  <c r="C50" s="1"/>
  <c r="C51" s="1"/>
  <c r="G34"/>
  <c r="G37"/>
  <c r="G38"/>
  <c r="G39"/>
  <c r="E33"/>
  <c r="G33" s="1"/>
  <c r="C27"/>
  <c r="E27" s="1"/>
  <c r="C23"/>
  <c r="C22"/>
  <c r="C64" i="3" l="1"/>
  <c r="C79" s="1"/>
  <c r="C24" i="1"/>
  <c r="C30" i="2"/>
  <c r="G35" i="1"/>
  <c r="C42"/>
  <c r="G42" s="1"/>
  <c r="C62"/>
  <c r="G40"/>
  <c r="C72"/>
  <c r="C32" i="2" l="1"/>
  <c r="C31"/>
  <c r="C35" s="1"/>
  <c r="C79" i="1"/>
  <c r="C81" s="1"/>
  <c r="C86" s="1"/>
  <c r="C87" s="1"/>
  <c r="C63"/>
  <c r="C78" s="1"/>
  <c r="C47"/>
  <c r="C37" i="2" l="1"/>
  <c r="C38"/>
  <c r="C49" i="1"/>
</calcChain>
</file>

<file path=xl/sharedStrings.xml><?xml version="1.0" encoding="utf-8"?>
<sst xmlns="http://schemas.openxmlformats.org/spreadsheetml/2006/main" count="857" uniqueCount="246">
  <si>
    <t>gm/Id</t>
  </si>
  <si>
    <t>Id/W</t>
  </si>
  <si>
    <t>gmro</t>
  </si>
  <si>
    <t>Id</t>
  </si>
  <si>
    <t>W</t>
  </si>
  <si>
    <t>Length</t>
  </si>
  <si>
    <t>gm</t>
  </si>
  <si>
    <t>fu</t>
  </si>
  <si>
    <t>Vin</t>
  </si>
  <si>
    <t>Vout</t>
  </si>
  <si>
    <t>PSRR</t>
  </si>
  <si>
    <t>Iload|min</t>
  </si>
  <si>
    <t>Iload|max</t>
  </si>
  <si>
    <t>Cload</t>
  </si>
  <si>
    <t>Load Slew Rate</t>
  </si>
  <si>
    <t>Units</t>
  </si>
  <si>
    <t>V</t>
  </si>
  <si>
    <t>dB</t>
  </si>
  <si>
    <t>mA</t>
  </si>
  <si>
    <t>nF</t>
  </si>
  <si>
    <t>mA/μs</t>
  </si>
  <si>
    <t>Low Freq Loop Gain</t>
  </si>
  <si>
    <t>Value</t>
  </si>
  <si>
    <t>Drop Out Voltage</t>
  </si>
  <si>
    <t>Transient spread</t>
  </si>
  <si>
    <t>% of vout peak to peak</t>
  </si>
  <si>
    <t>ΔI (Load step)</t>
  </si>
  <si>
    <t>ΔV (Load step) overshoot/undershoot</t>
  </si>
  <si>
    <t>Assuming overshoot and undershoot same</t>
  </si>
  <si>
    <t>Comments</t>
  </si>
  <si>
    <t>s</t>
  </si>
  <si>
    <t>V/V</t>
  </si>
  <si>
    <t>A</t>
  </si>
  <si>
    <t>Power FET</t>
  </si>
  <si>
    <t>Simulation</t>
  </si>
  <si>
    <t>ft</t>
  </si>
  <si>
    <t>μm</t>
  </si>
  <si>
    <t>ro</t>
  </si>
  <si>
    <t>Cgs+Cgd</t>
  </si>
  <si>
    <t>Step 1: List Down the Specifications and classify them</t>
  </si>
  <si>
    <t>Relaxed</t>
  </si>
  <si>
    <t>Aggressive</t>
  </si>
  <si>
    <t>Moderate</t>
  </si>
  <si>
    <t>Iquiescent</t>
  </si>
  <si>
    <t>μA</t>
  </si>
  <si>
    <t>Transient duration</t>
  </si>
  <si>
    <t>μs</t>
  </si>
  <si>
    <t>Step 2: Evaluate Interim Design Goals</t>
  </si>
  <si>
    <t>Δt (Response time of the loopbound)</t>
  </si>
  <si>
    <t>Note the current slew rate wasnt taken into picture which will play a role in this.</t>
  </si>
  <si>
    <t>wumin</t>
  </si>
  <si>
    <t>Hz</t>
  </si>
  <si>
    <t>(fu must be more than 159 kHz)</t>
  </si>
  <si>
    <t>Step 3: Power FET Sizing</t>
  </si>
  <si>
    <t>Hand/Techplots Calculations</t>
  </si>
  <si>
    <t>Error</t>
  </si>
  <si>
    <t>1/V</t>
  </si>
  <si>
    <t>Assumption for Vov=200mV; Vov&lt;Vdsat</t>
  </si>
  <si>
    <t>A/m</t>
  </si>
  <si>
    <t>From Id/W vs. gm/Id plot</t>
  </si>
  <si>
    <t>m</t>
  </si>
  <si>
    <t>A/V</t>
  </si>
  <si>
    <t>Ohm</t>
  </si>
  <si>
    <t>F</t>
  </si>
  <si>
    <t>Step 4: Revaluate Interim Design Parameters</t>
  </si>
  <si>
    <t>wp2heavy</t>
  </si>
  <si>
    <t>rad/s</t>
  </si>
  <si>
    <t>-</t>
  </si>
  <si>
    <t>wp2light</t>
  </si>
  <si>
    <t>fp2light</t>
  </si>
  <si>
    <t>MHz</t>
  </si>
  <si>
    <t>gm*(ron||rop)</t>
  </si>
  <si>
    <t>gmron</t>
  </si>
  <si>
    <t>rodiff</t>
  </si>
  <si>
    <t>Cc</t>
  </si>
  <si>
    <t>Cg</t>
  </si>
  <si>
    <t>Ceq</t>
  </si>
  <si>
    <t>tslew</t>
  </si>
  <si>
    <t>tslewmax</t>
  </si>
  <si>
    <t>Stop at this stage to simulate because not very clear boundary plus assumptions made</t>
  </si>
  <si>
    <t>Plus we assume really fast slew rate that is not captured here.</t>
  </si>
  <si>
    <t>Step 5: Diffamp Input Pair Sizing (Heavy load error will be higher than light load because we used light load Charts)</t>
  </si>
  <si>
    <t>gm/Iddiff</t>
  </si>
  <si>
    <t>Taking all budget available and check later</t>
  </si>
  <si>
    <t>um</t>
  </si>
  <si>
    <t>Vds for heavy load lower</t>
  </si>
  <si>
    <t>Please simulate for Vds of 0.5 everything and you are good to go</t>
  </si>
  <si>
    <t>kHz</t>
  </si>
  <si>
    <t>ns</t>
  </si>
  <si>
    <t>Get the length for the desired gain from the techplots (gmro vs. gm/Id)</t>
  </si>
  <si>
    <t>Hand Calculation.</t>
  </si>
  <si>
    <t>Keep Loop Gain Margin vs. PSRR (PSRR will degrade)</t>
  </si>
  <si>
    <t>Worst case approximation because loop can start responsing midway</t>
  </si>
  <si>
    <t>Step 6: PMOS Load sizing (Vds assumed to be 0.4 for techplots - which can change)</t>
  </si>
  <si>
    <t>Sizing CC</t>
  </si>
  <si>
    <t>Adiffamp_min</t>
  </si>
  <si>
    <t>Adiff_n_min</t>
  </si>
  <si>
    <t>1/wp1/Apass/rodiff</t>
  </si>
  <si>
    <t>gmn/wu</t>
  </si>
  <si>
    <t>Cc+Cgd</t>
  </si>
  <si>
    <t>22ns</t>
  </si>
  <si>
    <t>In real world, gm doesn’t scale as sqrt I</t>
  </si>
  <si>
    <t>Check Slew Rate</t>
  </si>
  <si>
    <t>We want to make sure that the Bias fet has enough headroom</t>
  </si>
  <si>
    <t>uF</t>
  </si>
  <si>
    <t>wp1</t>
  </si>
  <si>
    <t>fp1</t>
  </si>
  <si>
    <t>wp2</t>
  </si>
  <si>
    <t>For &gt;45 degrees phase margin</t>
  </si>
  <si>
    <t>gm/Idload</t>
  </si>
  <si>
    <t>rocheck</t>
  </si>
  <si>
    <t>Step 7: Performance Results</t>
  </si>
  <si>
    <t>Low-Frequency Loop Gain</t>
  </si>
  <si>
    <t>Phase margin</t>
  </si>
  <si>
    <t>Expected</t>
  </si>
  <si>
    <t>fp2</t>
  </si>
  <si>
    <t>&gt;45 deg</t>
  </si>
  <si>
    <t>Simulated</t>
  </si>
  <si>
    <t>60 dB</t>
  </si>
  <si>
    <t>wu Heavy</t>
  </si>
  <si>
    <t>wulight</t>
  </si>
  <si>
    <t>wp1heavy</t>
  </si>
  <si>
    <t>wp1light</t>
  </si>
  <si>
    <t>LIGHT LOAD</t>
  </si>
  <si>
    <t>HEAVY LOAD</t>
  </si>
  <si>
    <t>Name</t>
  </si>
  <si>
    <t>Model</t>
  </si>
  <si>
    <t>Vgs</t>
  </si>
  <si>
    <t>Vds</t>
  </si>
  <si>
    <t>Vbs</t>
  </si>
  <si>
    <t>Vth</t>
  </si>
  <si>
    <t>Vdsat</t>
  </si>
  <si>
    <t>Gm</t>
  </si>
  <si>
    <t>Gds</t>
  </si>
  <si>
    <t>Gmb</t>
  </si>
  <si>
    <t>Cbd</t>
  </si>
  <si>
    <t>Cbs</t>
  </si>
  <si>
    <t>gm * ro</t>
  </si>
  <si>
    <t>mpass</t>
  </si>
  <si>
    <t>pmos</t>
  </si>
  <si>
    <t>m5</t>
  </si>
  <si>
    <t>m4</t>
  </si>
  <si>
    <t>m7</t>
  </si>
  <si>
    <t>nmos</t>
  </si>
  <si>
    <t>m2</t>
  </si>
  <si>
    <t>m1</t>
  </si>
  <si>
    <t>m8</t>
  </si>
  <si>
    <t>Column1</t>
  </si>
  <si>
    <t>Parameter</t>
  </si>
  <si>
    <t>Hand Calculation</t>
  </si>
  <si>
    <t>Simulation Result</t>
  </si>
  <si>
    <t>% Difference</t>
  </si>
  <si>
    <t>ro (ohm)</t>
  </si>
  <si>
    <t>gm (A/V)</t>
  </si>
  <si>
    <t>Wp1 (Hz)</t>
  </si>
  <si>
    <t>10k</t>
  </si>
  <si>
    <t>7.70k</t>
  </si>
  <si>
    <t>Wp2 (Hz)</t>
  </si>
  <si>
    <t>10M</t>
  </si>
  <si>
    <t>18.2M</t>
  </si>
  <si>
    <t>Wugb (Hz)</t>
  </si>
  <si>
    <t>7.70M</t>
  </si>
  <si>
    <t>rodiff (ohm)</t>
  </si>
  <si>
    <t>80k</t>
  </si>
  <si>
    <t>104.24k</t>
  </si>
  <si>
    <t>gmdiff (A/V)</t>
  </si>
  <si>
    <t>250u</t>
  </si>
  <si>
    <t>253u</t>
  </si>
  <si>
    <t>Hand Calculation vs Simulation Results</t>
  </si>
  <si>
    <t>m3</t>
  </si>
  <si>
    <r>
      <rPr>
        <b/>
        <sz val="12"/>
        <color theme="1"/>
        <rFont val="Calibri"/>
        <family val="2"/>
        <scheme val="minor"/>
      </rPr>
      <t>Hand Calculation vs Simulation Result</t>
    </r>
    <r>
      <rPr>
        <sz val="12"/>
        <color theme="1"/>
        <rFont val="Calibri"/>
        <family val="2"/>
        <scheme val="minor"/>
      </rPr>
      <t>s</t>
    </r>
  </si>
  <si>
    <t>wpu</t>
  </si>
  <si>
    <t>58.52 dB</t>
  </si>
  <si>
    <t>82.62 degrees</t>
  </si>
  <si>
    <t>318.30 Hz</t>
  </si>
  <si>
    <t xml:space="preserve"> 402.66Hz</t>
  </si>
  <si>
    <t xml:space="preserve"> 3.5MHz</t>
  </si>
  <si>
    <t xml:space="preserve"> 2.84MHz</t>
  </si>
  <si>
    <t>62.34 dB</t>
  </si>
  <si>
    <t>1.59E+3 Hz</t>
  </si>
  <si>
    <t xml:space="preserve"> 1.22E+3Hz</t>
  </si>
  <si>
    <t>65.81 degrees</t>
  </si>
  <si>
    <t>80.08 degrees</t>
  </si>
  <si>
    <t>1.58E+3 Hz</t>
  </si>
  <si>
    <t xml:space="preserve"> 1.59E+3Hz</t>
  </si>
  <si>
    <t xml:space="preserve"> 7.95MHz</t>
  </si>
  <si>
    <t xml:space="preserve"> 8.11MHz</t>
  </si>
  <si>
    <t xml:space="preserve"> 2.89MHz</t>
  </si>
  <si>
    <t xml:space="preserve"> 1.59MHz</t>
  </si>
  <si>
    <t>Iload</t>
  </si>
  <si>
    <t>63.66 Hz</t>
  </si>
  <si>
    <t xml:space="preserve"> 105.84Hz</t>
  </si>
  <si>
    <t xml:space="preserve"> 17.5MHz</t>
  </si>
  <si>
    <t xml:space="preserve"> 13.43MHz</t>
  </si>
  <si>
    <t>87.55 degrees</t>
  </si>
  <si>
    <t>62.30 dB</t>
  </si>
  <si>
    <t>110M</t>
  </si>
  <si>
    <t>84.4M</t>
  </si>
  <si>
    <t>400k</t>
  </si>
  <si>
    <t>665.02k</t>
  </si>
  <si>
    <t>104.2k</t>
  </si>
  <si>
    <t>2k</t>
  </si>
  <si>
    <t>2.53k</t>
  </si>
  <si>
    <t>22M</t>
  </si>
  <si>
    <t>17.85M</t>
  </si>
  <si>
    <t>2M</t>
  </si>
  <si>
    <t>2.53M</t>
  </si>
  <si>
    <t>98.619k</t>
  </si>
  <si>
    <t>255u</t>
  </si>
  <si>
    <t>Transistor Type</t>
  </si>
  <si>
    <t>Vds (V)</t>
  </si>
  <si>
    <t>Vgs/Vsg (V)</t>
  </si>
  <si>
    <t>Vt (V)</t>
  </si>
  <si>
    <t>Vgs/Vsg − Vt (V)</t>
  </si>
  <si>
    <t>Operating Region</t>
  </si>
  <si>
    <t>M1</t>
  </si>
  <si>
    <t>M2 (NMOS)</t>
  </si>
  <si>
    <t>Saturation</t>
  </si>
  <si>
    <t>M3 (NMOS)</t>
  </si>
  <si>
    <t>M4 (PMOS)</t>
  </si>
  <si>
    <t>M5 (PMOS)</t>
  </si>
  <si>
    <t>Mpass (PMOS)</t>
  </si>
  <si>
    <t>M7 (NMOS)</t>
  </si>
  <si>
    <t>M8 (NMOS)</t>
  </si>
  <si>
    <t>Transistor Operating Regions Table</t>
  </si>
  <si>
    <t>MPass (PMOS)</t>
  </si>
  <si>
    <t>gm ∗ ro</t>
  </si>
  <si>
    <t>9.94k</t>
  </si>
  <si>
    <t>10.04k</t>
  </si>
  <si>
    <t>50M</t>
  </si>
  <si>
    <t>51M</t>
  </si>
  <si>
    <t>9.94M</t>
  </si>
  <si>
    <t>10.04M</t>
  </si>
  <si>
    <t>256u</t>
  </si>
  <si>
    <t>M2</t>
  </si>
  <si>
    <t>NMOS</t>
  </si>
  <si>
    <t>Transistor</t>
  </si>
  <si>
    <t>Type</t>
  </si>
  <si>
    <t>M3</t>
  </si>
  <si>
    <t>M4</t>
  </si>
  <si>
    <t>PMOS</t>
  </si>
  <si>
    <t>M5</t>
  </si>
  <si>
    <t>Mpass</t>
  </si>
  <si>
    <t>M7</t>
  </si>
  <si>
    <t>M8</t>
  </si>
  <si>
    <t>OUTPUT LOG FILE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</si>
</sst>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  <xf numFmtId="11" fontId="6" fillId="0" borderId="0" xfId="0" applyNumberFormat="1" applyFont="1"/>
    <xf numFmtId="0" fontId="6" fillId="0" borderId="0" xfId="0" applyFont="1" applyAlignment="1">
      <alignment vertical="center"/>
    </xf>
    <xf numFmtId="0" fontId="8" fillId="0" borderId="0" xfId="0" applyFont="1"/>
    <xf numFmtId="11" fontId="8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6" fillId="3" borderId="0" xfId="0" applyFont="1" applyFill="1"/>
    <xf numFmtId="11" fontId="8" fillId="3" borderId="0" xfId="0" applyNumberFormat="1" applyFont="1" applyFill="1"/>
    <xf numFmtId="11" fontId="6" fillId="3" borderId="0" xfId="0" applyNumberFormat="1" applyFont="1" applyFill="1"/>
    <xf numFmtId="0" fontId="6" fillId="3" borderId="0" xfId="0" applyFont="1" applyFill="1" applyAlignment="1">
      <alignment vertical="center"/>
    </xf>
    <xf numFmtId="0" fontId="4" fillId="4" borderId="0" xfId="0" applyFont="1" applyFill="1"/>
    <xf numFmtId="0" fontId="1" fillId="4" borderId="0" xfId="0" applyFont="1" applyFill="1"/>
    <xf numFmtId="11" fontId="1" fillId="0" borderId="0" xfId="0" applyNumberFormat="1" applyFont="1"/>
    <xf numFmtId="11" fontId="0" fillId="2" borderId="0" xfId="0" applyNumberFormat="1" applyFill="1"/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1" fillId="0" borderId="0" xfId="0" applyFont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112"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0" justifyLastLine="0" shrinkToFit="0" readingOrder="0"/>
    </dxf>
    <dxf>
      <numFmt numFmtId="14" formatCode="0.00%"/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numFmt numFmtId="14" formatCode="0.00%"/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numFmt numFmtId="14" formatCode="0.00%"/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numFmt numFmtId="15" formatCode="0.00E+00"/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alignment horizontal="general" vertical="bottom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0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numFmt numFmtId="14" formatCode="0.00%"/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numFmt numFmtId="15" formatCode="0.00E+00"/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C77:K91" totalsRowShown="0" headerRowDxfId="111" dataDxfId="110">
  <autoFilter ref="C77:K9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ame" dataDxfId="109"/>
    <tableColumn id="2" name="mpass" dataDxfId="108"/>
    <tableColumn id="3" name="m5" dataDxfId="107"/>
    <tableColumn id="4" name="m4" dataDxfId="106"/>
    <tableColumn id="5" name="m3" dataDxfId="105"/>
    <tableColumn id="6" name="m7" dataDxfId="104"/>
    <tableColumn id="7" name="m2" dataDxfId="103"/>
    <tableColumn id="8" name="m1" dataDxfId="102"/>
    <tableColumn id="9" name="m8" dataDxfId="101"/>
  </tableColumns>
  <tableStyleInfo name="TableStyleMedium9" showFirstColumn="0" showLastColumn="0" showRowStripes="0" showColumnStripes="0"/>
</table>
</file>

<file path=xl/tables/table10.xml><?xml version="1.0" encoding="utf-8"?>
<table xmlns="http://schemas.openxmlformats.org/spreadsheetml/2006/main" id="5" name="Table5" displayName="Table5" ref="B110:E118" totalsRowShown="0" headerRowDxfId="31" dataDxfId="30">
  <autoFilter ref="B110:E118">
    <filterColumn colId="0" hiddenButton="1"/>
    <filterColumn colId="1" hiddenButton="1"/>
    <filterColumn colId="2" hiddenButton="1"/>
    <filterColumn colId="3" hiddenButton="1"/>
  </autoFilter>
  <tableColumns count="4">
    <tableColumn id="1" name="Parameter" dataDxfId="29"/>
    <tableColumn id="2" name="Hand Calculation" dataDxfId="28"/>
    <tableColumn id="3" name="Simulation Result" dataDxfId="27"/>
    <tableColumn id="4" name="% Difference" dataDxfId="26"/>
  </tableColumns>
  <tableStyleInfo name="TableStyleMedium9" showFirstColumn="0" showLastColumn="0" showRowStripes="0" showColumnStripes="0"/>
</table>
</file>

<file path=xl/tables/table11.xml><?xml version="1.0" encoding="utf-8"?>
<table xmlns="http://schemas.openxmlformats.org/spreadsheetml/2006/main" id="6" name="Table6" displayName="Table6" ref="A98:P106" totalsRowShown="0" headerRowDxfId="25" dataDxfId="24">
  <autoFilter ref="A98:P10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Name" dataDxfId="23"/>
    <tableColumn id="2" name="Model" dataDxfId="22"/>
    <tableColumn id="3" name="Id" dataDxfId="21"/>
    <tableColumn id="4" name="Vgs" dataDxfId="20"/>
    <tableColumn id="5" name="Vds" dataDxfId="19"/>
    <tableColumn id="6" name="Vbs" dataDxfId="18"/>
    <tableColumn id="7" name="Vth" dataDxfId="17"/>
    <tableColumn id="8" name="Vdsat" dataDxfId="16"/>
    <tableColumn id="9" name="Gm" dataDxfId="15"/>
    <tableColumn id="10" name="Gds" dataDxfId="14"/>
    <tableColumn id="11" name="Gmb" dataDxfId="13"/>
    <tableColumn id="12" name="Cbd" dataDxfId="12"/>
    <tableColumn id="13" name="Cbs" dataDxfId="11"/>
    <tableColumn id="14" name="ro" dataDxfId="10"/>
    <tableColumn id="15" name="gm * ro" dataDxfId="9"/>
    <tableColumn id="16" name="Column1"/>
  </tableColumns>
  <tableStyleInfo name="TableStyleMedium9" showFirstColumn="0" showLastColumn="0" showRowStripes="0" showColumnStripes="0"/>
</table>
</file>

<file path=xl/tables/table12.xml><?xml version="1.0" encoding="utf-8"?>
<table xmlns="http://schemas.openxmlformats.org/spreadsheetml/2006/main" id="12" name="Table12" displayName="Table12" ref="B122:H130" totalsRowShown="0" headerRowDxfId="8" dataDxfId="7">
  <autoFilter ref="B122:H1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Transistor" dataDxfId="6"/>
    <tableColumn id="2" name="Type" dataDxfId="5"/>
    <tableColumn id="3" name="Vds (V)" dataDxfId="4"/>
    <tableColumn id="4" name="Vgs/Vsg (V)" dataDxfId="3"/>
    <tableColumn id="5" name="Vt (V)" dataDxfId="2"/>
    <tableColumn id="6" name="Vgs/Vsg − Vt (V)" dataDxfId="1"/>
    <tableColumn id="7" name="Operating Region" dataDxfId="0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C97:F105" totalsRowShown="0" headerRowDxfId="100">
  <autoFilter ref="C97:F105">
    <filterColumn colId="0" hiddenButton="1"/>
    <filterColumn colId="1" hiddenButton="1"/>
    <filterColumn colId="2" hiddenButton="1"/>
    <filterColumn colId="3" hiddenButton="1"/>
  </autoFilter>
  <tableColumns count="4">
    <tableColumn id="1" name="Parameter" dataDxfId="99"/>
    <tableColumn id="2" name="Hand Calculation" dataDxfId="98"/>
    <tableColumn id="3" name="Simulation Result" dataDxfId="97"/>
    <tableColumn id="4" name="% Difference" dataDxfId="96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8" name="Table8" displayName="Table8" ref="C110:I118" totalsRowShown="0" headerRowDxfId="95" dataDxfId="94">
  <autoFilter ref="C110:I1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Transistor" dataDxfId="93"/>
    <tableColumn id="2" name="Type" dataDxfId="92"/>
    <tableColumn id="3" name="Vds (V)" dataDxfId="91"/>
    <tableColumn id="4" name="Vgs/Vsg (V)" dataDxfId="90"/>
    <tableColumn id="5" name="Vt (V)" dataDxfId="89"/>
    <tableColumn id="6" name="Vgs/Vsg − Vt (V)" dataDxfId="88"/>
    <tableColumn id="7" name="Operating Region" dataDxfId="87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id="7" name="Table68" displayName="Table68" ref="B76:Q84" totalsRowShown="0" headerRowDxfId="86" dataDxfId="85">
  <autoFilter ref="B76:Q84"/>
  <tableColumns count="16">
    <tableColumn id="1" name="Name" dataDxfId="84"/>
    <tableColumn id="2" name="Model" dataDxfId="83"/>
    <tableColumn id="3" name="Id" dataDxfId="82"/>
    <tableColumn id="4" name="Vgs" dataDxfId="81"/>
    <tableColumn id="5" name="Vds" dataDxfId="80"/>
    <tableColumn id="6" name="Vbs" dataDxfId="79"/>
    <tableColumn id="7" name="Vth" dataDxfId="78"/>
    <tableColumn id="8" name="Vdsat" dataDxfId="77"/>
    <tableColumn id="9" name="Gm" dataDxfId="76"/>
    <tableColumn id="10" name="Gds" dataDxfId="75"/>
    <tableColumn id="11" name="Gmb" dataDxfId="74"/>
    <tableColumn id="12" name="Cbd" dataDxfId="73"/>
    <tableColumn id="13" name="Cbs" dataDxfId="72"/>
    <tableColumn id="14" name="ro" dataDxfId="71"/>
    <tableColumn id="15" name="gm * ro" dataDxfId="70"/>
    <tableColumn id="16" name="Column1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id="1" name="Table1" displayName="Table1" ref="B103:G111" totalsRowShown="0" headerRowDxfId="69" dataDxfId="68">
  <autoFilter ref="B103:G1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ransistor Type" dataDxfId="67"/>
    <tableColumn id="2" name="Vds (V)" dataDxfId="66"/>
    <tableColumn id="3" name="Vgs/Vsg (V)" dataDxfId="65"/>
    <tableColumn id="4" name="Vt (V)" dataDxfId="64"/>
    <tableColumn id="5" name="Vgs/Vsg − Vt (V)" dataDxfId="63"/>
    <tableColumn id="6" name="Operating Region" dataDxfId="62"/>
  </tableColumns>
  <tableStyleInfo name="TableStyleMedium9" showFirstColumn="0" showLastColumn="0" showRowStripes="0" showColumnStripes="0"/>
</table>
</file>

<file path=xl/tables/table6.xml><?xml version="1.0" encoding="utf-8"?>
<table xmlns="http://schemas.openxmlformats.org/spreadsheetml/2006/main" id="2" name="Table2" displayName="Table2" ref="B90:E98" totalsRowShown="0" headerRowDxfId="61">
  <autoFilter ref="B90:E98">
    <filterColumn colId="0" hiddenButton="1"/>
    <filterColumn colId="1" hiddenButton="1"/>
    <filterColumn colId="2" hiddenButton="1"/>
    <filterColumn colId="3" hiddenButton="1"/>
  </autoFilter>
  <tableColumns count="4">
    <tableColumn id="1" name="Parameter" dataDxfId="60"/>
    <tableColumn id="2" name="Hand Calculation" dataDxfId="59"/>
    <tableColumn id="3" name="Simulation Result" dataDxfId="58"/>
    <tableColumn id="4" name="% Difference" dataDxfId="57"/>
  </tableColumns>
  <tableStyleInfo name="TableStyleMedium9" showFirstColumn="0" showLastColumn="0" showRowStripes="0" showColumnStripes="0"/>
</table>
</file>

<file path=xl/tables/table7.xml><?xml version="1.0" encoding="utf-8"?>
<table xmlns="http://schemas.openxmlformats.org/spreadsheetml/2006/main" id="9" name="Table9" displayName="Table9" ref="B132:G140" totalsRowShown="0" headerRowDxfId="56" dataDxfId="55">
  <autoFilter ref="B132:G1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ransistor Type" dataDxfId="54"/>
    <tableColumn id="2" name="Vt (V)" dataDxfId="53"/>
    <tableColumn id="3" name="Vds (V)" dataDxfId="52"/>
    <tableColumn id="4" name="Vgs/Vsg (V)" dataDxfId="51"/>
    <tableColumn id="5" name="Vgs/Vsg − Vt (V)" dataDxfId="50"/>
    <tableColumn id="6" name="Operating Region" dataDxfId="49"/>
  </tableColumns>
  <tableStyleInfo name="TableStyleMedium9" showFirstColumn="0" showLastColumn="0" showRowStripes="0" showColumnStripes="0"/>
</table>
</file>

<file path=xl/tables/table8.xml><?xml version="1.0" encoding="utf-8"?>
<table xmlns="http://schemas.openxmlformats.org/spreadsheetml/2006/main" id="10" name="Table10" displayName="Table10" ref="B118:E126" totalsRowShown="0" headerRowDxfId="48" dataDxfId="47">
  <autoFilter ref="B118:E126">
    <filterColumn colId="0" hiddenButton="1"/>
    <filterColumn colId="1" hiddenButton="1"/>
    <filterColumn colId="2" hiddenButton="1"/>
    <filterColumn colId="3" hiddenButton="1"/>
  </autoFilter>
  <tableColumns count="4">
    <tableColumn id="1" name="Parameter" dataDxfId="46"/>
    <tableColumn id="2" name="Hand Calculation" dataDxfId="45"/>
    <tableColumn id="3" name="Simulation" dataDxfId="44"/>
    <tableColumn id="4" name="% Difference" dataDxfId="43"/>
  </tableColumns>
  <tableStyleInfo name="TableStyleMedium9" showFirstColumn="0" showLastColumn="0" showRowStripes="0" showColumnStripes="0"/>
</table>
</file>

<file path=xl/tables/table9.xml><?xml version="1.0" encoding="utf-8"?>
<table xmlns="http://schemas.openxmlformats.org/spreadsheetml/2006/main" id="11" name="Table11" displayName="Table11" ref="B100:J114" totalsRowShown="0" headerRowDxfId="42" dataDxfId="41">
  <autoFilter ref="B100:J1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Name" dataDxfId="40"/>
    <tableColumn id="2" name="mpass" dataDxfId="39"/>
    <tableColumn id="3" name="m5" dataDxfId="38"/>
    <tableColumn id="4" name="m4" dataDxfId="37"/>
    <tableColumn id="5" name="m3" dataDxfId="36"/>
    <tableColumn id="6" name="m7" dataDxfId="35"/>
    <tableColumn id="7" name="m2" dataDxfId="34"/>
    <tableColumn id="8" name="m1" dataDxfId="33"/>
    <tableColumn id="9" name="m8" dataDxfId="3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118"/>
  <sheetViews>
    <sheetView tabSelected="1" workbookViewId="0">
      <selection activeCell="H107" sqref="H107"/>
    </sheetView>
  </sheetViews>
  <sheetFormatPr defaultColWidth="11.19921875" defaultRowHeight="15.6"/>
  <cols>
    <col min="2" max="2" width="18.796875" customWidth="1"/>
    <col min="3" max="3" width="18.19921875" customWidth="1"/>
    <col min="4" max="4" width="17" customWidth="1"/>
    <col min="5" max="5" width="17.296875" customWidth="1"/>
    <col min="6" max="6" width="13.19921875" customWidth="1"/>
    <col min="7" max="7" width="15.8984375" customWidth="1"/>
    <col min="8" max="8" width="20.796875" customWidth="1"/>
    <col min="9" max="9" width="17.19921875" customWidth="1"/>
    <col min="12" max="12" width="12.19921875" bestFit="1" customWidth="1"/>
    <col min="15" max="15" width="11.19921875" bestFit="1" customWidth="1"/>
    <col min="16" max="16" width="12.19921875" bestFit="1" customWidth="1"/>
  </cols>
  <sheetData>
    <row r="3" spans="2:9" s="15" customFormat="1" ht="25.8">
      <c r="B3" s="14" t="s">
        <v>39</v>
      </c>
    </row>
    <row r="5" spans="2:9">
      <c r="C5" s="2" t="s">
        <v>22</v>
      </c>
      <c r="D5" s="2" t="s">
        <v>15</v>
      </c>
      <c r="E5" s="2" t="s">
        <v>29</v>
      </c>
    </row>
    <row r="7" spans="2:9">
      <c r="B7" t="s">
        <v>8</v>
      </c>
      <c r="C7">
        <v>1.4</v>
      </c>
      <c r="D7" t="s">
        <v>16</v>
      </c>
    </row>
    <row r="8" spans="2:9">
      <c r="B8" t="s">
        <v>9</v>
      </c>
      <c r="C8">
        <v>1</v>
      </c>
      <c r="D8" t="s">
        <v>16</v>
      </c>
      <c r="E8" t="s">
        <v>40</v>
      </c>
    </row>
    <row r="9" spans="2:9">
      <c r="B9" t="s">
        <v>10</v>
      </c>
      <c r="C9">
        <v>60</v>
      </c>
      <c r="D9" t="s">
        <v>17</v>
      </c>
      <c r="E9" t="s">
        <v>41</v>
      </c>
    </row>
    <row r="10" spans="2:9">
      <c r="B10" t="s">
        <v>12</v>
      </c>
      <c r="C10">
        <v>10</v>
      </c>
      <c r="D10" t="s">
        <v>18</v>
      </c>
      <c r="E10" t="s">
        <v>42</v>
      </c>
    </row>
    <row r="11" spans="2:9">
      <c r="B11" t="s">
        <v>13</v>
      </c>
      <c r="C11">
        <v>1</v>
      </c>
      <c r="D11" t="s">
        <v>104</v>
      </c>
      <c r="E11" t="s">
        <v>41</v>
      </c>
    </row>
    <row r="12" spans="2:9">
      <c r="B12" t="s">
        <v>43</v>
      </c>
      <c r="C12">
        <v>50</v>
      </c>
      <c r="D12" t="s">
        <v>44</v>
      </c>
      <c r="E12" t="s">
        <v>42</v>
      </c>
    </row>
    <row r="14" spans="2:9" s="15" customFormat="1" ht="25.8">
      <c r="B14" s="14" t="s">
        <v>47</v>
      </c>
    </row>
    <row r="16" spans="2:9">
      <c r="B16" t="s">
        <v>21</v>
      </c>
      <c r="C16">
        <f>1000</f>
        <v>1000</v>
      </c>
      <c r="D16" t="s">
        <v>31</v>
      </c>
      <c r="I16" t="s">
        <v>91</v>
      </c>
    </row>
    <row r="17" spans="2:6">
      <c r="B17" t="s">
        <v>23</v>
      </c>
      <c r="C17">
        <v>0.4</v>
      </c>
      <c r="D17" t="s">
        <v>16</v>
      </c>
    </row>
    <row r="19" spans="2:6" s="15" customFormat="1" ht="25.8">
      <c r="B19" s="14" t="s">
        <v>53</v>
      </c>
    </row>
    <row r="21" spans="2:6" ht="18">
      <c r="B21" s="4" t="s">
        <v>33</v>
      </c>
    </row>
    <row r="22" spans="2:6">
      <c r="C22" s="2" t="s">
        <v>54</v>
      </c>
      <c r="F22" t="s">
        <v>29</v>
      </c>
    </row>
    <row r="23" spans="2:6">
      <c r="B23" t="s">
        <v>0</v>
      </c>
      <c r="C23">
        <v>10</v>
      </c>
      <c r="D23" t="s">
        <v>56</v>
      </c>
      <c r="F23" t="s">
        <v>57</v>
      </c>
    </row>
    <row r="24" spans="2:6">
      <c r="B24" t="s">
        <v>1</v>
      </c>
      <c r="C24">
        <v>35</v>
      </c>
      <c r="D24" t="s">
        <v>58</v>
      </c>
      <c r="F24" t="s">
        <v>59</v>
      </c>
    </row>
    <row r="25" spans="2:6">
      <c r="B25" t="s">
        <v>3</v>
      </c>
      <c r="C25">
        <f>C10*0.001</f>
        <v>0.01</v>
      </c>
      <c r="D25" t="s">
        <v>32</v>
      </c>
    </row>
    <row r="26" spans="2:6">
      <c r="B26" s="13" t="s">
        <v>4</v>
      </c>
      <c r="C26" s="13">
        <f>C25/C24</f>
        <v>2.8571428571428574E-4</v>
      </c>
      <c r="D26" t="s">
        <v>60</v>
      </c>
    </row>
    <row r="27" spans="2:6">
      <c r="B27" t="s">
        <v>2</v>
      </c>
      <c r="C27">
        <v>50</v>
      </c>
      <c r="D27" t="s">
        <v>31</v>
      </c>
    </row>
    <row r="28" spans="2:6">
      <c r="B28" t="s">
        <v>35</v>
      </c>
      <c r="C28" s="1">
        <v>28000000000</v>
      </c>
      <c r="D28" t="s">
        <v>51</v>
      </c>
    </row>
    <row r="29" spans="2:6">
      <c r="B29" s="13" t="s">
        <v>5</v>
      </c>
      <c r="C29" s="13">
        <v>0.09</v>
      </c>
      <c r="D29" t="s">
        <v>36</v>
      </c>
    </row>
    <row r="30" spans="2:6">
      <c r="B30" t="s">
        <v>6</v>
      </c>
      <c r="C30" s="1">
        <f>C23*C25</f>
        <v>0.1</v>
      </c>
      <c r="D30" t="s">
        <v>61</v>
      </c>
    </row>
    <row r="31" spans="2:6">
      <c r="B31" t="s">
        <v>37</v>
      </c>
      <c r="C31" s="1">
        <f>C27/C30</f>
        <v>500</v>
      </c>
      <c r="D31" t="s">
        <v>62</v>
      </c>
    </row>
    <row r="32" spans="2:6">
      <c r="B32" t="s">
        <v>38</v>
      </c>
      <c r="C32" s="1">
        <f>C30/2/3.142/C28</f>
        <v>5.6833681913249082E-13</v>
      </c>
      <c r="D32" t="s">
        <v>63</v>
      </c>
    </row>
    <row r="33" spans="2:10">
      <c r="J33" s="1"/>
    </row>
    <row r="34" spans="2:10" s="15" customFormat="1" ht="25.8">
      <c r="B34" s="14" t="s">
        <v>64</v>
      </c>
    </row>
    <row r="35" spans="2:10">
      <c r="B35" t="s">
        <v>105</v>
      </c>
      <c r="C35" s="1">
        <f>1/C11/0.000001/C31</f>
        <v>2000</v>
      </c>
    </row>
    <row r="36" spans="2:10">
      <c r="B36" t="s">
        <v>107</v>
      </c>
      <c r="C36" s="1">
        <v>22000000</v>
      </c>
    </row>
    <row r="37" spans="2:10">
      <c r="B37" t="s">
        <v>171</v>
      </c>
      <c r="C37" s="1">
        <f>C16*C35</f>
        <v>2000000</v>
      </c>
      <c r="D37" t="s">
        <v>66</v>
      </c>
      <c r="E37" t="s">
        <v>67</v>
      </c>
      <c r="H37" t="s">
        <v>108</v>
      </c>
    </row>
    <row r="38" spans="2:10">
      <c r="B38" t="s">
        <v>106</v>
      </c>
      <c r="C38" s="1">
        <f>C35/2/3.142</f>
        <v>318.26861871419482</v>
      </c>
    </row>
    <row r="39" spans="2:10">
      <c r="B39" t="s">
        <v>95</v>
      </c>
      <c r="C39">
        <f>C16/C27</f>
        <v>20</v>
      </c>
    </row>
    <row r="40" spans="2:10">
      <c r="B40" t="s">
        <v>96</v>
      </c>
      <c r="C40">
        <f>C39*2</f>
        <v>40</v>
      </c>
    </row>
    <row r="41" spans="2:10">
      <c r="B41" t="s">
        <v>73</v>
      </c>
      <c r="C41" s="1">
        <v>80000</v>
      </c>
    </row>
    <row r="43" spans="2:10" s="15" customFormat="1" ht="25.8">
      <c r="B43" s="14" t="s">
        <v>81</v>
      </c>
    </row>
    <row r="44" spans="2:10" ht="25.8">
      <c r="B44" s="3"/>
      <c r="C44" t="s">
        <v>90</v>
      </c>
    </row>
    <row r="45" spans="2:10">
      <c r="B45" t="s">
        <v>82</v>
      </c>
      <c r="C45">
        <v>10</v>
      </c>
      <c r="E45" s="1"/>
      <c r="I45" t="s">
        <v>103</v>
      </c>
    </row>
    <row r="46" spans="2:10">
      <c r="B46" t="s">
        <v>3</v>
      </c>
      <c r="C46">
        <f>C12/2/1000000</f>
        <v>2.5000000000000001E-5</v>
      </c>
      <c r="D46" t="s">
        <v>32</v>
      </c>
      <c r="I46" t="s">
        <v>83</v>
      </c>
    </row>
    <row r="47" spans="2:10">
      <c r="B47" t="s">
        <v>2</v>
      </c>
      <c r="C47">
        <v>40</v>
      </c>
      <c r="E47" s="1"/>
      <c r="I47" t="s">
        <v>85</v>
      </c>
    </row>
    <row r="48" spans="2:10">
      <c r="B48" s="13" t="s">
        <v>5</v>
      </c>
      <c r="C48" s="13">
        <v>0.09</v>
      </c>
      <c r="D48" t="s">
        <v>84</v>
      </c>
      <c r="I48" t="s">
        <v>89</v>
      </c>
    </row>
    <row r="49" spans="2:9">
      <c r="B49" t="s">
        <v>1</v>
      </c>
      <c r="C49">
        <v>90</v>
      </c>
      <c r="D49" t="s">
        <v>58</v>
      </c>
    </row>
    <row r="50" spans="2:9">
      <c r="B50" s="13" t="s">
        <v>4</v>
      </c>
      <c r="C50" s="13">
        <f>C46/C49</f>
        <v>2.7777777777777781E-7</v>
      </c>
      <c r="D50" t="s">
        <v>84</v>
      </c>
    </row>
    <row r="51" spans="2:9">
      <c r="B51" t="s">
        <v>6</v>
      </c>
      <c r="C51">
        <f>C45*C46</f>
        <v>2.5000000000000001E-4</v>
      </c>
      <c r="E51" s="1"/>
      <c r="G51" s="6"/>
    </row>
    <row r="52" spans="2:9">
      <c r="B52" t="s">
        <v>37</v>
      </c>
      <c r="C52">
        <f>C47/C51</f>
        <v>160000</v>
      </c>
    </row>
    <row r="54" spans="2:9" s="15" customFormat="1" ht="25.8">
      <c r="B54" s="14" t="s">
        <v>93</v>
      </c>
    </row>
    <row r="55" spans="2:9">
      <c r="B55" t="s">
        <v>3</v>
      </c>
      <c r="C55">
        <f>0.000025</f>
        <v>2.5000000000000001E-5</v>
      </c>
    </row>
    <row r="56" spans="2:9">
      <c r="B56" t="s">
        <v>109</v>
      </c>
      <c r="C56">
        <v>10</v>
      </c>
    </row>
    <row r="57" spans="2:9">
      <c r="B57" t="s">
        <v>2</v>
      </c>
      <c r="C57">
        <v>40</v>
      </c>
    </row>
    <row r="58" spans="2:9">
      <c r="B58" s="13" t="s">
        <v>5</v>
      </c>
      <c r="C58" s="13">
        <v>0.09</v>
      </c>
      <c r="I58" t="s">
        <v>86</v>
      </c>
    </row>
    <row r="59" spans="2:9">
      <c r="B59" t="s">
        <v>6</v>
      </c>
      <c r="C59">
        <f>C56*C55</f>
        <v>2.5000000000000001E-4</v>
      </c>
    </row>
    <row r="60" spans="2:9">
      <c r="B60" t="s">
        <v>1</v>
      </c>
      <c r="C60">
        <v>35</v>
      </c>
    </row>
    <row r="61" spans="2:9">
      <c r="B61" s="13" t="s">
        <v>4</v>
      </c>
      <c r="C61" s="13">
        <f>C55/C60</f>
        <v>7.1428571428571431E-7</v>
      </c>
    </row>
    <row r="62" spans="2:9">
      <c r="B62" t="s">
        <v>37</v>
      </c>
      <c r="C62">
        <f>C57/C59</f>
        <v>160000</v>
      </c>
    </row>
    <row r="64" spans="2:9">
      <c r="B64" t="s">
        <v>110</v>
      </c>
      <c r="C64">
        <f>(C62*C52)/(C52+C62)</f>
        <v>80000</v>
      </c>
      <c r="E64" s="1"/>
    </row>
    <row r="66" spans="2:12">
      <c r="C66" s="1"/>
    </row>
    <row r="67" spans="2:12" s="23" customFormat="1" ht="25.8">
      <c r="B67" s="22" t="s">
        <v>111</v>
      </c>
    </row>
    <row r="68" spans="2:12" s="23" customFormat="1" ht="25.8">
      <c r="B68" s="22"/>
      <c r="D68" s="23" t="s">
        <v>114</v>
      </c>
      <c r="E68" s="23" t="s">
        <v>117</v>
      </c>
    </row>
    <row r="69" spans="2:12">
      <c r="B69" t="s">
        <v>112</v>
      </c>
      <c r="D69" t="s">
        <v>118</v>
      </c>
      <c r="E69" t="s">
        <v>172</v>
      </c>
    </row>
    <row r="70" spans="2:12">
      <c r="B70" t="s">
        <v>106</v>
      </c>
      <c r="D70" s="1" t="s">
        <v>174</v>
      </c>
      <c r="E70" t="s">
        <v>175</v>
      </c>
    </row>
    <row r="71" spans="2:12">
      <c r="B71" t="s">
        <v>115</v>
      </c>
      <c r="D71" s="1" t="s">
        <v>176</v>
      </c>
      <c r="E71" t="s">
        <v>177</v>
      </c>
    </row>
    <row r="72" spans="2:12">
      <c r="B72" t="s">
        <v>113</v>
      </c>
      <c r="D72" t="s">
        <v>116</v>
      </c>
      <c r="E72" t="s">
        <v>173</v>
      </c>
    </row>
    <row r="75" spans="2:12" ht="21">
      <c r="C75" s="36" t="s">
        <v>245</v>
      </c>
    </row>
    <row r="77" spans="2:12">
      <c r="C77" s="28" t="s">
        <v>125</v>
      </c>
      <c r="D77" s="28" t="s">
        <v>138</v>
      </c>
      <c r="E77" s="28" t="s">
        <v>140</v>
      </c>
      <c r="F77" s="28" t="s">
        <v>141</v>
      </c>
      <c r="G77" s="28" t="s">
        <v>169</v>
      </c>
      <c r="H77" s="28" t="s">
        <v>142</v>
      </c>
      <c r="I77" s="28" t="s">
        <v>144</v>
      </c>
      <c r="J77" s="28" t="s">
        <v>145</v>
      </c>
      <c r="K77" s="28" t="s">
        <v>146</v>
      </c>
      <c r="L77" s="5"/>
    </row>
    <row r="78" spans="2:12">
      <c r="C78" s="31" t="s">
        <v>126</v>
      </c>
      <c r="D78" s="29" t="s">
        <v>139</v>
      </c>
      <c r="E78" s="29" t="s">
        <v>139</v>
      </c>
      <c r="F78" s="29" t="s">
        <v>139</v>
      </c>
      <c r="G78" s="29" t="s">
        <v>143</v>
      </c>
      <c r="H78" s="29" t="s">
        <v>143</v>
      </c>
      <c r="I78" s="29" t="s">
        <v>143</v>
      </c>
      <c r="J78" s="29" t="s">
        <v>143</v>
      </c>
      <c r="K78" s="29" t="s">
        <v>143</v>
      </c>
    </row>
    <row r="79" spans="2:12">
      <c r="C79" s="31" t="s">
        <v>3</v>
      </c>
      <c r="D79" s="30">
        <v>-1.01E-2</v>
      </c>
      <c r="E79" s="30">
        <v>-2.4600000000000002E-5</v>
      </c>
      <c r="F79" s="30">
        <v>-2.4600000000000002E-5</v>
      </c>
      <c r="G79" s="30">
        <v>4.9400000000000001E-5</v>
      </c>
      <c r="H79" s="30">
        <v>5.0800000000000002E-5</v>
      </c>
      <c r="I79" s="30">
        <v>2.4600000000000002E-5</v>
      </c>
      <c r="J79" s="30">
        <v>2.4700000000000001E-5</v>
      </c>
      <c r="K79" s="30">
        <v>5.0000000000000002E-5</v>
      </c>
    </row>
    <row r="80" spans="2:12">
      <c r="C80" s="31" t="s">
        <v>127</v>
      </c>
      <c r="D80" s="30">
        <v>-0.64300000000000002</v>
      </c>
      <c r="E80" s="30">
        <v>-0.63700000000000001</v>
      </c>
      <c r="F80" s="30">
        <v>-0.63700000000000001</v>
      </c>
      <c r="G80" s="30">
        <v>0.64400000000000002</v>
      </c>
      <c r="H80" s="30">
        <v>0.64400000000000002</v>
      </c>
      <c r="I80" s="30">
        <v>0.60199999999999998</v>
      </c>
      <c r="J80" s="30">
        <v>0.60299999999999998</v>
      </c>
      <c r="K80" s="30">
        <v>0.64400000000000002</v>
      </c>
    </row>
    <row r="81" spans="3:11">
      <c r="C81" s="31" t="s">
        <v>128</v>
      </c>
      <c r="D81" s="30">
        <v>-0.38700000000000001</v>
      </c>
      <c r="E81" s="30">
        <v>-0.64300000000000002</v>
      </c>
      <c r="F81" s="30">
        <v>-0.63700000000000001</v>
      </c>
      <c r="G81" s="30">
        <v>0.39700000000000002</v>
      </c>
      <c r="H81" s="30">
        <v>1.01</v>
      </c>
      <c r="I81" s="30">
        <v>0.36599999999999999</v>
      </c>
      <c r="J81" s="30">
        <v>0.36</v>
      </c>
      <c r="K81" s="30">
        <v>0.64400000000000002</v>
      </c>
    </row>
    <row r="82" spans="3:11">
      <c r="C82" s="31" t="s">
        <v>129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</row>
    <row r="83" spans="3:11">
      <c r="C83" s="31" t="s">
        <v>130</v>
      </c>
      <c r="D83" s="30">
        <v>-0.48699999999999999</v>
      </c>
      <c r="E83" s="30">
        <v>-0.48399999999999999</v>
      </c>
      <c r="F83" s="30">
        <v>-0.48399999999999999</v>
      </c>
      <c r="G83" s="30">
        <v>0.46899999999999997</v>
      </c>
      <c r="H83" s="30">
        <v>0.46899999999999997</v>
      </c>
      <c r="I83" s="30">
        <v>0.46600000000000003</v>
      </c>
      <c r="J83" s="30">
        <v>0.46600000000000003</v>
      </c>
      <c r="K83" s="30">
        <v>0.46899999999999997</v>
      </c>
    </row>
    <row r="84" spans="3:11">
      <c r="C84" s="31" t="s">
        <v>131</v>
      </c>
      <c r="D84" s="30">
        <v>-0.17199999999999999</v>
      </c>
      <c r="E84" s="30">
        <v>-0.17</v>
      </c>
      <c r="F84" s="30">
        <v>-0.17</v>
      </c>
      <c r="G84" s="30">
        <v>0.18099999999999999</v>
      </c>
      <c r="H84" s="30">
        <v>0.182</v>
      </c>
      <c r="I84" s="30">
        <v>0.14399999999999999</v>
      </c>
      <c r="J84" s="30">
        <v>0.14399999999999999</v>
      </c>
      <c r="K84" s="30">
        <v>0.182</v>
      </c>
    </row>
    <row r="85" spans="3:11">
      <c r="C85" s="31" t="s">
        <v>132</v>
      </c>
      <c r="D85" s="30">
        <v>0.10199999999999999</v>
      </c>
      <c r="E85" s="30">
        <v>2.5599999999999999E-4</v>
      </c>
      <c r="F85" s="30">
        <v>2.5500000000000002E-4</v>
      </c>
      <c r="G85" s="30">
        <v>4.3399999999999998E-4</v>
      </c>
      <c r="H85" s="30">
        <v>4.46E-4</v>
      </c>
      <c r="I85" s="30">
        <v>2.4000000000000001E-4</v>
      </c>
      <c r="J85" s="30">
        <v>2.41E-4</v>
      </c>
      <c r="K85" s="30">
        <v>4.4000000000000002E-4</v>
      </c>
    </row>
    <row r="86" spans="3:11">
      <c r="C86" s="31" t="s">
        <v>133</v>
      </c>
      <c r="D86" s="30">
        <v>2.5400000000000002E-3</v>
      </c>
      <c r="E86" s="30">
        <v>5.0699999999999997E-6</v>
      </c>
      <c r="F86" s="30">
        <v>5.0699999999999997E-6</v>
      </c>
      <c r="G86" s="30">
        <v>3.41E-6</v>
      </c>
      <c r="H86" s="30">
        <v>2.03E-6</v>
      </c>
      <c r="I86" s="30">
        <v>4.9400000000000001E-6</v>
      </c>
      <c r="J86" s="30">
        <v>5.0300000000000001E-6</v>
      </c>
      <c r="K86" s="30">
        <v>2.21E-6</v>
      </c>
    </row>
    <row r="87" spans="3:11">
      <c r="C87" s="31" t="s">
        <v>134</v>
      </c>
      <c r="D87" s="30">
        <v>2.1600000000000001E-2</v>
      </c>
      <c r="E87" s="30">
        <v>5.3999999999999998E-5</v>
      </c>
      <c r="F87" s="30">
        <v>5.3900000000000002E-5</v>
      </c>
      <c r="G87" s="30">
        <v>1.0399999999999999E-4</v>
      </c>
      <c r="H87" s="30">
        <v>1.07E-4</v>
      </c>
      <c r="I87" s="30">
        <v>5.5500000000000001E-5</v>
      </c>
      <c r="J87" s="30">
        <v>5.5600000000000003E-5</v>
      </c>
      <c r="K87" s="30">
        <v>1.05E-4</v>
      </c>
    </row>
    <row r="88" spans="3:11">
      <c r="C88" s="31" t="s">
        <v>135</v>
      </c>
      <c r="D88" s="30">
        <v>1.2800000000000001E-13</v>
      </c>
      <c r="E88" s="30">
        <v>3.0299999999999999E-16</v>
      </c>
      <c r="F88" s="30">
        <v>3.0299999999999999E-16</v>
      </c>
      <c r="G88" s="30">
        <v>5.6000000000000003E-16</v>
      </c>
      <c r="H88" s="30">
        <v>4.9599999999999997E-16</v>
      </c>
      <c r="I88" s="30">
        <v>1.2500000000000001E-16</v>
      </c>
      <c r="J88" s="30">
        <v>1.2500000000000001E-16</v>
      </c>
      <c r="K88" s="30">
        <v>5.3000000000000003E-16</v>
      </c>
    </row>
    <row r="89" spans="3:11">
      <c r="C89" s="31" t="s">
        <v>136</v>
      </c>
      <c r="D89" s="30">
        <v>2.2899999999999998E-13</v>
      </c>
      <c r="E89" s="30">
        <v>5.7100000000000001E-16</v>
      </c>
      <c r="F89" s="30">
        <v>5.7100000000000001E-16</v>
      </c>
      <c r="G89" s="30">
        <v>1.0000000000000001E-15</v>
      </c>
      <c r="H89" s="30">
        <v>1.0000000000000001E-15</v>
      </c>
      <c r="I89" s="30">
        <v>2.2200000000000001E-16</v>
      </c>
      <c r="J89" s="30">
        <v>2.2200000000000001E-16</v>
      </c>
      <c r="K89" s="30">
        <v>1.0000000000000001E-15</v>
      </c>
    </row>
    <row r="90" spans="3:11">
      <c r="C90" s="31" t="s">
        <v>37</v>
      </c>
      <c r="D90" s="30">
        <v>394</v>
      </c>
      <c r="E90" s="30">
        <v>197000</v>
      </c>
      <c r="F90" s="30">
        <v>197000</v>
      </c>
      <c r="G90" s="30">
        <v>293000</v>
      </c>
      <c r="H90" s="30">
        <v>493000</v>
      </c>
      <c r="I90" s="30">
        <v>202000</v>
      </c>
      <c r="J90" s="30">
        <v>199000</v>
      </c>
      <c r="K90" s="30">
        <v>452000</v>
      </c>
    </row>
    <row r="91" spans="3:11">
      <c r="C91" s="31" t="s">
        <v>137</v>
      </c>
      <c r="D91" s="30">
        <v>40.200000000000003</v>
      </c>
      <c r="E91" s="30">
        <v>50.5</v>
      </c>
      <c r="F91" s="30">
        <v>50.3</v>
      </c>
      <c r="G91" s="30">
        <v>127</v>
      </c>
      <c r="H91" s="30">
        <v>220</v>
      </c>
      <c r="I91" s="30">
        <v>48.6</v>
      </c>
      <c r="J91" s="30">
        <v>47.9</v>
      </c>
      <c r="K91" s="30">
        <v>199</v>
      </c>
    </row>
    <row r="95" spans="3:11">
      <c r="D95" s="2" t="s">
        <v>168</v>
      </c>
      <c r="E95" s="2"/>
      <c r="F95" s="2"/>
    </row>
    <row r="97" spans="3:9">
      <c r="C97" s="28" t="s">
        <v>148</v>
      </c>
      <c r="D97" s="28" t="s">
        <v>149</v>
      </c>
      <c r="E97" s="28" t="s">
        <v>150</v>
      </c>
      <c r="F97" s="28" t="s">
        <v>151</v>
      </c>
    </row>
    <row r="98" spans="3:9">
      <c r="C98" s="31" t="s">
        <v>152</v>
      </c>
      <c r="D98" s="29">
        <v>500</v>
      </c>
      <c r="E98" s="29">
        <v>395.25</v>
      </c>
      <c r="F98" s="33">
        <v>0.21</v>
      </c>
    </row>
    <row r="99" spans="3:9">
      <c r="C99" s="31" t="s">
        <v>153</v>
      </c>
      <c r="D99" s="29">
        <v>0.1</v>
      </c>
      <c r="E99" s="29">
        <v>0.10199999999999999</v>
      </c>
      <c r="F99" s="32">
        <v>1.9E-2</v>
      </c>
    </row>
    <row r="100" spans="3:9">
      <c r="C100" s="31" t="s">
        <v>137</v>
      </c>
      <c r="D100" s="29">
        <v>50</v>
      </c>
      <c r="E100" s="29">
        <v>40.316000000000003</v>
      </c>
      <c r="F100" s="32">
        <v>0.19359999999999999</v>
      </c>
    </row>
    <row r="101" spans="3:9">
      <c r="C101" s="31" t="s">
        <v>154</v>
      </c>
      <c r="D101" s="29" t="s">
        <v>201</v>
      </c>
      <c r="E101" s="29" t="s">
        <v>202</v>
      </c>
      <c r="F101" s="32">
        <v>0.2094</v>
      </c>
    </row>
    <row r="102" spans="3:9">
      <c r="C102" s="31" t="s">
        <v>157</v>
      </c>
      <c r="D102" s="29" t="s">
        <v>203</v>
      </c>
      <c r="E102" s="29" t="s">
        <v>204</v>
      </c>
      <c r="F102" s="32">
        <v>0.18859999999999999</v>
      </c>
    </row>
    <row r="103" spans="3:9">
      <c r="C103" s="31" t="s">
        <v>160</v>
      </c>
      <c r="D103" s="29" t="s">
        <v>205</v>
      </c>
      <c r="E103" s="29" t="s">
        <v>206</v>
      </c>
      <c r="F103" s="32">
        <v>0.2094</v>
      </c>
    </row>
    <row r="104" spans="3:9">
      <c r="C104" s="31" t="s">
        <v>162</v>
      </c>
      <c r="D104" s="29" t="s">
        <v>163</v>
      </c>
      <c r="E104" s="29" t="s">
        <v>207</v>
      </c>
      <c r="F104" s="32">
        <v>0.18870000000000001</v>
      </c>
    </row>
    <row r="105" spans="3:9">
      <c r="C105" s="31" t="s">
        <v>165</v>
      </c>
      <c r="D105" s="29" t="s">
        <v>166</v>
      </c>
      <c r="E105" s="29" t="s">
        <v>208</v>
      </c>
      <c r="F105" s="32">
        <v>1.9599999999999999E-2</v>
      </c>
    </row>
    <row r="108" spans="3:9" ht="30.6" customHeight="1">
      <c r="C108" s="31" t="s">
        <v>224</v>
      </c>
    </row>
    <row r="110" spans="3:9">
      <c r="C110" s="28" t="s">
        <v>236</v>
      </c>
      <c r="D110" s="28" t="s">
        <v>237</v>
      </c>
      <c r="E110" s="28" t="s">
        <v>210</v>
      </c>
      <c r="F110" s="28" t="s">
        <v>211</v>
      </c>
      <c r="G110" s="28" t="s">
        <v>212</v>
      </c>
      <c r="H110" s="28" t="s">
        <v>213</v>
      </c>
      <c r="I110" s="28" t="s">
        <v>214</v>
      </c>
    </row>
    <row r="111" spans="3:9">
      <c r="C111" s="34" t="s">
        <v>215</v>
      </c>
      <c r="D111" s="34" t="s">
        <v>235</v>
      </c>
      <c r="E111" s="34">
        <v>0.36599999999999999</v>
      </c>
      <c r="F111" s="34">
        <v>0.60199999999999998</v>
      </c>
      <c r="G111" s="34">
        <v>0.46600000000000003</v>
      </c>
      <c r="H111" s="34">
        <v>0.13600000000000001</v>
      </c>
      <c r="I111" s="34" t="s">
        <v>217</v>
      </c>
    </row>
    <row r="112" spans="3:9">
      <c r="C112" s="34" t="s">
        <v>234</v>
      </c>
      <c r="D112" s="34" t="s">
        <v>235</v>
      </c>
      <c r="E112" s="34">
        <v>0.46600000000000003</v>
      </c>
      <c r="F112" s="34">
        <v>0.46600000000000003</v>
      </c>
      <c r="G112" s="34">
        <v>0.16300000000000001</v>
      </c>
      <c r="H112" s="34">
        <v>0.16300000000000001</v>
      </c>
      <c r="I112" s="34" t="s">
        <v>217</v>
      </c>
    </row>
    <row r="113" spans="3:9">
      <c r="C113" s="34" t="s">
        <v>238</v>
      </c>
      <c r="D113" s="34" t="s">
        <v>235</v>
      </c>
      <c r="E113" s="34">
        <v>0.39700000000000002</v>
      </c>
      <c r="F113" s="34">
        <v>0.64400000000000002</v>
      </c>
      <c r="G113" s="34">
        <v>0.46899999999999997</v>
      </c>
      <c r="H113" s="34">
        <v>0.33400000000000002</v>
      </c>
      <c r="I113" s="34" t="s">
        <v>217</v>
      </c>
    </row>
    <row r="114" spans="3:9">
      <c r="C114" s="34" t="s">
        <v>239</v>
      </c>
      <c r="D114" s="34" t="s">
        <v>240</v>
      </c>
      <c r="E114" s="34">
        <v>0.63700000000000001</v>
      </c>
      <c r="F114" s="34">
        <v>0.63700000000000001</v>
      </c>
      <c r="G114" s="34">
        <v>0.46899999999999997</v>
      </c>
      <c r="H114" s="34">
        <v>0.16800000000000001</v>
      </c>
      <c r="I114" s="34" t="s">
        <v>217</v>
      </c>
    </row>
    <row r="115" spans="3:9">
      <c r="C115" s="34" t="s">
        <v>241</v>
      </c>
      <c r="D115" s="34" t="s">
        <v>240</v>
      </c>
      <c r="E115" s="34">
        <v>0.64300000000000002</v>
      </c>
      <c r="F115" s="34">
        <v>0.63700000000000001</v>
      </c>
      <c r="G115" s="34">
        <v>0.48399999999999999</v>
      </c>
      <c r="H115" s="34">
        <v>0.159</v>
      </c>
      <c r="I115" s="34" t="s">
        <v>217</v>
      </c>
    </row>
    <row r="116" spans="3:9">
      <c r="C116" s="34" t="s">
        <v>242</v>
      </c>
      <c r="D116" s="34" t="s">
        <v>240</v>
      </c>
      <c r="E116" s="34">
        <v>0.38700000000000001</v>
      </c>
      <c r="F116" s="34">
        <v>0.64300000000000002</v>
      </c>
      <c r="G116" s="34">
        <v>0.48699999999999999</v>
      </c>
      <c r="H116" s="34">
        <v>0.156</v>
      </c>
      <c r="I116" s="34" t="s">
        <v>217</v>
      </c>
    </row>
    <row r="117" spans="3:9">
      <c r="C117" s="34" t="s">
        <v>243</v>
      </c>
      <c r="D117" s="34" t="s">
        <v>235</v>
      </c>
      <c r="E117" s="34">
        <v>1.01</v>
      </c>
      <c r="F117" s="34">
        <v>0.64400000000000002</v>
      </c>
      <c r="G117" s="34">
        <v>0.46899999999999997</v>
      </c>
      <c r="H117" s="34">
        <v>0.54100000000000004</v>
      </c>
      <c r="I117" s="34" t="s">
        <v>217</v>
      </c>
    </row>
    <row r="118" spans="3:9">
      <c r="C118" s="34" t="s">
        <v>244</v>
      </c>
      <c r="D118" s="34" t="s">
        <v>235</v>
      </c>
      <c r="E118" s="34">
        <v>0.64400000000000002</v>
      </c>
      <c r="F118" s="34">
        <v>0.64400000000000002</v>
      </c>
      <c r="G118" s="34">
        <v>0.48899999999999999</v>
      </c>
      <c r="H118" s="34">
        <v>0.155</v>
      </c>
      <c r="I118" s="34" t="s">
        <v>217</v>
      </c>
    </row>
  </sheetData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Q111"/>
  <sheetViews>
    <sheetView topLeftCell="A103" workbookViewId="0">
      <selection activeCell="G19" sqref="G19"/>
    </sheetView>
  </sheetViews>
  <sheetFormatPr defaultColWidth="11.19921875" defaultRowHeight="15.6"/>
  <cols>
    <col min="2" max="2" width="18.796875" customWidth="1"/>
    <col min="3" max="3" width="18.19921875" customWidth="1"/>
    <col min="4" max="4" width="17.296875" customWidth="1"/>
    <col min="5" max="5" width="16.5" customWidth="1"/>
    <col min="7" max="7" width="20.09765625" customWidth="1"/>
    <col min="8" max="8" width="23.5" customWidth="1"/>
    <col min="9" max="9" width="15.69921875" customWidth="1"/>
    <col min="12" max="12" width="12.19921875" bestFit="1" customWidth="1"/>
    <col min="15" max="15" width="11.19921875" bestFit="1" customWidth="1"/>
    <col min="16" max="16" width="12.19921875" bestFit="1" customWidth="1"/>
  </cols>
  <sheetData>
    <row r="3" spans="2:9" s="15" customFormat="1" ht="25.8">
      <c r="B3" s="14" t="s">
        <v>39</v>
      </c>
    </row>
    <row r="5" spans="2:9">
      <c r="C5" s="2" t="s">
        <v>22</v>
      </c>
      <c r="D5" s="2" t="s">
        <v>15</v>
      </c>
      <c r="E5" s="2" t="s">
        <v>29</v>
      </c>
    </row>
    <row r="7" spans="2:9">
      <c r="B7" t="s">
        <v>8</v>
      </c>
      <c r="C7">
        <v>1.4</v>
      </c>
      <c r="D7" t="s">
        <v>16</v>
      </c>
    </row>
    <row r="8" spans="2:9">
      <c r="B8" t="s">
        <v>9</v>
      </c>
      <c r="C8">
        <v>1</v>
      </c>
      <c r="D8" t="s">
        <v>16</v>
      </c>
      <c r="E8" t="s">
        <v>40</v>
      </c>
    </row>
    <row r="9" spans="2:9">
      <c r="B9" t="s">
        <v>10</v>
      </c>
      <c r="C9">
        <v>60</v>
      </c>
      <c r="D9" t="s">
        <v>17</v>
      </c>
      <c r="E9" t="s">
        <v>41</v>
      </c>
    </row>
    <row r="10" spans="2:9">
      <c r="B10" t="s">
        <v>189</v>
      </c>
      <c r="C10">
        <v>2</v>
      </c>
      <c r="D10" t="s">
        <v>18</v>
      </c>
      <c r="E10" t="s">
        <v>42</v>
      </c>
    </row>
    <row r="11" spans="2:9">
      <c r="B11" t="s">
        <v>13</v>
      </c>
      <c r="C11">
        <v>1</v>
      </c>
      <c r="D11" t="s">
        <v>104</v>
      </c>
      <c r="E11" t="s">
        <v>41</v>
      </c>
    </row>
    <row r="12" spans="2:9">
      <c r="B12" t="s">
        <v>43</v>
      </c>
      <c r="C12">
        <v>50</v>
      </c>
      <c r="D12" t="s">
        <v>44</v>
      </c>
      <c r="E12" t="s">
        <v>42</v>
      </c>
    </row>
    <row r="14" spans="2:9" s="15" customFormat="1" ht="25.8">
      <c r="B14" s="14" t="s">
        <v>47</v>
      </c>
    </row>
    <row r="16" spans="2:9">
      <c r="B16" t="s">
        <v>21</v>
      </c>
      <c r="C16">
        <f>1000</f>
        <v>1000</v>
      </c>
      <c r="D16" t="s">
        <v>31</v>
      </c>
      <c r="I16" t="s">
        <v>91</v>
      </c>
    </row>
    <row r="17" spans="2:6">
      <c r="B17" t="s">
        <v>23</v>
      </c>
      <c r="C17">
        <v>0.4</v>
      </c>
      <c r="D17" t="s">
        <v>16</v>
      </c>
    </row>
    <row r="19" spans="2:6" s="15" customFormat="1" ht="25.8">
      <c r="B19" s="14" t="s">
        <v>53</v>
      </c>
    </row>
    <row r="21" spans="2:6" ht="18">
      <c r="B21" s="4" t="s">
        <v>33</v>
      </c>
    </row>
    <row r="22" spans="2:6">
      <c r="C22" s="2" t="s">
        <v>54</v>
      </c>
      <c r="F22" t="s">
        <v>29</v>
      </c>
    </row>
    <row r="23" spans="2:6">
      <c r="B23" t="s">
        <v>0</v>
      </c>
      <c r="C23">
        <v>10</v>
      </c>
      <c r="D23" t="s">
        <v>56</v>
      </c>
      <c r="F23" t="s">
        <v>57</v>
      </c>
    </row>
    <row r="24" spans="2:6">
      <c r="B24" t="s">
        <v>1</v>
      </c>
      <c r="C24">
        <v>35</v>
      </c>
      <c r="D24" t="s">
        <v>58</v>
      </c>
      <c r="F24" t="s">
        <v>59</v>
      </c>
    </row>
    <row r="25" spans="2:6">
      <c r="B25" t="s">
        <v>3</v>
      </c>
      <c r="C25">
        <f>C10*0.001</f>
        <v>2E-3</v>
      </c>
      <c r="D25" t="s">
        <v>32</v>
      </c>
    </row>
    <row r="26" spans="2:6">
      <c r="B26" s="13" t="s">
        <v>4</v>
      </c>
      <c r="C26" s="25">
        <v>2.8571400000000001E-4</v>
      </c>
      <c r="D26" t="s">
        <v>60</v>
      </c>
    </row>
    <row r="27" spans="2:6">
      <c r="B27" t="s">
        <v>2</v>
      </c>
      <c r="C27">
        <v>50</v>
      </c>
      <c r="D27" t="s">
        <v>31</v>
      </c>
    </row>
    <row r="28" spans="2:6">
      <c r="B28" t="s">
        <v>35</v>
      </c>
      <c r="C28" s="1">
        <v>28000000000</v>
      </c>
      <c r="D28" t="s">
        <v>51</v>
      </c>
    </row>
    <row r="29" spans="2:6">
      <c r="B29" s="13" t="s">
        <v>5</v>
      </c>
      <c r="C29" s="13">
        <v>0.09</v>
      </c>
      <c r="D29" t="s">
        <v>36</v>
      </c>
    </row>
    <row r="30" spans="2:6">
      <c r="B30" t="s">
        <v>6</v>
      </c>
      <c r="C30" s="1">
        <f>C23*C25</f>
        <v>0.02</v>
      </c>
      <c r="D30" t="s">
        <v>61</v>
      </c>
    </row>
    <row r="31" spans="2:6">
      <c r="B31" t="s">
        <v>37</v>
      </c>
      <c r="C31" s="1">
        <f>C27/C30</f>
        <v>2500</v>
      </c>
      <c r="D31" t="s">
        <v>62</v>
      </c>
    </row>
    <row r="32" spans="2:6">
      <c r="B32" t="s">
        <v>38</v>
      </c>
      <c r="C32" s="1">
        <f>C30/2/3.142/C28</f>
        <v>1.1366736382649814E-13</v>
      </c>
      <c r="D32" t="s">
        <v>63</v>
      </c>
    </row>
    <row r="33" spans="2:10">
      <c r="J33" s="1"/>
    </row>
    <row r="34" spans="2:10" s="15" customFormat="1" ht="25.8">
      <c r="B34" s="14" t="s">
        <v>64</v>
      </c>
    </row>
    <row r="35" spans="2:10">
      <c r="B35" t="s">
        <v>105</v>
      </c>
      <c r="C35" s="1">
        <f>1/C11/0.000001/C31</f>
        <v>400</v>
      </c>
    </row>
    <row r="36" spans="2:10">
      <c r="B36" t="s">
        <v>107</v>
      </c>
      <c r="C36" s="1">
        <v>110000000</v>
      </c>
    </row>
    <row r="37" spans="2:10">
      <c r="B37" t="s">
        <v>171</v>
      </c>
      <c r="C37" s="1">
        <f>C16*C35</f>
        <v>400000</v>
      </c>
      <c r="D37" t="s">
        <v>66</v>
      </c>
      <c r="E37" t="s">
        <v>67</v>
      </c>
      <c r="H37" t="s">
        <v>108</v>
      </c>
    </row>
    <row r="38" spans="2:10">
      <c r="B38" t="s">
        <v>106</v>
      </c>
      <c r="C38" s="1">
        <f>C35/2/3.142</f>
        <v>63.653723742838956</v>
      </c>
    </row>
    <row r="39" spans="2:10">
      <c r="B39" t="s">
        <v>95</v>
      </c>
      <c r="C39">
        <f>C16/C27</f>
        <v>20</v>
      </c>
      <c r="G39" t="s">
        <v>71</v>
      </c>
    </row>
    <row r="40" spans="2:10">
      <c r="B40" t="s">
        <v>96</v>
      </c>
      <c r="C40">
        <f>C39*2</f>
        <v>40</v>
      </c>
      <c r="G40" t="s">
        <v>72</v>
      </c>
    </row>
    <row r="41" spans="2:10">
      <c r="B41" t="s">
        <v>73</v>
      </c>
      <c r="C41" s="1">
        <v>80000</v>
      </c>
    </row>
    <row r="43" spans="2:10" s="15" customFormat="1" ht="25.8">
      <c r="B43" s="14" t="s">
        <v>81</v>
      </c>
    </row>
    <row r="44" spans="2:10" ht="25.8">
      <c r="B44" s="3"/>
      <c r="C44" t="s">
        <v>90</v>
      </c>
    </row>
    <row r="45" spans="2:10">
      <c r="B45" t="s">
        <v>82</v>
      </c>
      <c r="C45">
        <v>10</v>
      </c>
      <c r="E45" s="1"/>
      <c r="I45" t="s">
        <v>103</v>
      </c>
    </row>
    <row r="46" spans="2:10">
      <c r="B46" t="s">
        <v>3</v>
      </c>
      <c r="C46">
        <f>C12/2/1000000</f>
        <v>2.5000000000000001E-5</v>
      </c>
      <c r="D46" t="s">
        <v>32</v>
      </c>
      <c r="I46" t="s">
        <v>83</v>
      </c>
    </row>
    <row r="47" spans="2:10">
      <c r="B47" t="s">
        <v>2</v>
      </c>
      <c r="C47">
        <v>40</v>
      </c>
      <c r="E47" s="1"/>
      <c r="I47" t="s">
        <v>85</v>
      </c>
    </row>
    <row r="48" spans="2:10">
      <c r="B48" s="13" t="s">
        <v>5</v>
      </c>
      <c r="C48" s="13">
        <v>0.09</v>
      </c>
      <c r="D48" t="s">
        <v>84</v>
      </c>
      <c r="I48" t="s">
        <v>89</v>
      </c>
    </row>
    <row r="49" spans="2:9">
      <c r="B49" t="s">
        <v>1</v>
      </c>
      <c r="C49">
        <v>90</v>
      </c>
      <c r="D49" t="s">
        <v>58</v>
      </c>
    </row>
    <row r="50" spans="2:9">
      <c r="B50" s="13" t="s">
        <v>4</v>
      </c>
      <c r="C50" s="13">
        <f>C46/C49</f>
        <v>2.7777777777777781E-7</v>
      </c>
      <c r="D50" t="s">
        <v>84</v>
      </c>
    </row>
    <row r="51" spans="2:9">
      <c r="B51" t="s">
        <v>6</v>
      </c>
      <c r="C51">
        <f>C45*C46</f>
        <v>2.5000000000000001E-4</v>
      </c>
      <c r="E51" s="1"/>
      <c r="G51" s="6"/>
    </row>
    <row r="52" spans="2:9">
      <c r="B52" t="s">
        <v>37</v>
      </c>
      <c r="C52">
        <f>C47/C51</f>
        <v>160000</v>
      </c>
    </row>
    <row r="54" spans="2:9" s="15" customFormat="1" ht="25.8">
      <c r="B54" s="14" t="s">
        <v>93</v>
      </c>
    </row>
    <row r="55" spans="2:9">
      <c r="B55" t="s">
        <v>3</v>
      </c>
      <c r="C55">
        <f>0.000025</f>
        <v>2.5000000000000001E-5</v>
      </c>
    </row>
    <row r="56" spans="2:9">
      <c r="B56" t="s">
        <v>109</v>
      </c>
      <c r="C56">
        <v>10</v>
      </c>
    </row>
    <row r="57" spans="2:9">
      <c r="B57" t="s">
        <v>2</v>
      </c>
      <c r="C57">
        <v>40</v>
      </c>
    </row>
    <row r="58" spans="2:9">
      <c r="B58" s="13" t="s">
        <v>5</v>
      </c>
      <c r="C58" s="13">
        <v>0.09</v>
      </c>
      <c r="I58" t="s">
        <v>86</v>
      </c>
    </row>
    <row r="59" spans="2:9">
      <c r="B59" t="s">
        <v>6</v>
      </c>
      <c r="C59">
        <f>C56*C55</f>
        <v>2.5000000000000001E-4</v>
      </c>
    </row>
    <row r="60" spans="2:9">
      <c r="B60" t="s">
        <v>1</v>
      </c>
      <c r="C60">
        <v>35</v>
      </c>
    </row>
    <row r="61" spans="2:9">
      <c r="B61" s="13" t="s">
        <v>4</v>
      </c>
      <c r="C61" s="13">
        <f>C55/C60</f>
        <v>7.1428571428571431E-7</v>
      </c>
    </row>
    <row r="62" spans="2:9">
      <c r="B62" t="s">
        <v>37</v>
      </c>
      <c r="C62">
        <f>C57/C59</f>
        <v>160000</v>
      </c>
    </row>
    <row r="64" spans="2:9">
      <c r="B64" t="s">
        <v>110</v>
      </c>
      <c r="C64">
        <f>(C62*C52)/(C52+C62)</f>
        <v>80000</v>
      </c>
      <c r="E64" s="1"/>
    </row>
    <row r="66" spans="2:17">
      <c r="C66" s="1"/>
    </row>
    <row r="67" spans="2:17" s="23" customFormat="1" ht="25.8">
      <c r="B67" s="22" t="s">
        <v>111</v>
      </c>
    </row>
    <row r="68" spans="2:17" s="23" customFormat="1" ht="25.8">
      <c r="B68" s="22"/>
      <c r="D68" s="23" t="s">
        <v>114</v>
      </c>
      <c r="E68" s="23" t="s">
        <v>117</v>
      </c>
    </row>
    <row r="69" spans="2:17">
      <c r="B69" t="s">
        <v>112</v>
      </c>
      <c r="D69" t="s">
        <v>118</v>
      </c>
      <c r="E69" t="s">
        <v>195</v>
      </c>
    </row>
    <row r="70" spans="2:17">
      <c r="B70" t="s">
        <v>106</v>
      </c>
      <c r="D70" s="1" t="s">
        <v>190</v>
      </c>
      <c r="E70" t="s">
        <v>191</v>
      </c>
    </row>
    <row r="71" spans="2:17">
      <c r="B71" t="s">
        <v>115</v>
      </c>
      <c r="D71" s="1" t="s">
        <v>192</v>
      </c>
      <c r="E71" t="s">
        <v>193</v>
      </c>
    </row>
    <row r="72" spans="2:17">
      <c r="B72" t="s">
        <v>113</v>
      </c>
      <c r="D72" t="s">
        <v>116</v>
      </c>
      <c r="E72" t="s">
        <v>194</v>
      </c>
    </row>
    <row r="74" spans="2:17" ht="21">
      <c r="B74" s="36" t="s">
        <v>245</v>
      </c>
    </row>
    <row r="76" spans="2:17">
      <c r="B76" s="28" t="s">
        <v>125</v>
      </c>
      <c r="C76" s="28" t="s">
        <v>126</v>
      </c>
      <c r="D76" s="28" t="s">
        <v>3</v>
      </c>
      <c r="E76" s="28" t="s">
        <v>127</v>
      </c>
      <c r="F76" s="28" t="s">
        <v>128</v>
      </c>
      <c r="G76" s="28" t="s">
        <v>129</v>
      </c>
      <c r="H76" s="28" t="s">
        <v>130</v>
      </c>
      <c r="I76" s="28" t="s">
        <v>131</v>
      </c>
      <c r="J76" s="28" t="s">
        <v>132</v>
      </c>
      <c r="K76" s="28" t="s">
        <v>133</v>
      </c>
      <c r="L76" s="28" t="s">
        <v>134</v>
      </c>
      <c r="M76" s="28" t="s">
        <v>135</v>
      </c>
      <c r="N76" s="28" t="s">
        <v>136</v>
      </c>
      <c r="O76" s="28" t="s">
        <v>37</v>
      </c>
      <c r="P76" s="28" t="s">
        <v>137</v>
      </c>
      <c r="Q76" t="s">
        <v>147</v>
      </c>
    </row>
    <row r="77" spans="2:17">
      <c r="B77" s="29" t="s">
        <v>138</v>
      </c>
      <c r="C77" s="29" t="s">
        <v>139</v>
      </c>
      <c r="D77" s="30">
        <v>-2.0500000000000002E-3</v>
      </c>
      <c r="E77" s="30">
        <v>-0.52800000000000002</v>
      </c>
      <c r="F77" s="30">
        <v>-0.38200000000000001</v>
      </c>
      <c r="G77" s="30">
        <v>0</v>
      </c>
      <c r="H77" s="30">
        <v>-0.48699999999999999</v>
      </c>
      <c r="I77" s="30">
        <v>-9.2799999999999994E-2</v>
      </c>
      <c r="J77" s="30">
        <v>3.6400000000000002E-2</v>
      </c>
      <c r="K77" s="30">
        <v>6.6500000000000001E-4</v>
      </c>
      <c r="L77" s="30">
        <v>7.4999999999999997E-3</v>
      </c>
      <c r="M77" s="30">
        <v>1.2800000000000001E-13</v>
      </c>
      <c r="N77" s="30">
        <v>2.2899999999999998E-13</v>
      </c>
      <c r="O77" s="30">
        <v>1500</v>
      </c>
      <c r="P77" s="30">
        <v>54.7</v>
      </c>
    </row>
    <row r="78" spans="2:17">
      <c r="B78" s="29" t="s">
        <v>140</v>
      </c>
      <c r="C78" s="29" t="s">
        <v>139</v>
      </c>
      <c r="D78" s="30">
        <v>-2.44E-5</v>
      </c>
      <c r="E78" s="30">
        <v>-0.63800000000000001</v>
      </c>
      <c r="F78" s="30">
        <v>-0.52800000000000002</v>
      </c>
      <c r="G78" s="30">
        <v>0</v>
      </c>
      <c r="H78" s="30">
        <v>-0.48599999999999999</v>
      </c>
      <c r="I78" s="30">
        <v>-0.17</v>
      </c>
      <c r="J78" s="30">
        <v>2.5300000000000002E-4</v>
      </c>
      <c r="K78" s="30">
        <v>5.3000000000000001E-6</v>
      </c>
      <c r="L78" s="30">
        <v>5.3399999999999997E-5</v>
      </c>
      <c r="M78" s="30">
        <v>3.1000000000000001E-16</v>
      </c>
      <c r="N78" s="30">
        <v>5.7100000000000001E-16</v>
      </c>
      <c r="O78" s="30">
        <v>189000</v>
      </c>
      <c r="P78" s="30">
        <v>47.7</v>
      </c>
    </row>
    <row r="79" spans="2:17">
      <c r="B79" s="29" t="s">
        <v>141</v>
      </c>
      <c r="C79" s="29" t="s">
        <v>139</v>
      </c>
      <c r="D79" s="30">
        <v>-2.5000000000000001E-5</v>
      </c>
      <c r="E79" s="30">
        <v>-0.63800000000000001</v>
      </c>
      <c r="F79" s="30">
        <v>-0.63800000000000001</v>
      </c>
      <c r="G79" s="30">
        <v>0</v>
      </c>
      <c r="H79" s="30">
        <v>-0.48399999999999999</v>
      </c>
      <c r="I79" s="30">
        <v>-0.17100000000000001</v>
      </c>
      <c r="J79" s="30">
        <v>2.5700000000000001E-4</v>
      </c>
      <c r="K79" s="30">
        <v>5.1200000000000001E-6</v>
      </c>
      <c r="L79" s="30">
        <v>5.4299999999999998E-5</v>
      </c>
      <c r="M79" s="30">
        <v>3.0299999999999999E-16</v>
      </c>
      <c r="N79" s="30">
        <v>5.7100000000000001E-16</v>
      </c>
      <c r="O79" s="30">
        <v>195000</v>
      </c>
      <c r="P79" s="30">
        <v>50.2</v>
      </c>
    </row>
    <row r="80" spans="2:17">
      <c r="B80" s="29" t="s">
        <v>142</v>
      </c>
      <c r="C80" s="29" t="s">
        <v>143</v>
      </c>
      <c r="D80" s="30">
        <v>4.9400000000000001E-5</v>
      </c>
      <c r="E80" s="30">
        <v>0.64400000000000002</v>
      </c>
      <c r="F80" s="30">
        <v>0.40100000000000002</v>
      </c>
      <c r="G80" s="30">
        <v>0</v>
      </c>
      <c r="H80" s="30">
        <v>0.46899999999999997</v>
      </c>
      <c r="I80" s="30">
        <v>0.18099999999999999</v>
      </c>
      <c r="J80" s="30">
        <v>4.3399999999999998E-4</v>
      </c>
      <c r="K80" s="30">
        <v>3.36E-6</v>
      </c>
      <c r="L80" s="30">
        <v>1.0399999999999999E-4</v>
      </c>
      <c r="M80" s="30">
        <v>5.5900000000000001E-16</v>
      </c>
      <c r="N80" s="30">
        <v>1.0000000000000001E-15</v>
      </c>
      <c r="O80" s="30">
        <v>298000</v>
      </c>
      <c r="P80" s="30">
        <v>129</v>
      </c>
    </row>
    <row r="81" spans="2:16">
      <c r="B81" s="29" t="s">
        <v>144</v>
      </c>
      <c r="C81" s="29" t="s">
        <v>143</v>
      </c>
      <c r="D81" s="30">
        <v>5.0800000000000002E-5</v>
      </c>
      <c r="E81" s="30">
        <v>0.64400000000000002</v>
      </c>
      <c r="F81" s="30">
        <v>1.02</v>
      </c>
      <c r="G81" s="30">
        <v>0</v>
      </c>
      <c r="H81" s="30">
        <v>0.46899999999999997</v>
      </c>
      <c r="I81" s="30">
        <v>0.182</v>
      </c>
      <c r="J81" s="30">
        <v>4.46E-4</v>
      </c>
      <c r="K81" s="30">
        <v>2.03E-6</v>
      </c>
      <c r="L81" s="30">
        <v>1.07E-4</v>
      </c>
      <c r="M81" s="30">
        <v>4.9599999999999997E-16</v>
      </c>
      <c r="N81" s="30">
        <v>1.0000000000000001E-15</v>
      </c>
      <c r="O81" s="30">
        <v>493000</v>
      </c>
      <c r="P81" s="30">
        <v>220</v>
      </c>
    </row>
    <row r="82" spans="2:16">
      <c r="B82" s="29" t="s">
        <v>145</v>
      </c>
      <c r="C82" s="29" t="s">
        <v>143</v>
      </c>
      <c r="D82" s="30">
        <v>2.5000000000000001E-5</v>
      </c>
      <c r="E82" s="30">
        <v>0.60399999999999998</v>
      </c>
      <c r="F82" s="30">
        <v>0.36099999999999999</v>
      </c>
      <c r="G82" s="30">
        <v>0</v>
      </c>
      <c r="H82" s="30">
        <v>0.46600000000000003</v>
      </c>
      <c r="I82" s="30">
        <v>0.14499999999999999</v>
      </c>
      <c r="J82" s="30">
        <v>2.42E-4</v>
      </c>
      <c r="K82" s="30">
        <v>5.0599999999999998E-6</v>
      </c>
      <c r="L82" s="30">
        <v>5.5800000000000001E-5</v>
      </c>
      <c r="M82" s="30">
        <v>1.2500000000000001E-16</v>
      </c>
      <c r="N82" s="30">
        <v>2.2200000000000001E-16</v>
      </c>
      <c r="O82" s="30">
        <v>198000</v>
      </c>
      <c r="P82" s="30">
        <v>47.8</v>
      </c>
    </row>
    <row r="83" spans="2:16">
      <c r="B83" s="29" t="s">
        <v>146</v>
      </c>
      <c r="C83" s="29" t="s">
        <v>143</v>
      </c>
      <c r="D83" s="30">
        <v>2.44E-5</v>
      </c>
      <c r="E83" s="30">
        <v>0.59899999999999998</v>
      </c>
      <c r="F83" s="30">
        <v>0.47199999999999998</v>
      </c>
      <c r="G83" s="30">
        <v>0</v>
      </c>
      <c r="H83" s="30">
        <v>0.46500000000000002</v>
      </c>
      <c r="I83" s="30">
        <v>0.14299999999999999</v>
      </c>
      <c r="J83" s="30">
        <v>2.41E-4</v>
      </c>
      <c r="K83" s="30">
        <v>4.2699999999999998E-6</v>
      </c>
      <c r="L83" s="30">
        <v>5.5600000000000003E-5</v>
      </c>
      <c r="M83" s="30">
        <v>1.2200000000000001E-16</v>
      </c>
      <c r="N83" s="30">
        <v>2.2200000000000001E-16</v>
      </c>
      <c r="O83" s="30">
        <v>234000</v>
      </c>
      <c r="P83" s="30">
        <v>56.4</v>
      </c>
    </row>
    <row r="84" spans="2:16">
      <c r="B84" s="29" t="s">
        <v>142</v>
      </c>
      <c r="C84" s="29" t="s">
        <v>143</v>
      </c>
      <c r="D84" s="30">
        <v>5.0000000000000002E-5</v>
      </c>
      <c r="E84" s="30">
        <v>0.64400000000000002</v>
      </c>
      <c r="F84" s="30">
        <v>0.64400000000000002</v>
      </c>
      <c r="G84" s="30">
        <v>0</v>
      </c>
      <c r="H84" s="30">
        <v>0.46899999999999997</v>
      </c>
      <c r="I84" s="30">
        <v>0.182</v>
      </c>
      <c r="J84" s="30">
        <v>4.4000000000000002E-4</v>
      </c>
      <c r="K84" s="30">
        <v>2.21E-6</v>
      </c>
      <c r="L84" s="30">
        <v>1.05E-4</v>
      </c>
      <c r="M84" s="30">
        <v>5.3000000000000003E-16</v>
      </c>
      <c r="N84" s="30">
        <v>1.0000000000000001E-15</v>
      </c>
      <c r="O84" s="30">
        <v>452000</v>
      </c>
      <c r="P84" s="30">
        <v>199</v>
      </c>
    </row>
    <row r="88" spans="2:16">
      <c r="C88" s="2" t="s">
        <v>168</v>
      </c>
      <c r="D88" s="2"/>
      <c r="E88" s="2"/>
    </row>
    <row r="90" spans="2:16">
      <c r="B90" s="28" t="s">
        <v>148</v>
      </c>
      <c r="C90" s="28" t="s">
        <v>149</v>
      </c>
      <c r="D90" s="28" t="s">
        <v>150</v>
      </c>
      <c r="E90" s="28" t="s">
        <v>151</v>
      </c>
    </row>
    <row r="91" spans="2:16">
      <c r="B91" s="31" t="s">
        <v>152</v>
      </c>
      <c r="C91" s="29">
        <v>2500</v>
      </c>
      <c r="D91" s="29">
        <v>1503.7</v>
      </c>
      <c r="E91" s="32">
        <v>0.39</v>
      </c>
    </row>
    <row r="92" spans="2:16">
      <c r="B92" s="31" t="s">
        <v>153</v>
      </c>
      <c r="C92" s="29">
        <v>0.02</v>
      </c>
      <c r="D92" s="29">
        <v>3.6400000000000002E-2</v>
      </c>
      <c r="E92" s="33">
        <v>0.45</v>
      </c>
    </row>
    <row r="93" spans="2:16">
      <c r="B93" s="31" t="s">
        <v>137</v>
      </c>
      <c r="C93" s="29">
        <v>50</v>
      </c>
      <c r="D93" s="29">
        <v>54.7</v>
      </c>
      <c r="E93" s="32">
        <v>8.5000000000000006E-2</v>
      </c>
    </row>
    <row r="94" spans="2:16">
      <c r="B94" s="31" t="s">
        <v>154</v>
      </c>
      <c r="C94" s="29">
        <v>400</v>
      </c>
      <c r="D94" s="29">
        <v>665.02</v>
      </c>
      <c r="E94" s="32">
        <v>0.39800000000000002</v>
      </c>
    </row>
    <row r="95" spans="2:16">
      <c r="B95" s="31" t="s">
        <v>157</v>
      </c>
      <c r="C95" s="29" t="s">
        <v>196</v>
      </c>
      <c r="D95" s="29" t="s">
        <v>197</v>
      </c>
      <c r="E95" s="32">
        <v>0.23200000000000001</v>
      </c>
    </row>
    <row r="96" spans="2:16">
      <c r="B96" s="31" t="s">
        <v>160</v>
      </c>
      <c r="C96" s="29" t="s">
        <v>198</v>
      </c>
      <c r="D96" s="29" t="s">
        <v>199</v>
      </c>
      <c r="E96" s="32">
        <v>0.39800000000000002</v>
      </c>
    </row>
    <row r="97" spans="2:7">
      <c r="B97" s="31" t="s">
        <v>162</v>
      </c>
      <c r="C97" s="29" t="s">
        <v>163</v>
      </c>
      <c r="D97" s="29" t="s">
        <v>200</v>
      </c>
      <c r="E97" s="32">
        <v>0.23069999999999999</v>
      </c>
    </row>
    <row r="98" spans="2:7">
      <c r="B98" s="31" t="s">
        <v>165</v>
      </c>
      <c r="C98" s="29" t="s">
        <v>166</v>
      </c>
      <c r="D98" s="29" t="s">
        <v>167</v>
      </c>
      <c r="E98" s="32">
        <v>1.1849999999999999E-2</v>
      </c>
    </row>
    <row r="102" spans="2:7">
      <c r="B102" s="2" t="s">
        <v>224</v>
      </c>
    </row>
    <row r="103" spans="2:7" ht="31.2">
      <c r="B103" s="28" t="s">
        <v>209</v>
      </c>
      <c r="C103" s="28" t="s">
        <v>210</v>
      </c>
      <c r="D103" s="28" t="s">
        <v>211</v>
      </c>
      <c r="E103" s="28" t="s">
        <v>212</v>
      </c>
      <c r="F103" s="28" t="s">
        <v>213</v>
      </c>
      <c r="G103" s="28" t="s">
        <v>214</v>
      </c>
    </row>
    <row r="104" spans="2:7">
      <c r="B104" s="31" t="s">
        <v>215</v>
      </c>
      <c r="C104" s="29">
        <v>0.47</v>
      </c>
      <c r="D104" s="29">
        <v>0.59</v>
      </c>
      <c r="E104" s="29">
        <v>0.46</v>
      </c>
      <c r="F104" s="29">
        <v>0.13</v>
      </c>
      <c r="G104" s="29" t="s">
        <v>217</v>
      </c>
    </row>
    <row r="105" spans="2:7">
      <c r="B105" s="31" t="s">
        <v>216</v>
      </c>
      <c r="C105" s="29">
        <v>0.36</v>
      </c>
      <c r="D105" s="29">
        <v>0.64</v>
      </c>
      <c r="E105" s="29">
        <v>0.46</v>
      </c>
      <c r="F105" s="29">
        <v>0.18</v>
      </c>
      <c r="G105" s="29" t="s">
        <v>217</v>
      </c>
    </row>
    <row r="106" spans="2:7">
      <c r="B106" s="31" t="s">
        <v>218</v>
      </c>
      <c r="C106" s="29">
        <v>0.4</v>
      </c>
      <c r="D106" s="29">
        <v>0.64</v>
      </c>
      <c r="E106" s="29">
        <v>0.46</v>
      </c>
      <c r="F106" s="29">
        <v>0.18</v>
      </c>
      <c r="G106" s="29" t="s">
        <v>217</v>
      </c>
    </row>
    <row r="107" spans="2:7">
      <c r="B107" s="31" t="s">
        <v>219</v>
      </c>
      <c r="C107" s="29">
        <v>0.63</v>
      </c>
      <c r="D107" s="29">
        <v>0.63</v>
      </c>
      <c r="E107" s="29">
        <v>0.48</v>
      </c>
      <c r="F107" s="29">
        <v>0.15</v>
      </c>
      <c r="G107" s="29" t="s">
        <v>217</v>
      </c>
    </row>
    <row r="108" spans="2:7">
      <c r="B108" s="31" t="s">
        <v>220</v>
      </c>
      <c r="C108" s="29">
        <v>0.52</v>
      </c>
      <c r="D108" s="29">
        <v>0.63</v>
      </c>
      <c r="E108" s="29">
        <v>0.48</v>
      </c>
      <c r="F108" s="29">
        <v>0.15</v>
      </c>
      <c r="G108" s="29" t="s">
        <v>217</v>
      </c>
    </row>
    <row r="109" spans="2:7">
      <c r="B109" s="31" t="s">
        <v>221</v>
      </c>
      <c r="C109" s="29">
        <v>0.38</v>
      </c>
      <c r="D109" s="29">
        <v>0.52</v>
      </c>
      <c r="E109" s="29">
        <v>0.48</v>
      </c>
      <c r="F109" s="29">
        <v>0.41</v>
      </c>
      <c r="G109" s="29" t="s">
        <v>217</v>
      </c>
    </row>
    <row r="110" spans="2:7">
      <c r="B110" s="31" t="s">
        <v>222</v>
      </c>
      <c r="C110" s="29">
        <v>1.02</v>
      </c>
      <c r="D110" s="29">
        <v>0.64</v>
      </c>
      <c r="E110" s="29">
        <v>0.46800000000000003</v>
      </c>
      <c r="F110" s="29">
        <v>0.15</v>
      </c>
      <c r="G110" s="29" t="s">
        <v>217</v>
      </c>
    </row>
    <row r="111" spans="2:7">
      <c r="B111" s="31" t="s">
        <v>223</v>
      </c>
      <c r="C111" s="29">
        <v>0.64</v>
      </c>
      <c r="D111" s="29">
        <v>0.64</v>
      </c>
      <c r="E111" s="29">
        <v>0.46</v>
      </c>
      <c r="F111" s="29">
        <v>0.18</v>
      </c>
      <c r="G111" s="29" t="s">
        <v>217</v>
      </c>
    </row>
  </sheetData>
  <pageMargins left="0.75" right="0.75" top="1" bottom="1" header="0.5" footer="0.5"/>
  <pageSetup orientation="portrait"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M140"/>
  <sheetViews>
    <sheetView topLeftCell="A44" workbookViewId="0">
      <selection activeCell="A90" sqref="A90:J140"/>
    </sheetView>
  </sheetViews>
  <sheetFormatPr defaultColWidth="11.19921875" defaultRowHeight="15.6"/>
  <cols>
    <col min="1" max="1" width="16.3984375" customWidth="1"/>
    <col min="2" max="2" width="18.796875" customWidth="1"/>
    <col min="3" max="3" width="17" customWidth="1"/>
    <col min="4" max="4" width="17.796875" customWidth="1"/>
    <col min="5" max="5" width="16.5" customWidth="1"/>
    <col min="6" max="6" width="15.8984375" customWidth="1"/>
    <col min="7" max="7" width="17.19921875" customWidth="1"/>
    <col min="9" max="9" width="15.69921875" customWidth="1"/>
    <col min="12" max="12" width="12.19921875" bestFit="1" customWidth="1"/>
    <col min="15" max="15" width="11.19921875" bestFit="1" customWidth="1"/>
    <col min="16" max="16" width="12.19921875" bestFit="1" customWidth="1"/>
  </cols>
  <sheetData>
    <row r="2" spans="1:5" ht="43.2" customHeight="1">
      <c r="A2" s="27" t="s">
        <v>124</v>
      </c>
    </row>
    <row r="3" spans="1:5" s="15" customFormat="1" ht="25.8">
      <c r="B3" s="14" t="s">
        <v>39</v>
      </c>
    </row>
    <row r="5" spans="1:5">
      <c r="C5" s="2" t="s">
        <v>22</v>
      </c>
      <c r="D5" s="2" t="s">
        <v>15</v>
      </c>
      <c r="E5" s="2" t="s">
        <v>29</v>
      </c>
    </row>
    <row r="7" spans="1:5">
      <c r="B7" t="s">
        <v>8</v>
      </c>
      <c r="C7">
        <v>1.4</v>
      </c>
      <c r="D7" t="s">
        <v>16</v>
      </c>
    </row>
    <row r="8" spans="1:5">
      <c r="B8" t="s">
        <v>9</v>
      </c>
      <c r="C8">
        <v>1</v>
      </c>
      <c r="D8" t="s">
        <v>16</v>
      </c>
      <c r="E8" t="s">
        <v>40</v>
      </c>
    </row>
    <row r="9" spans="1:5">
      <c r="B9" t="s">
        <v>10</v>
      </c>
      <c r="C9">
        <v>50</v>
      </c>
      <c r="D9" t="s">
        <v>17</v>
      </c>
      <c r="E9" t="s">
        <v>41</v>
      </c>
    </row>
    <row r="10" spans="1:5">
      <c r="B10" t="s">
        <v>11</v>
      </c>
      <c r="C10">
        <v>2</v>
      </c>
      <c r="D10" t="s">
        <v>18</v>
      </c>
    </row>
    <row r="11" spans="1:5">
      <c r="B11" t="s">
        <v>12</v>
      </c>
      <c r="C11">
        <v>10</v>
      </c>
      <c r="D11" t="s">
        <v>18</v>
      </c>
      <c r="E11" t="s">
        <v>42</v>
      </c>
    </row>
    <row r="12" spans="1:5">
      <c r="B12" t="s">
        <v>13</v>
      </c>
      <c r="C12">
        <v>2</v>
      </c>
      <c r="D12" t="s">
        <v>19</v>
      </c>
      <c r="E12" t="s">
        <v>41</v>
      </c>
    </row>
    <row r="13" spans="1:5">
      <c r="B13" t="s">
        <v>14</v>
      </c>
      <c r="C13">
        <v>50</v>
      </c>
      <c r="D13" t="s">
        <v>20</v>
      </c>
      <c r="E13" t="s">
        <v>41</v>
      </c>
    </row>
    <row r="14" spans="1:5">
      <c r="B14" t="s">
        <v>24</v>
      </c>
      <c r="C14">
        <v>15</v>
      </c>
      <c r="D14" t="s">
        <v>25</v>
      </c>
      <c r="E14" t="s">
        <v>40</v>
      </c>
    </row>
    <row r="15" spans="1:5">
      <c r="B15" t="s">
        <v>43</v>
      </c>
      <c r="C15">
        <v>50</v>
      </c>
      <c r="D15" t="s">
        <v>44</v>
      </c>
      <c r="E15" t="s">
        <v>42</v>
      </c>
    </row>
    <row r="16" spans="1:5">
      <c r="B16" t="s">
        <v>45</v>
      </c>
      <c r="C16">
        <v>1</v>
      </c>
      <c r="D16" t="s">
        <v>46</v>
      </c>
      <c r="E16" t="s">
        <v>42</v>
      </c>
    </row>
    <row r="18" spans="2:9" s="15" customFormat="1" ht="25.8">
      <c r="B18" s="14" t="s">
        <v>47</v>
      </c>
    </row>
    <row r="20" spans="2:9">
      <c r="B20" t="s">
        <v>21</v>
      </c>
      <c r="C20">
        <f>10^((C9+10)/20)</f>
        <v>1000</v>
      </c>
      <c r="D20" t="s">
        <v>31</v>
      </c>
      <c r="I20" t="s">
        <v>91</v>
      </c>
    </row>
    <row r="21" spans="2:9">
      <c r="B21" t="s">
        <v>23</v>
      </c>
      <c r="C21">
        <v>0.4</v>
      </c>
      <c r="D21" t="s">
        <v>16</v>
      </c>
    </row>
    <row r="22" spans="2:9">
      <c r="B22" t="s">
        <v>26</v>
      </c>
      <c r="C22">
        <f>(C11-C10)/1000</f>
        <v>8.0000000000000002E-3</v>
      </c>
      <c r="D22" t="s">
        <v>32</v>
      </c>
    </row>
    <row r="23" spans="2:9">
      <c r="B23" t="s">
        <v>27</v>
      </c>
      <c r="C23">
        <f>C14*C8/100/2</f>
        <v>7.4999999999999997E-2</v>
      </c>
      <c r="D23" t="s">
        <v>16</v>
      </c>
      <c r="I23" t="s">
        <v>28</v>
      </c>
    </row>
    <row r="24" spans="2:9">
      <c r="B24" t="s">
        <v>48</v>
      </c>
      <c r="C24">
        <f>0.000000001*C12*C23/C22</f>
        <v>1.8749999999999999E-8</v>
      </c>
      <c r="D24" t="s">
        <v>30</v>
      </c>
      <c r="E24">
        <v>18</v>
      </c>
      <c r="F24" t="s">
        <v>88</v>
      </c>
      <c r="I24" t="s">
        <v>92</v>
      </c>
    </row>
    <row r="25" spans="2:9">
      <c r="I25" t="s">
        <v>49</v>
      </c>
    </row>
    <row r="27" spans="2:9">
      <c r="B27" t="s">
        <v>50</v>
      </c>
      <c r="C27">
        <f>1/(C16*0.000001)</f>
        <v>1000000</v>
      </c>
      <c r="E27">
        <f>C27/2/3.142/1000</f>
        <v>159.13430935709741</v>
      </c>
      <c r="F27" t="s">
        <v>87</v>
      </c>
      <c r="I27" t="s">
        <v>52</v>
      </c>
    </row>
    <row r="29" spans="2:9" s="15" customFormat="1" ht="25.8">
      <c r="B29" s="14" t="s">
        <v>53</v>
      </c>
    </row>
    <row r="31" spans="2:9" ht="18">
      <c r="B31" s="4" t="s">
        <v>33</v>
      </c>
    </row>
    <row r="32" spans="2:9">
      <c r="C32" s="2" t="s">
        <v>54</v>
      </c>
      <c r="E32" s="2" t="s">
        <v>34</v>
      </c>
      <c r="G32" s="2" t="s">
        <v>55</v>
      </c>
      <c r="I32" t="s">
        <v>29</v>
      </c>
    </row>
    <row r="33" spans="2:10">
      <c r="B33" t="s">
        <v>0</v>
      </c>
      <c r="C33">
        <v>10</v>
      </c>
      <c r="D33" t="s">
        <v>56</v>
      </c>
      <c r="E33" s="1">
        <f>E40/E35</f>
        <v>10.199999999999999</v>
      </c>
      <c r="G33" s="6">
        <f>100%*(E33-C33)/E33</f>
        <v>1.9607843137254832E-2</v>
      </c>
      <c r="I33" t="s">
        <v>57</v>
      </c>
    </row>
    <row r="34" spans="2:10">
      <c r="B34" t="s">
        <v>1</v>
      </c>
      <c r="C34">
        <v>35</v>
      </c>
      <c r="D34" t="s">
        <v>58</v>
      </c>
      <c r="E34" s="1">
        <f>E35/E36</f>
        <v>35.000035000034998</v>
      </c>
      <c r="G34" s="6">
        <f t="shared" ref="G34:G42" si="0">100%*(E34-C34)/E34</f>
        <v>9.9999999994853677E-7</v>
      </c>
      <c r="I34" t="s">
        <v>59</v>
      </c>
    </row>
    <row r="35" spans="2:10">
      <c r="B35" t="s">
        <v>3</v>
      </c>
      <c r="C35">
        <f>C11*0.001</f>
        <v>0.01</v>
      </c>
      <c r="D35" t="s">
        <v>32</v>
      </c>
      <c r="E35">
        <v>0.01</v>
      </c>
      <c r="G35" s="6">
        <f t="shared" si="0"/>
        <v>0</v>
      </c>
    </row>
    <row r="36" spans="2:10">
      <c r="B36" s="13" t="s">
        <v>4</v>
      </c>
      <c r="C36" s="13">
        <f>C35/C34</f>
        <v>2.8571428571428574E-4</v>
      </c>
      <c r="D36" t="s">
        <v>60</v>
      </c>
      <c r="E36" s="1">
        <v>2.8571400000000001E-4</v>
      </c>
      <c r="G36" s="6">
        <f t="shared" si="0"/>
        <v>-1.0000010000438502E-6</v>
      </c>
    </row>
    <row r="37" spans="2:10">
      <c r="B37" t="s">
        <v>2</v>
      </c>
      <c r="C37">
        <v>50</v>
      </c>
      <c r="D37" t="s">
        <v>31</v>
      </c>
      <c r="E37" s="1">
        <f>E40*E41</f>
        <v>40.085999999999999</v>
      </c>
      <c r="G37" s="6">
        <f t="shared" si="0"/>
        <v>-0.24731826572868337</v>
      </c>
    </row>
    <row r="38" spans="2:10">
      <c r="B38" t="s">
        <v>35</v>
      </c>
      <c r="C38" s="1">
        <v>28000000000</v>
      </c>
      <c r="D38" t="s">
        <v>51</v>
      </c>
      <c r="E38" s="1">
        <f>E40/E42/2/3.142</f>
        <v>28526712749.426945</v>
      </c>
      <c r="G38" s="6">
        <f t="shared" si="0"/>
        <v>1.8463843137254767E-2</v>
      </c>
    </row>
    <row r="39" spans="2:10">
      <c r="B39" s="13" t="s">
        <v>5</v>
      </c>
      <c r="C39" s="13">
        <v>0.09</v>
      </c>
      <c r="D39" t="s">
        <v>36</v>
      </c>
      <c r="E39">
        <v>0.09</v>
      </c>
      <c r="G39" s="6">
        <f t="shared" si="0"/>
        <v>0</v>
      </c>
    </row>
    <row r="40" spans="2:10">
      <c r="B40" t="s">
        <v>6</v>
      </c>
      <c r="C40" s="1">
        <f>C33*C35</f>
        <v>0.1</v>
      </c>
      <c r="D40" t="s">
        <v>61</v>
      </c>
      <c r="E40" s="1">
        <v>0.10199999999999999</v>
      </c>
      <c r="G40" s="6">
        <f t="shared" si="0"/>
        <v>1.9607843137254784E-2</v>
      </c>
    </row>
    <row r="41" spans="2:10">
      <c r="B41" t="s">
        <v>37</v>
      </c>
      <c r="C41" s="1">
        <f>C37/C40</f>
        <v>500</v>
      </c>
      <c r="D41" t="s">
        <v>62</v>
      </c>
      <c r="E41">
        <v>393</v>
      </c>
      <c r="G41" s="6">
        <f t="shared" si="0"/>
        <v>-0.27226463104325699</v>
      </c>
    </row>
    <row r="42" spans="2:10">
      <c r="B42" t="s">
        <v>38</v>
      </c>
      <c r="C42" s="1">
        <f>C40/2/3.142/C38</f>
        <v>5.6833681913249082E-13</v>
      </c>
      <c r="D42" t="s">
        <v>63</v>
      </c>
      <c r="E42" s="1">
        <v>5.69E-13</v>
      </c>
      <c r="G42" s="6">
        <f t="shared" si="0"/>
        <v>1.1655199780477654E-3</v>
      </c>
    </row>
    <row r="43" spans="2:10">
      <c r="J43" s="1"/>
    </row>
    <row r="44" spans="2:10" s="15" customFormat="1" ht="25.8">
      <c r="B44" s="14" t="s">
        <v>64</v>
      </c>
    </row>
    <row r="45" spans="2:10">
      <c r="C45" s="2" t="s">
        <v>54</v>
      </c>
      <c r="E45" s="2" t="s">
        <v>34</v>
      </c>
      <c r="G45" s="2"/>
      <c r="I45" t="s">
        <v>29</v>
      </c>
    </row>
    <row r="46" spans="2:10">
      <c r="B46" t="s">
        <v>121</v>
      </c>
      <c r="C46" s="24">
        <v>9940</v>
      </c>
      <c r="D46" t="s">
        <v>66</v>
      </c>
      <c r="E46" s="24">
        <v>10040</v>
      </c>
      <c r="G46" s="2"/>
    </row>
    <row r="47" spans="2:10">
      <c r="B47" t="s">
        <v>65</v>
      </c>
      <c r="C47" s="1">
        <f>C40/(C12+(C42/2))/0.000000001</f>
        <v>49999999.999992892</v>
      </c>
      <c r="D47" t="s">
        <v>66</v>
      </c>
      <c r="E47" s="1">
        <v>51000000</v>
      </c>
    </row>
    <row r="48" spans="2:10">
      <c r="B48" t="s">
        <v>119</v>
      </c>
      <c r="C48" s="1">
        <v>9940000</v>
      </c>
      <c r="D48" t="s">
        <v>66</v>
      </c>
      <c r="E48" s="1">
        <v>10040000</v>
      </c>
    </row>
    <row r="49" spans="2:9">
      <c r="B49" t="s">
        <v>7</v>
      </c>
      <c r="C49" s="1">
        <f>C48/2/3.142</f>
        <v>1581795.0350095481</v>
      </c>
      <c r="D49" t="s">
        <v>70</v>
      </c>
      <c r="E49" s="1">
        <v>1590000</v>
      </c>
    </row>
    <row r="50" spans="2:9">
      <c r="B50" t="s">
        <v>95</v>
      </c>
      <c r="C50">
        <f>ROUND((C20/C37),0)</f>
        <v>20</v>
      </c>
      <c r="E50" s="1">
        <v>25</v>
      </c>
      <c r="G50" t="s">
        <v>71</v>
      </c>
    </row>
    <row r="51" spans="2:9">
      <c r="B51" t="s">
        <v>96</v>
      </c>
      <c r="C51">
        <f>C50*2</f>
        <v>40</v>
      </c>
      <c r="E51" s="1">
        <v>50</v>
      </c>
      <c r="G51" t="s">
        <v>72</v>
      </c>
    </row>
    <row r="52" spans="2:9">
      <c r="C52" s="1"/>
    </row>
    <row r="54" spans="2:9" s="15" customFormat="1" ht="25.8">
      <c r="B54" s="14" t="s">
        <v>81</v>
      </c>
    </row>
    <row r="55" spans="2:9" ht="25.8">
      <c r="B55" s="3"/>
      <c r="C55" t="s">
        <v>90</v>
      </c>
    </row>
    <row r="56" spans="2:9">
      <c r="B56" t="s">
        <v>82</v>
      </c>
      <c r="C56">
        <v>10</v>
      </c>
      <c r="E56" s="1"/>
      <c r="I56" t="s">
        <v>103</v>
      </c>
    </row>
    <row r="57" spans="2:9">
      <c r="B57" t="s">
        <v>3</v>
      </c>
      <c r="C57">
        <f>C15/2/1000000</f>
        <v>2.5000000000000001E-5</v>
      </c>
      <c r="D57" t="s">
        <v>32</v>
      </c>
      <c r="I57" t="s">
        <v>83</v>
      </c>
    </row>
    <row r="58" spans="2:9">
      <c r="B58" t="s">
        <v>2</v>
      </c>
      <c r="C58">
        <v>40</v>
      </c>
      <c r="E58" s="1"/>
      <c r="I58" t="s">
        <v>85</v>
      </c>
    </row>
    <row r="59" spans="2:9">
      <c r="B59" s="13" t="s">
        <v>5</v>
      </c>
      <c r="C59" s="13">
        <v>0.09</v>
      </c>
      <c r="D59" t="s">
        <v>84</v>
      </c>
      <c r="I59" t="s">
        <v>89</v>
      </c>
    </row>
    <row r="60" spans="2:9">
      <c r="B60" t="s">
        <v>1</v>
      </c>
      <c r="C60">
        <v>90</v>
      </c>
      <c r="D60" t="s">
        <v>58</v>
      </c>
    </row>
    <row r="61" spans="2:9">
      <c r="B61" s="13" t="s">
        <v>4</v>
      </c>
      <c r="C61" s="13">
        <f>C57/C60</f>
        <v>2.7777777777777781E-7</v>
      </c>
      <c r="D61" t="s">
        <v>84</v>
      </c>
    </row>
    <row r="62" spans="2:9">
      <c r="B62" t="s">
        <v>6</v>
      </c>
      <c r="C62">
        <f>C56*C57</f>
        <v>2.5000000000000001E-4</v>
      </c>
      <c r="E62" s="1"/>
      <c r="G62" s="6"/>
    </row>
    <row r="63" spans="2:9">
      <c r="B63" t="s">
        <v>37</v>
      </c>
      <c r="C63">
        <f>C58/C62</f>
        <v>160000</v>
      </c>
    </row>
    <row r="65" spans="2:13" s="15" customFormat="1" ht="25.8">
      <c r="B65" s="14" t="s">
        <v>93</v>
      </c>
    </row>
    <row r="66" spans="2:13">
      <c r="B66" t="s">
        <v>3</v>
      </c>
      <c r="C66">
        <f>0.000025</f>
        <v>2.5000000000000001E-5</v>
      </c>
    </row>
    <row r="67" spans="2:13">
      <c r="B67" t="s">
        <v>82</v>
      </c>
      <c r="C67">
        <v>10</v>
      </c>
    </row>
    <row r="68" spans="2:13">
      <c r="B68" t="s">
        <v>2</v>
      </c>
      <c r="C68">
        <v>40</v>
      </c>
    </row>
    <row r="69" spans="2:13">
      <c r="B69" s="13" t="s">
        <v>5</v>
      </c>
      <c r="C69" s="13">
        <v>0.09</v>
      </c>
      <c r="I69" t="s">
        <v>86</v>
      </c>
    </row>
    <row r="70" spans="2:13">
      <c r="B70" t="s">
        <v>6</v>
      </c>
      <c r="C70">
        <f>C67*C66</f>
        <v>2.5000000000000001E-4</v>
      </c>
    </row>
    <row r="71" spans="2:13">
      <c r="B71" t="s">
        <v>1</v>
      </c>
      <c r="C71">
        <v>35</v>
      </c>
    </row>
    <row r="72" spans="2:13">
      <c r="B72" s="13" t="s">
        <v>4</v>
      </c>
      <c r="C72" s="13">
        <f>C66/C71</f>
        <v>7.1428571428571431E-7</v>
      </c>
    </row>
    <row r="73" spans="2:13">
      <c r="B73" t="s">
        <v>37</v>
      </c>
      <c r="C73">
        <f>C68/C70</f>
        <v>160000</v>
      </c>
    </row>
    <row r="77" spans="2:13" s="15" customFormat="1" ht="25.8">
      <c r="B77" s="16" t="s">
        <v>94</v>
      </c>
      <c r="C77" s="17"/>
      <c r="D77" s="18"/>
      <c r="E77" s="18"/>
      <c r="F77" s="18"/>
      <c r="G77" s="18"/>
      <c r="H77" s="18"/>
      <c r="I77" s="18"/>
      <c r="J77" s="18"/>
    </row>
    <row r="78" spans="2:13">
      <c r="B78" s="5" t="s">
        <v>73</v>
      </c>
      <c r="C78" s="5">
        <f>(C73*C63)/(C73+C63)</f>
        <v>80000</v>
      </c>
      <c r="D78" s="5"/>
      <c r="E78" s="5"/>
      <c r="F78" s="5"/>
      <c r="G78" s="5"/>
      <c r="H78" s="5"/>
      <c r="I78" s="5"/>
      <c r="J78" s="5"/>
    </row>
    <row r="79" spans="2:13">
      <c r="B79" s="5" t="s">
        <v>99</v>
      </c>
      <c r="C79" s="7">
        <f>C62/C48</f>
        <v>2.5150905432595573E-11</v>
      </c>
      <c r="D79" s="5" t="s">
        <v>63</v>
      </c>
      <c r="E79" s="5"/>
      <c r="F79" s="5"/>
      <c r="G79" s="5"/>
      <c r="H79" s="5"/>
      <c r="I79" s="5" t="s">
        <v>97</v>
      </c>
      <c r="J79" s="5"/>
      <c r="K79" s="5" t="s">
        <v>98</v>
      </c>
      <c r="L79" s="5"/>
      <c r="M79" s="5"/>
    </row>
    <row r="80" spans="2:13">
      <c r="B80" s="5" t="s">
        <v>75</v>
      </c>
      <c r="C80" s="7">
        <v>5.68E-13</v>
      </c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B81" s="11" t="s">
        <v>74</v>
      </c>
      <c r="C81" s="12">
        <f>C79-C80</f>
        <v>2.4582905432595573E-11</v>
      </c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B82" s="5"/>
      <c r="C82" s="7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B83" s="5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s="14" customFormat="1" ht="25.8">
      <c r="B84" s="16" t="s">
        <v>102</v>
      </c>
      <c r="C84" s="19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 s="3" customFormat="1" ht="25.8">
      <c r="B85" s="9"/>
      <c r="C85" s="10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>
      <c r="B86" s="5" t="s">
        <v>76</v>
      </c>
      <c r="C86" s="7">
        <f>C81+C80</f>
        <v>2.5150905432595573E-11</v>
      </c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B87" s="5" t="s">
        <v>77</v>
      </c>
      <c r="C87" s="7">
        <f>C86*0.05/C15/0.000001</f>
        <v>2.5150905432595576E-8</v>
      </c>
      <c r="D87" s="5"/>
      <c r="E87" s="5"/>
      <c r="F87" s="5"/>
      <c r="G87" s="5"/>
      <c r="H87" s="5" t="s">
        <v>100</v>
      </c>
      <c r="I87" s="5" t="s">
        <v>78</v>
      </c>
      <c r="J87" s="8" t="s">
        <v>79</v>
      </c>
      <c r="K87" s="8"/>
      <c r="L87" s="5"/>
      <c r="M87" s="5"/>
    </row>
    <row r="88" spans="1:13">
      <c r="B88" s="5"/>
      <c r="C88" s="7"/>
      <c r="D88" s="5"/>
      <c r="E88" s="5"/>
      <c r="F88" s="5"/>
      <c r="G88" s="5"/>
      <c r="H88" s="8"/>
      <c r="I88" s="5"/>
      <c r="J88" s="8" t="s">
        <v>80</v>
      </c>
      <c r="K88" s="8"/>
      <c r="L88" s="5"/>
      <c r="M88" s="5"/>
    </row>
    <row r="89" spans="1:13" s="15" customFormat="1" ht="25.8">
      <c r="B89" s="16"/>
      <c r="C89" s="20"/>
      <c r="D89" s="18"/>
      <c r="E89" s="18"/>
      <c r="F89" s="18"/>
      <c r="G89" s="18"/>
      <c r="H89" s="18"/>
      <c r="I89" s="18"/>
      <c r="J89" s="18"/>
      <c r="K89" s="18"/>
      <c r="L89" s="21"/>
      <c r="M89" s="21"/>
    </row>
    <row r="90" spans="1:13" ht="25.8">
      <c r="A90" s="23"/>
      <c r="B90" s="22" t="s">
        <v>111</v>
      </c>
      <c r="C90" s="23"/>
      <c r="D90" s="23"/>
      <c r="E90" s="23"/>
      <c r="F90" s="23"/>
      <c r="G90" s="23"/>
      <c r="H90" s="23"/>
      <c r="I90" s="23"/>
      <c r="J90" s="23"/>
      <c r="K90" s="8"/>
      <c r="L90" s="8"/>
      <c r="M90" s="5"/>
    </row>
    <row r="91" spans="1:13" ht="25.8">
      <c r="A91" s="23"/>
      <c r="B91" s="22"/>
      <c r="C91" s="23"/>
      <c r="D91" s="23" t="s">
        <v>114</v>
      </c>
      <c r="E91" s="23" t="s">
        <v>117</v>
      </c>
      <c r="F91" s="23"/>
      <c r="G91" s="23"/>
      <c r="H91" s="23"/>
      <c r="I91" s="23"/>
      <c r="J91" s="23"/>
      <c r="K91" s="8"/>
      <c r="L91" s="8"/>
      <c r="M91" s="5"/>
    </row>
    <row r="92" spans="1:13">
      <c r="B92" t="s">
        <v>112</v>
      </c>
      <c r="D92" t="s">
        <v>118</v>
      </c>
      <c r="E92" t="s">
        <v>172</v>
      </c>
      <c r="K92" s="5"/>
      <c r="L92" s="5"/>
      <c r="M92" s="5"/>
    </row>
    <row r="93" spans="1:13">
      <c r="B93" t="s">
        <v>106</v>
      </c>
      <c r="D93" s="1" t="s">
        <v>183</v>
      </c>
      <c r="E93" t="s">
        <v>184</v>
      </c>
      <c r="K93" s="5"/>
      <c r="L93" s="5"/>
      <c r="M93" s="5"/>
    </row>
    <row r="94" spans="1:13">
      <c r="B94" t="s">
        <v>115</v>
      </c>
      <c r="D94" s="1" t="s">
        <v>185</v>
      </c>
      <c r="E94" t="s">
        <v>186</v>
      </c>
    </row>
    <row r="95" spans="1:13">
      <c r="B95" t="s">
        <v>113</v>
      </c>
      <c r="D95" t="s">
        <v>116</v>
      </c>
      <c r="E95" t="s">
        <v>182</v>
      </c>
    </row>
    <row r="98" spans="2:10" ht="21">
      <c r="B98" s="36" t="s">
        <v>245</v>
      </c>
      <c r="H98" s="7"/>
      <c r="I98" s="5"/>
      <c r="J98" s="5"/>
    </row>
    <row r="99" spans="2:10">
      <c r="H99" s="5"/>
      <c r="I99" s="5"/>
      <c r="J99" s="5"/>
    </row>
    <row r="100" spans="2:10">
      <c r="B100" s="28" t="s">
        <v>125</v>
      </c>
      <c r="C100" s="28" t="s">
        <v>138</v>
      </c>
      <c r="D100" s="28" t="s">
        <v>140</v>
      </c>
      <c r="E100" s="28" t="s">
        <v>141</v>
      </c>
      <c r="F100" s="28" t="s">
        <v>169</v>
      </c>
      <c r="G100" s="28" t="s">
        <v>142</v>
      </c>
      <c r="H100" s="28" t="s">
        <v>144</v>
      </c>
      <c r="I100" s="28" t="s">
        <v>145</v>
      </c>
      <c r="J100" s="28" t="s">
        <v>146</v>
      </c>
    </row>
    <row r="101" spans="2:10">
      <c r="B101" s="31" t="s">
        <v>126</v>
      </c>
      <c r="C101" s="29" t="s">
        <v>139</v>
      </c>
      <c r="D101" s="29" t="s">
        <v>139</v>
      </c>
      <c r="E101" s="29" t="s">
        <v>139</v>
      </c>
      <c r="F101" s="29" t="s">
        <v>143</v>
      </c>
      <c r="G101" s="29" t="s">
        <v>143</v>
      </c>
      <c r="H101" s="29" t="s">
        <v>143</v>
      </c>
      <c r="I101" s="29" t="s">
        <v>143</v>
      </c>
      <c r="J101" s="29" t="s">
        <v>143</v>
      </c>
    </row>
    <row r="102" spans="2:10">
      <c r="B102" s="31" t="s">
        <v>3</v>
      </c>
      <c r="C102" s="30">
        <v>-1.01E-2</v>
      </c>
      <c r="D102" s="30">
        <v>-2.4600000000000002E-5</v>
      </c>
      <c r="E102" s="30">
        <v>-2.4600000000000002E-5</v>
      </c>
      <c r="F102" s="30">
        <v>4.9400000000000001E-5</v>
      </c>
      <c r="G102" s="30">
        <v>5.0800000000000002E-5</v>
      </c>
      <c r="H102" s="30">
        <v>2.4600000000000002E-5</v>
      </c>
      <c r="I102" s="30">
        <v>2.4700000000000001E-5</v>
      </c>
      <c r="J102" s="30">
        <v>5.0000000000000002E-5</v>
      </c>
    </row>
    <row r="103" spans="2:10">
      <c r="B103" s="31" t="s">
        <v>127</v>
      </c>
      <c r="C103" s="30">
        <v>-0.64300000000000002</v>
      </c>
      <c r="D103" s="30">
        <v>-0.63700000000000001</v>
      </c>
      <c r="E103" s="30">
        <v>-0.63700000000000001</v>
      </c>
      <c r="F103" s="30">
        <v>0.64400000000000002</v>
      </c>
      <c r="G103" s="30">
        <v>0.64400000000000002</v>
      </c>
      <c r="H103" s="30">
        <v>0.60199999999999998</v>
      </c>
      <c r="I103" s="30">
        <v>0.60299999999999998</v>
      </c>
      <c r="J103" s="30">
        <v>0.64400000000000002</v>
      </c>
    </row>
    <row r="104" spans="2:10">
      <c r="B104" s="31" t="s">
        <v>128</v>
      </c>
      <c r="C104" s="30">
        <v>-0.38700000000000001</v>
      </c>
      <c r="D104" s="30">
        <v>-0.64300000000000002</v>
      </c>
      <c r="E104" s="30">
        <v>-0.63700000000000001</v>
      </c>
      <c r="F104" s="30">
        <v>0.39700000000000002</v>
      </c>
      <c r="G104" s="30">
        <v>1.01</v>
      </c>
      <c r="H104" s="30">
        <v>0.36599999999999999</v>
      </c>
      <c r="I104" s="30">
        <v>0.36</v>
      </c>
      <c r="J104" s="30">
        <v>0.64400000000000002</v>
      </c>
    </row>
    <row r="105" spans="2:10">
      <c r="B105" s="31" t="s">
        <v>129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</row>
    <row r="106" spans="2:10">
      <c r="B106" s="31" t="s">
        <v>130</v>
      </c>
      <c r="C106" s="30">
        <v>-0.48699999999999999</v>
      </c>
      <c r="D106" s="30">
        <v>-0.48399999999999999</v>
      </c>
      <c r="E106" s="30">
        <v>-0.48399999999999999</v>
      </c>
      <c r="F106" s="30">
        <v>0.46899999999999997</v>
      </c>
      <c r="G106" s="30">
        <v>0.46899999999999997</v>
      </c>
      <c r="H106" s="30">
        <v>0.46600000000000003</v>
      </c>
      <c r="I106" s="30">
        <v>0.46600000000000003</v>
      </c>
      <c r="J106" s="30">
        <v>0.46899999999999997</v>
      </c>
    </row>
    <row r="107" spans="2:10">
      <c r="B107" s="31" t="s">
        <v>131</v>
      </c>
      <c r="C107" s="30">
        <v>-0.17199999999999999</v>
      </c>
      <c r="D107" s="30">
        <v>-0.17</v>
      </c>
      <c r="E107" s="30">
        <v>-0.17</v>
      </c>
      <c r="F107" s="30">
        <v>0.18099999999999999</v>
      </c>
      <c r="G107" s="30">
        <v>0.182</v>
      </c>
      <c r="H107" s="30">
        <v>0.14399999999999999</v>
      </c>
      <c r="I107" s="30">
        <v>0.14399999999999999</v>
      </c>
      <c r="J107" s="30">
        <v>0.182</v>
      </c>
    </row>
    <row r="108" spans="2:10">
      <c r="B108" s="31" t="s">
        <v>132</v>
      </c>
      <c r="C108" s="30">
        <v>0.10199999999999999</v>
      </c>
      <c r="D108" s="30">
        <v>2.5599999999999999E-4</v>
      </c>
      <c r="E108" s="30">
        <v>2.5500000000000002E-4</v>
      </c>
      <c r="F108" s="30">
        <v>4.3399999999999998E-4</v>
      </c>
      <c r="G108" s="30">
        <v>4.46E-4</v>
      </c>
      <c r="H108" s="30">
        <v>2.4000000000000001E-4</v>
      </c>
      <c r="I108" s="30">
        <v>2.41E-4</v>
      </c>
      <c r="J108" s="30">
        <v>4.4000000000000002E-4</v>
      </c>
    </row>
    <row r="109" spans="2:10">
      <c r="B109" s="31" t="s">
        <v>133</v>
      </c>
      <c r="C109" s="30">
        <v>2.5400000000000002E-3</v>
      </c>
      <c r="D109" s="30">
        <v>5.0699999999999997E-6</v>
      </c>
      <c r="E109" s="30">
        <v>5.0699999999999997E-6</v>
      </c>
      <c r="F109" s="30">
        <v>3.41E-6</v>
      </c>
      <c r="G109" s="30">
        <v>2.03E-6</v>
      </c>
      <c r="H109" s="30">
        <v>4.9400000000000001E-6</v>
      </c>
      <c r="I109" s="30">
        <v>5.0300000000000001E-6</v>
      </c>
      <c r="J109" s="30">
        <v>2.21E-6</v>
      </c>
    </row>
    <row r="110" spans="2:10">
      <c r="B110" s="31" t="s">
        <v>134</v>
      </c>
      <c r="C110" s="30">
        <v>2.1600000000000001E-2</v>
      </c>
      <c r="D110" s="30">
        <v>5.3999999999999998E-5</v>
      </c>
      <c r="E110" s="30">
        <v>5.3900000000000002E-5</v>
      </c>
      <c r="F110" s="30">
        <v>1.0399999999999999E-4</v>
      </c>
      <c r="G110" s="30">
        <v>1.07E-4</v>
      </c>
      <c r="H110" s="30">
        <v>5.5500000000000001E-5</v>
      </c>
      <c r="I110" s="30">
        <v>5.5600000000000003E-5</v>
      </c>
      <c r="J110" s="30">
        <v>1.05E-4</v>
      </c>
    </row>
    <row r="111" spans="2:10">
      <c r="B111" s="31" t="s">
        <v>135</v>
      </c>
      <c r="C111" s="30">
        <v>1.2800000000000001E-13</v>
      </c>
      <c r="D111" s="30">
        <v>3.0299999999999999E-16</v>
      </c>
      <c r="E111" s="30">
        <v>3.0299999999999999E-16</v>
      </c>
      <c r="F111" s="30">
        <v>5.6000000000000003E-16</v>
      </c>
      <c r="G111" s="30">
        <v>4.9599999999999997E-16</v>
      </c>
      <c r="H111" s="30">
        <v>1.2500000000000001E-16</v>
      </c>
      <c r="I111" s="30">
        <v>1.2500000000000001E-16</v>
      </c>
      <c r="J111" s="30">
        <v>5.3000000000000003E-16</v>
      </c>
    </row>
    <row r="112" spans="2:10">
      <c r="B112" s="31" t="s">
        <v>136</v>
      </c>
      <c r="C112" s="30">
        <v>2.2899999999999998E-13</v>
      </c>
      <c r="D112" s="30">
        <v>5.7100000000000001E-16</v>
      </c>
      <c r="E112" s="30">
        <v>5.7100000000000001E-16</v>
      </c>
      <c r="F112" s="30">
        <v>1.0000000000000001E-15</v>
      </c>
      <c r="G112" s="30">
        <v>1.0000000000000001E-15</v>
      </c>
      <c r="H112" s="30">
        <v>2.2200000000000001E-16</v>
      </c>
      <c r="I112" s="30">
        <v>2.2200000000000001E-16</v>
      </c>
      <c r="J112" s="30">
        <v>1.0000000000000001E-15</v>
      </c>
    </row>
    <row r="113" spans="1:10">
      <c r="B113" s="31" t="s">
        <v>37</v>
      </c>
      <c r="C113" s="30">
        <v>394</v>
      </c>
      <c r="D113" s="30">
        <v>197000</v>
      </c>
      <c r="E113" s="30">
        <v>197000</v>
      </c>
      <c r="F113" s="30">
        <v>293000</v>
      </c>
      <c r="G113" s="30">
        <v>493000</v>
      </c>
      <c r="H113" s="30">
        <v>202000</v>
      </c>
      <c r="I113" s="30">
        <v>199000</v>
      </c>
      <c r="J113" s="30">
        <v>452000</v>
      </c>
    </row>
    <row r="114" spans="1:10">
      <c r="B114" s="31" t="s">
        <v>137</v>
      </c>
      <c r="C114" s="30">
        <v>40.200000000000003</v>
      </c>
      <c r="D114" s="30">
        <v>50.5</v>
      </c>
      <c r="E114" s="30">
        <v>50.3</v>
      </c>
      <c r="F114" s="30">
        <v>127</v>
      </c>
      <c r="G114" s="30">
        <v>220</v>
      </c>
      <c r="H114" s="30">
        <v>48.6</v>
      </c>
      <c r="I114" s="30">
        <v>47.9</v>
      </c>
      <c r="J114" s="30">
        <v>199</v>
      </c>
    </row>
    <row r="117" spans="1:10">
      <c r="B117" t="s">
        <v>170</v>
      </c>
    </row>
    <row r="118" spans="1:10">
      <c r="B118" s="28" t="s">
        <v>148</v>
      </c>
      <c r="C118" s="28" t="s">
        <v>149</v>
      </c>
      <c r="D118" s="28" t="s">
        <v>34</v>
      </c>
      <c r="E118" s="28" t="s">
        <v>151</v>
      </c>
    </row>
    <row r="119" spans="1:10">
      <c r="B119" s="34" t="s">
        <v>152</v>
      </c>
      <c r="C119" s="34">
        <v>500</v>
      </c>
      <c r="D119" s="34">
        <v>390</v>
      </c>
      <c r="E119" s="35">
        <v>0.22</v>
      </c>
    </row>
    <row r="120" spans="1:10">
      <c r="B120" s="34" t="s">
        <v>153</v>
      </c>
      <c r="C120" s="34">
        <v>0.1</v>
      </c>
      <c r="D120" s="34">
        <v>0.10199999999999999</v>
      </c>
      <c r="E120" s="35">
        <v>1.9E-2</v>
      </c>
    </row>
    <row r="121" spans="1:10">
      <c r="B121" s="34" t="s">
        <v>226</v>
      </c>
      <c r="C121" s="34">
        <v>50</v>
      </c>
      <c r="D121" s="34">
        <v>40.15</v>
      </c>
      <c r="E121" s="35">
        <v>0.19700000000000001</v>
      </c>
    </row>
    <row r="122" spans="1:10">
      <c r="B122" s="34" t="s">
        <v>154</v>
      </c>
      <c r="C122" s="34" t="s">
        <v>227</v>
      </c>
      <c r="D122" s="34" t="s">
        <v>228</v>
      </c>
      <c r="E122" s="35">
        <v>1.01E-2</v>
      </c>
    </row>
    <row r="123" spans="1:10">
      <c r="B123" s="34" t="s">
        <v>157</v>
      </c>
      <c r="C123" s="34" t="s">
        <v>229</v>
      </c>
      <c r="D123" s="34" t="s">
        <v>230</v>
      </c>
      <c r="E123" s="35">
        <v>1.9E-2</v>
      </c>
    </row>
    <row r="124" spans="1:10">
      <c r="B124" s="34" t="s">
        <v>160</v>
      </c>
      <c r="C124" s="34" t="s">
        <v>231</v>
      </c>
      <c r="D124" s="34" t="s">
        <v>232</v>
      </c>
      <c r="E124" s="35">
        <v>1.01E-2</v>
      </c>
    </row>
    <row r="125" spans="1:10">
      <c r="B125" s="34" t="s">
        <v>162</v>
      </c>
      <c r="C125" s="34" t="s">
        <v>163</v>
      </c>
      <c r="D125" s="34" t="s">
        <v>207</v>
      </c>
      <c r="E125" s="35">
        <v>0.57799999999999996</v>
      </c>
    </row>
    <row r="126" spans="1:10">
      <c r="B126" s="34" t="s">
        <v>165</v>
      </c>
      <c r="C126" s="34" t="s">
        <v>166</v>
      </c>
      <c r="D126" s="34" t="s">
        <v>233</v>
      </c>
      <c r="E126" s="35">
        <v>2.4E-2</v>
      </c>
    </row>
    <row r="127" spans="1:10" s="23" customFormat="1">
      <c r="A127"/>
      <c r="B127"/>
      <c r="C127"/>
      <c r="D127"/>
      <c r="E127"/>
      <c r="F127"/>
      <c r="G127"/>
      <c r="H127"/>
      <c r="I127"/>
      <c r="J127"/>
    </row>
    <row r="128" spans="1:10" s="23" customFormat="1">
      <c r="A128"/>
      <c r="B128"/>
      <c r="C128"/>
      <c r="D128"/>
      <c r="E128"/>
      <c r="F128"/>
      <c r="G128"/>
      <c r="H128"/>
      <c r="I128"/>
      <c r="J128"/>
    </row>
    <row r="129" spans="2:7">
      <c r="B129" s="2" t="s">
        <v>224</v>
      </c>
    </row>
    <row r="132" spans="2:7">
      <c r="B132" s="28" t="s">
        <v>209</v>
      </c>
      <c r="C132" s="28" t="s">
        <v>212</v>
      </c>
      <c r="D132" s="28" t="s">
        <v>210</v>
      </c>
      <c r="E132" s="28" t="s">
        <v>211</v>
      </c>
      <c r="F132" s="28" t="s">
        <v>213</v>
      </c>
      <c r="G132" s="28" t="s">
        <v>214</v>
      </c>
    </row>
    <row r="133" spans="2:7">
      <c r="B133" s="31" t="s">
        <v>215</v>
      </c>
      <c r="C133" s="29">
        <v>0.46600000000000003</v>
      </c>
      <c r="D133" s="29">
        <v>0.36599999999999999</v>
      </c>
      <c r="E133" s="29">
        <v>0.60199999999999998</v>
      </c>
      <c r="F133" s="29">
        <v>0.13700000000000001</v>
      </c>
      <c r="G133" s="29" t="s">
        <v>217</v>
      </c>
    </row>
    <row r="134" spans="2:7">
      <c r="B134" t="s">
        <v>234</v>
      </c>
      <c r="C134" s="29">
        <v>0.46600000000000003</v>
      </c>
      <c r="D134" s="29">
        <v>0.36599999999999999</v>
      </c>
      <c r="E134" s="29">
        <v>0.60199999999999998</v>
      </c>
      <c r="F134" s="29">
        <v>0.13600000000000001</v>
      </c>
      <c r="G134" s="29" t="s">
        <v>217</v>
      </c>
    </row>
    <row r="135" spans="2:7">
      <c r="B135" s="31" t="s">
        <v>218</v>
      </c>
      <c r="C135" s="29">
        <v>0.39700000000000002</v>
      </c>
      <c r="D135" s="29">
        <v>0.64400000000000002</v>
      </c>
      <c r="E135" s="29">
        <v>0.46899999999999997</v>
      </c>
      <c r="F135" s="29">
        <v>0.17499999999999999</v>
      </c>
      <c r="G135" s="29" t="s">
        <v>217</v>
      </c>
    </row>
    <row r="136" spans="2:7">
      <c r="B136" s="31" t="s">
        <v>219</v>
      </c>
      <c r="C136" s="29">
        <v>0.63700000000000001</v>
      </c>
      <c r="D136" s="29">
        <v>0.63700000000000001</v>
      </c>
      <c r="E136" s="29">
        <v>0.48399999999999999</v>
      </c>
      <c r="F136" s="29">
        <v>0.153</v>
      </c>
      <c r="G136" s="29" t="s">
        <v>217</v>
      </c>
    </row>
    <row r="137" spans="2:7">
      <c r="B137" s="31" t="s">
        <v>220</v>
      </c>
      <c r="C137" s="29">
        <v>0.64300000000000002</v>
      </c>
      <c r="D137" s="29">
        <v>0.63700000000000001</v>
      </c>
      <c r="E137" s="29">
        <v>0.48399999999999999</v>
      </c>
      <c r="F137" s="29">
        <v>0.153</v>
      </c>
      <c r="G137" s="29" t="s">
        <v>217</v>
      </c>
    </row>
    <row r="138" spans="2:7">
      <c r="B138" s="31" t="s">
        <v>225</v>
      </c>
      <c r="C138" s="29">
        <v>0.38700000000000001</v>
      </c>
      <c r="D138" s="29">
        <v>0.64300000000000002</v>
      </c>
      <c r="E138" s="29">
        <v>0.48699999999999999</v>
      </c>
      <c r="F138" s="29">
        <v>0.156</v>
      </c>
      <c r="G138" s="29" t="s">
        <v>217</v>
      </c>
    </row>
    <row r="139" spans="2:7">
      <c r="B139" s="31" t="s">
        <v>222</v>
      </c>
      <c r="C139" s="29">
        <v>1.01</v>
      </c>
      <c r="D139" s="29">
        <v>0.64400000000000002</v>
      </c>
      <c r="E139" s="29">
        <v>0.46899999999999997</v>
      </c>
      <c r="F139" s="29">
        <v>0.17299999999999999</v>
      </c>
      <c r="G139" s="29" t="s">
        <v>217</v>
      </c>
    </row>
    <row r="140" spans="2:7">
      <c r="B140" s="31" t="s">
        <v>223</v>
      </c>
      <c r="C140" s="29">
        <v>0.64400000000000002</v>
      </c>
      <c r="D140" s="29">
        <v>0.64400000000000002</v>
      </c>
      <c r="E140" s="29">
        <v>0.46899999999999997</v>
      </c>
      <c r="F140" s="29">
        <v>0.17499999999999999</v>
      </c>
      <c r="G140" s="29" t="s">
        <v>217</v>
      </c>
    </row>
  </sheetData>
  <pageMargins left="0.75" right="0.75" top="1" bottom="1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2:P130"/>
  <sheetViews>
    <sheetView topLeftCell="A31" workbookViewId="0">
      <selection activeCell="G114" sqref="G114"/>
    </sheetView>
  </sheetViews>
  <sheetFormatPr defaultRowHeight="15.6"/>
  <cols>
    <col min="1" max="1" width="11" customWidth="1"/>
    <col min="2" max="2" width="13.59765625" customWidth="1"/>
    <col min="3" max="3" width="17" customWidth="1"/>
    <col min="4" max="4" width="17.296875" customWidth="1"/>
    <col min="5" max="6" width="13.19921875" customWidth="1"/>
    <col min="7" max="7" width="15.8984375" customWidth="1"/>
    <col min="8" max="8" width="17.19921875" customWidth="1"/>
    <col min="15" max="15" width="8.8984375" customWidth="1"/>
    <col min="16" max="16" width="10.09765625" customWidth="1"/>
  </cols>
  <sheetData>
    <row r="2" spans="1:5" ht="46.2" customHeight="1">
      <c r="A2" s="26" t="s">
        <v>123</v>
      </c>
    </row>
    <row r="3" spans="1:5" s="15" customFormat="1" ht="25.8">
      <c r="B3" s="14" t="s">
        <v>39</v>
      </c>
    </row>
    <row r="5" spans="1:5">
      <c r="C5" s="2" t="s">
        <v>22</v>
      </c>
      <c r="D5" s="2" t="s">
        <v>15</v>
      </c>
      <c r="E5" s="2" t="s">
        <v>29</v>
      </c>
    </row>
    <row r="7" spans="1:5">
      <c r="B7" t="s">
        <v>8</v>
      </c>
      <c r="C7">
        <v>1.4</v>
      </c>
      <c r="D7" t="s">
        <v>16</v>
      </c>
    </row>
    <row r="8" spans="1:5">
      <c r="B8" t="s">
        <v>9</v>
      </c>
      <c r="C8">
        <v>1</v>
      </c>
      <c r="D8" t="s">
        <v>16</v>
      </c>
      <c r="E8" t="s">
        <v>40</v>
      </c>
    </row>
    <row r="9" spans="1:5">
      <c r="B9" t="s">
        <v>10</v>
      </c>
      <c r="C9">
        <v>50</v>
      </c>
      <c r="D9" t="s">
        <v>17</v>
      </c>
      <c r="E9" t="s">
        <v>41</v>
      </c>
    </row>
    <row r="10" spans="1:5">
      <c r="B10" t="s">
        <v>12</v>
      </c>
      <c r="C10">
        <v>10</v>
      </c>
      <c r="D10" t="s">
        <v>18</v>
      </c>
    </row>
    <row r="11" spans="1:5">
      <c r="B11" t="s">
        <v>11</v>
      </c>
      <c r="C11">
        <v>2</v>
      </c>
      <c r="D11" t="s">
        <v>18</v>
      </c>
      <c r="E11" t="s">
        <v>42</v>
      </c>
    </row>
    <row r="12" spans="1:5">
      <c r="B12" t="s">
        <v>13</v>
      </c>
      <c r="C12">
        <v>2</v>
      </c>
      <c r="D12" t="s">
        <v>19</v>
      </c>
      <c r="E12" t="s">
        <v>41</v>
      </c>
    </row>
    <row r="13" spans="1:5">
      <c r="B13" t="s">
        <v>14</v>
      </c>
      <c r="C13">
        <v>50</v>
      </c>
      <c r="D13" t="s">
        <v>20</v>
      </c>
      <c r="E13" t="s">
        <v>41</v>
      </c>
    </row>
    <row r="14" spans="1:5">
      <c r="B14" t="s">
        <v>24</v>
      </c>
      <c r="C14">
        <v>15</v>
      </c>
      <c r="D14" t="s">
        <v>25</v>
      </c>
      <c r="E14" t="s">
        <v>40</v>
      </c>
    </row>
    <row r="15" spans="1:5">
      <c r="B15" t="s">
        <v>43</v>
      </c>
      <c r="C15">
        <v>50</v>
      </c>
      <c r="D15" t="s">
        <v>44</v>
      </c>
      <c r="E15" t="s">
        <v>42</v>
      </c>
    </row>
    <row r="16" spans="1:5">
      <c r="B16" t="s">
        <v>45</v>
      </c>
      <c r="C16">
        <v>1</v>
      </c>
      <c r="D16" t="s">
        <v>46</v>
      </c>
      <c r="E16" t="s">
        <v>42</v>
      </c>
    </row>
    <row r="18" spans="2:9" s="15" customFormat="1" ht="25.8">
      <c r="B18" s="14" t="s">
        <v>47</v>
      </c>
    </row>
    <row r="20" spans="2:9">
      <c r="B20" t="s">
        <v>21</v>
      </c>
      <c r="C20">
        <f>10^((C9+10)/20)</f>
        <v>1000</v>
      </c>
      <c r="D20" t="s">
        <v>31</v>
      </c>
      <c r="I20" t="s">
        <v>91</v>
      </c>
    </row>
    <row r="21" spans="2:9">
      <c r="B21" t="s">
        <v>23</v>
      </c>
      <c r="C21">
        <v>0.4</v>
      </c>
      <c r="D21" t="s">
        <v>16</v>
      </c>
    </row>
    <row r="22" spans="2:9">
      <c r="B22" t="s">
        <v>26</v>
      </c>
      <c r="C22">
        <f>(C11-C10)/1000</f>
        <v>-8.0000000000000002E-3</v>
      </c>
      <c r="D22" t="s">
        <v>32</v>
      </c>
    </row>
    <row r="23" spans="2:9">
      <c r="B23" t="s">
        <v>27</v>
      </c>
      <c r="C23">
        <f>C14*C8/100/2</f>
        <v>7.4999999999999997E-2</v>
      </c>
      <c r="D23" t="s">
        <v>16</v>
      </c>
      <c r="I23" t="s">
        <v>28</v>
      </c>
    </row>
    <row r="24" spans="2:9">
      <c r="B24" t="s">
        <v>48</v>
      </c>
      <c r="C24">
        <f>0.000000001*C12*C23/C22</f>
        <v>-1.8749999999999999E-8</v>
      </c>
      <c r="D24" t="s">
        <v>30</v>
      </c>
      <c r="E24">
        <v>18</v>
      </c>
      <c r="F24" t="s">
        <v>88</v>
      </c>
      <c r="I24" t="s">
        <v>92</v>
      </c>
    </row>
    <row r="25" spans="2:9">
      <c r="I25" t="s">
        <v>49</v>
      </c>
    </row>
    <row r="27" spans="2:9">
      <c r="B27" t="s">
        <v>50</v>
      </c>
      <c r="C27">
        <f>1/(C16*0.000001)</f>
        <v>1000000</v>
      </c>
      <c r="E27">
        <f>C27/2/3.142/1000</f>
        <v>159.13430935709741</v>
      </c>
      <c r="F27" t="s">
        <v>87</v>
      </c>
      <c r="I27" t="s">
        <v>52</v>
      </c>
    </row>
    <row r="29" spans="2:9" s="15" customFormat="1" ht="25.8">
      <c r="B29" s="14" t="s">
        <v>53</v>
      </c>
    </row>
    <row r="31" spans="2:9" ht="18">
      <c r="B31" s="4" t="s">
        <v>33</v>
      </c>
    </row>
    <row r="32" spans="2:9">
      <c r="C32" s="2" t="s">
        <v>54</v>
      </c>
      <c r="E32" s="2"/>
      <c r="G32" s="2"/>
      <c r="I32" t="s">
        <v>29</v>
      </c>
    </row>
    <row r="33" spans="2:10">
      <c r="B33" t="s">
        <v>0</v>
      </c>
      <c r="C33">
        <v>10</v>
      </c>
      <c r="D33" t="s">
        <v>56</v>
      </c>
      <c r="E33" s="1"/>
      <c r="G33" s="6"/>
      <c r="I33" t="s">
        <v>57</v>
      </c>
    </row>
    <row r="34" spans="2:10">
      <c r="B34" t="s">
        <v>1</v>
      </c>
      <c r="C34">
        <v>35</v>
      </c>
      <c r="D34" t="s">
        <v>58</v>
      </c>
      <c r="E34" s="1"/>
      <c r="G34" s="6"/>
      <c r="I34" t="s">
        <v>59</v>
      </c>
    </row>
    <row r="35" spans="2:10">
      <c r="B35" t="s">
        <v>3</v>
      </c>
      <c r="C35">
        <f>C11*0.001</f>
        <v>2E-3</v>
      </c>
      <c r="D35" t="s">
        <v>32</v>
      </c>
      <c r="G35" s="6"/>
    </row>
    <row r="36" spans="2:10">
      <c r="B36" s="13" t="s">
        <v>4</v>
      </c>
      <c r="C36" s="25">
        <v>2.8600000000000001E-4</v>
      </c>
      <c r="D36" t="s">
        <v>60</v>
      </c>
      <c r="E36" s="1"/>
      <c r="G36" s="6"/>
    </row>
    <row r="37" spans="2:10">
      <c r="B37" t="s">
        <v>2</v>
      </c>
      <c r="C37">
        <v>50</v>
      </c>
      <c r="D37" t="s">
        <v>31</v>
      </c>
      <c r="E37" s="1"/>
      <c r="G37" s="6"/>
    </row>
    <row r="38" spans="2:10">
      <c r="B38" t="s">
        <v>35</v>
      </c>
      <c r="C38" s="1">
        <v>28000000000</v>
      </c>
      <c r="D38" t="s">
        <v>51</v>
      </c>
      <c r="E38" s="1"/>
      <c r="G38" s="6"/>
    </row>
    <row r="39" spans="2:10">
      <c r="B39" s="13" t="s">
        <v>5</v>
      </c>
      <c r="C39" s="13">
        <v>0.09</v>
      </c>
      <c r="D39" t="s">
        <v>36</v>
      </c>
      <c r="G39" s="6"/>
    </row>
    <row r="40" spans="2:10">
      <c r="B40" t="s">
        <v>6</v>
      </c>
      <c r="C40" s="1">
        <f>C33*C35</f>
        <v>0.02</v>
      </c>
      <c r="D40" t="s">
        <v>61</v>
      </c>
      <c r="E40" s="1"/>
      <c r="G40" s="6"/>
    </row>
    <row r="41" spans="2:10">
      <c r="B41" t="s">
        <v>37</v>
      </c>
      <c r="C41" s="1">
        <f>C37/C40</f>
        <v>2500</v>
      </c>
      <c r="D41" t="s">
        <v>62</v>
      </c>
      <c r="G41" s="6"/>
    </row>
    <row r="42" spans="2:10">
      <c r="B42" t="s">
        <v>38</v>
      </c>
      <c r="C42" s="1">
        <f>C40/2/3.142/C38</f>
        <v>1.1366736382649814E-13</v>
      </c>
      <c r="D42" t="s">
        <v>63</v>
      </c>
      <c r="E42" s="1"/>
      <c r="G42" s="6"/>
    </row>
    <row r="43" spans="2:10">
      <c r="J43" s="1"/>
    </row>
    <row r="44" spans="2:10" s="15" customFormat="1" ht="25.8">
      <c r="B44" s="14" t="s">
        <v>64</v>
      </c>
    </row>
    <row r="45" spans="2:10">
      <c r="C45" s="2" t="s">
        <v>54</v>
      </c>
      <c r="E45" s="2" t="s">
        <v>34</v>
      </c>
      <c r="G45" s="2"/>
      <c r="I45" t="s">
        <v>29</v>
      </c>
    </row>
    <row r="46" spans="2:10">
      <c r="B46" t="s">
        <v>122</v>
      </c>
      <c r="C46" s="24">
        <v>10000</v>
      </c>
      <c r="D46" t="s">
        <v>66</v>
      </c>
      <c r="E46" s="24">
        <v>7700</v>
      </c>
      <c r="G46" s="2"/>
    </row>
    <row r="47" spans="2:10">
      <c r="B47" t="s">
        <v>68</v>
      </c>
      <c r="C47" s="1">
        <v>10000000</v>
      </c>
      <c r="D47" t="s">
        <v>66</v>
      </c>
      <c r="E47" s="1">
        <v>18200000</v>
      </c>
      <c r="I47" t="s">
        <v>101</v>
      </c>
    </row>
    <row r="48" spans="2:10">
      <c r="B48" t="s">
        <v>120</v>
      </c>
      <c r="C48" s="1">
        <v>10000000</v>
      </c>
      <c r="D48" t="s">
        <v>66</v>
      </c>
      <c r="E48" s="1">
        <v>7700000</v>
      </c>
    </row>
    <row r="49" spans="2:9">
      <c r="B49" t="s">
        <v>69</v>
      </c>
      <c r="C49" s="1">
        <f>C47/2/3.142</f>
        <v>1591343.093570974</v>
      </c>
      <c r="D49" t="s">
        <v>70</v>
      </c>
      <c r="E49" s="1">
        <v>2890000</v>
      </c>
    </row>
    <row r="50" spans="2:9">
      <c r="B50" t="s">
        <v>7</v>
      </c>
      <c r="C50" s="1">
        <v>1590000</v>
      </c>
      <c r="D50" t="s">
        <v>70</v>
      </c>
      <c r="E50" s="1">
        <v>1220000</v>
      </c>
    </row>
    <row r="51" spans="2:9">
      <c r="B51" t="s">
        <v>95</v>
      </c>
      <c r="C51">
        <f>ROUND((C20/C37),0)</f>
        <v>20</v>
      </c>
      <c r="E51" s="1">
        <v>25</v>
      </c>
      <c r="G51" t="s">
        <v>71</v>
      </c>
    </row>
    <row r="52" spans="2:9">
      <c r="B52" t="s">
        <v>96</v>
      </c>
      <c r="C52">
        <f>C51*2</f>
        <v>40</v>
      </c>
      <c r="E52" s="1">
        <v>50</v>
      </c>
      <c r="G52" t="s">
        <v>72</v>
      </c>
    </row>
    <row r="53" spans="2:9">
      <c r="C53" s="1"/>
    </row>
    <row r="55" spans="2:9" s="15" customFormat="1" ht="25.8">
      <c r="B55" s="14" t="s">
        <v>81</v>
      </c>
    </row>
    <row r="56" spans="2:9" ht="25.8">
      <c r="B56" s="3"/>
      <c r="C56" t="s">
        <v>90</v>
      </c>
    </row>
    <row r="57" spans="2:9">
      <c r="B57" t="s">
        <v>82</v>
      </c>
      <c r="C57">
        <v>10</v>
      </c>
      <c r="E57" s="1"/>
      <c r="I57" t="s">
        <v>103</v>
      </c>
    </row>
    <row r="58" spans="2:9">
      <c r="B58" t="s">
        <v>3</v>
      </c>
      <c r="C58">
        <f>C15/2/1000000</f>
        <v>2.5000000000000001E-5</v>
      </c>
      <c r="D58" t="s">
        <v>32</v>
      </c>
      <c r="I58" t="s">
        <v>83</v>
      </c>
    </row>
    <row r="59" spans="2:9">
      <c r="B59" t="s">
        <v>2</v>
      </c>
      <c r="C59">
        <v>40</v>
      </c>
      <c r="E59" s="1"/>
      <c r="I59" t="s">
        <v>85</v>
      </c>
    </row>
    <row r="60" spans="2:9">
      <c r="B60" s="13" t="s">
        <v>5</v>
      </c>
      <c r="C60" s="13">
        <v>0.09</v>
      </c>
      <c r="D60" t="s">
        <v>84</v>
      </c>
      <c r="I60" t="s">
        <v>89</v>
      </c>
    </row>
    <row r="61" spans="2:9">
      <c r="B61" t="s">
        <v>1</v>
      </c>
      <c r="C61">
        <v>90</v>
      </c>
      <c r="D61" t="s">
        <v>58</v>
      </c>
    </row>
    <row r="62" spans="2:9">
      <c r="B62" s="13" t="s">
        <v>4</v>
      </c>
      <c r="C62" s="13">
        <f>C58/C61</f>
        <v>2.7777777777777781E-7</v>
      </c>
      <c r="D62" t="s">
        <v>84</v>
      </c>
    </row>
    <row r="63" spans="2:9">
      <c r="B63" t="s">
        <v>6</v>
      </c>
      <c r="C63">
        <f>C57*C58</f>
        <v>2.5000000000000001E-4</v>
      </c>
      <c r="E63" s="1"/>
      <c r="G63" s="6"/>
    </row>
    <row r="64" spans="2:9">
      <c r="B64" t="s">
        <v>37</v>
      </c>
      <c r="C64">
        <f>C59/C63</f>
        <v>160000</v>
      </c>
    </row>
    <row r="66" spans="2:13" s="15" customFormat="1" ht="25.8">
      <c r="B66" s="14" t="s">
        <v>93</v>
      </c>
    </row>
    <row r="67" spans="2:13">
      <c r="B67" t="s">
        <v>3</v>
      </c>
      <c r="C67">
        <f>0.000025</f>
        <v>2.5000000000000001E-5</v>
      </c>
    </row>
    <row r="68" spans="2:13">
      <c r="B68" t="s">
        <v>82</v>
      </c>
      <c r="C68">
        <v>10</v>
      </c>
    </row>
    <row r="69" spans="2:13">
      <c r="B69" t="s">
        <v>2</v>
      </c>
      <c r="C69">
        <v>40</v>
      </c>
    </row>
    <row r="70" spans="2:13">
      <c r="B70" s="13" t="s">
        <v>5</v>
      </c>
      <c r="C70" s="13">
        <v>0.09</v>
      </c>
      <c r="I70" t="s">
        <v>86</v>
      </c>
    </row>
    <row r="71" spans="2:13">
      <c r="B71" t="s">
        <v>6</v>
      </c>
      <c r="C71">
        <f>C68*C67</f>
        <v>2.5000000000000001E-4</v>
      </c>
    </row>
    <row r="72" spans="2:13">
      <c r="B72" t="s">
        <v>1</v>
      </c>
      <c r="C72">
        <v>35</v>
      </c>
    </row>
    <row r="73" spans="2:13">
      <c r="B73" s="13" t="s">
        <v>4</v>
      </c>
      <c r="C73" s="13">
        <f>C67/C72</f>
        <v>7.1428571428571431E-7</v>
      </c>
    </row>
    <row r="74" spans="2:13">
      <c r="B74" t="s">
        <v>37</v>
      </c>
      <c r="C74">
        <f>C69/C71</f>
        <v>160000</v>
      </c>
    </row>
    <row r="78" spans="2:13" s="15" customFormat="1" ht="25.8">
      <c r="B78" s="16" t="s">
        <v>94</v>
      </c>
      <c r="C78" s="17"/>
      <c r="D78" s="18"/>
      <c r="E78" s="18"/>
      <c r="F78" s="18"/>
      <c r="G78" s="18"/>
      <c r="H78" s="18"/>
      <c r="I78" s="18"/>
      <c r="J78" s="18"/>
    </row>
    <row r="79" spans="2:13">
      <c r="B79" s="5" t="s">
        <v>73</v>
      </c>
      <c r="C79" s="5">
        <f>(C74*C64)/(C74+C64)</f>
        <v>80000</v>
      </c>
      <c r="D79" s="5"/>
      <c r="E79" s="5"/>
      <c r="F79" s="5"/>
      <c r="G79" s="5"/>
      <c r="H79" s="5"/>
      <c r="I79" s="5"/>
      <c r="J79" s="5"/>
    </row>
    <row r="80" spans="2:13">
      <c r="B80" s="5" t="s">
        <v>99</v>
      </c>
      <c r="C80" s="7">
        <v>2.4989999999999999E-11</v>
      </c>
      <c r="D80" s="5" t="s">
        <v>63</v>
      </c>
      <c r="E80" s="5"/>
      <c r="F80" s="5"/>
      <c r="G80" s="5"/>
      <c r="H80" s="5"/>
      <c r="I80" s="5" t="s">
        <v>97</v>
      </c>
      <c r="J80" s="5"/>
      <c r="K80" s="5" t="s">
        <v>98</v>
      </c>
      <c r="L80" s="5"/>
      <c r="M80" s="5"/>
    </row>
    <row r="81" spans="2:13">
      <c r="B81" s="5" t="s">
        <v>75</v>
      </c>
      <c r="C81" s="7">
        <v>1.136E-13</v>
      </c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2:13">
      <c r="B82" s="11" t="s">
        <v>74</v>
      </c>
      <c r="C82" s="12">
        <f>C80-C81</f>
        <v>2.4876399999999998E-11</v>
      </c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2:13">
      <c r="B83" s="5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2:13">
      <c r="B84" s="5"/>
      <c r="C84" s="7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2:13" s="14" customFormat="1" ht="25.8">
      <c r="B85" s="16" t="s">
        <v>102</v>
      </c>
      <c r="C85" s="19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2:13" s="3" customFormat="1" ht="25.8">
      <c r="B86" s="9"/>
      <c r="C86" s="10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2:13">
      <c r="B87" s="5" t="s">
        <v>76</v>
      </c>
      <c r="C87" s="7">
        <f>C82+C81</f>
        <v>2.4989999999999999E-11</v>
      </c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2:13">
      <c r="B88" s="5" t="s">
        <v>77</v>
      </c>
      <c r="C88" s="7">
        <f>C87*0.05/C15/0.000001</f>
        <v>2.4990000000000004E-8</v>
      </c>
      <c r="D88" s="5"/>
      <c r="E88" s="5"/>
      <c r="F88" s="5"/>
      <c r="G88" s="5"/>
      <c r="H88" s="5" t="s">
        <v>100</v>
      </c>
      <c r="I88" s="5" t="s">
        <v>78</v>
      </c>
      <c r="J88" s="8" t="s">
        <v>79</v>
      </c>
      <c r="K88" s="8"/>
      <c r="L88" s="5"/>
      <c r="M88" s="5"/>
    </row>
    <row r="89" spans="2:13">
      <c r="B89" s="5"/>
      <c r="C89" s="7"/>
      <c r="D89" s="5"/>
      <c r="E89" s="5"/>
      <c r="F89" s="5"/>
      <c r="G89" s="5"/>
      <c r="H89" s="8"/>
      <c r="I89" s="5"/>
      <c r="J89" s="8" t="s">
        <v>80</v>
      </c>
      <c r="K89" s="8"/>
      <c r="L89" s="5"/>
      <c r="M89" s="5"/>
    </row>
    <row r="90" spans="2:13" s="23" customFormat="1" ht="25.8">
      <c r="B90" s="22" t="s">
        <v>111</v>
      </c>
    </row>
    <row r="91" spans="2:13" s="23" customFormat="1" ht="25.8">
      <c r="B91" s="22"/>
      <c r="D91" s="23" t="s">
        <v>114</v>
      </c>
      <c r="E91" s="23" t="s">
        <v>117</v>
      </c>
    </row>
    <row r="92" spans="2:13">
      <c r="B92" t="s">
        <v>112</v>
      </c>
      <c r="D92" t="s">
        <v>118</v>
      </c>
      <c r="E92" t="s">
        <v>178</v>
      </c>
    </row>
    <row r="93" spans="2:13">
      <c r="B93" t="s">
        <v>106</v>
      </c>
      <c r="D93" s="1" t="s">
        <v>179</v>
      </c>
      <c r="E93" t="s">
        <v>180</v>
      </c>
    </row>
    <row r="94" spans="2:13">
      <c r="B94" t="s">
        <v>115</v>
      </c>
      <c r="D94" s="1" t="s">
        <v>188</v>
      </c>
      <c r="E94" t="s">
        <v>187</v>
      </c>
    </row>
    <row r="95" spans="2:13">
      <c r="B95" t="s">
        <v>113</v>
      </c>
      <c r="D95" t="s">
        <v>116</v>
      </c>
      <c r="E95" t="s">
        <v>181</v>
      </c>
    </row>
    <row r="97" spans="1:16" ht="21">
      <c r="A97" s="36" t="s">
        <v>245</v>
      </c>
    </row>
    <row r="98" spans="1:16">
      <c r="A98" s="28" t="s">
        <v>125</v>
      </c>
      <c r="B98" s="28" t="s">
        <v>126</v>
      </c>
      <c r="C98" s="28" t="s">
        <v>3</v>
      </c>
      <c r="D98" s="28" t="s">
        <v>127</v>
      </c>
      <c r="E98" s="28" t="s">
        <v>128</v>
      </c>
      <c r="F98" s="28" t="s">
        <v>129</v>
      </c>
      <c r="G98" s="28" t="s">
        <v>130</v>
      </c>
      <c r="H98" s="28" t="s">
        <v>131</v>
      </c>
      <c r="I98" s="28" t="s">
        <v>132</v>
      </c>
      <c r="J98" s="28" t="s">
        <v>133</v>
      </c>
      <c r="K98" s="28" t="s">
        <v>134</v>
      </c>
      <c r="L98" s="28" t="s">
        <v>135</v>
      </c>
      <c r="M98" s="28" t="s">
        <v>136</v>
      </c>
      <c r="N98" s="28" t="s">
        <v>37</v>
      </c>
      <c r="O98" s="28" t="s">
        <v>137</v>
      </c>
      <c r="P98" t="s">
        <v>147</v>
      </c>
    </row>
    <row r="99" spans="1:16">
      <c r="A99" s="29" t="s">
        <v>138</v>
      </c>
      <c r="B99" s="29" t="s">
        <v>139</v>
      </c>
      <c r="C99" s="30">
        <v>-2.0500000000000002E-3</v>
      </c>
      <c r="D99" s="30">
        <v>-0.52800000000000002</v>
      </c>
      <c r="E99" s="30">
        <v>-0.38200000000000001</v>
      </c>
      <c r="F99" s="30">
        <v>0</v>
      </c>
      <c r="G99" s="30">
        <v>-0.48699999999999999</v>
      </c>
      <c r="H99" s="30">
        <v>-9.2799999999999994E-2</v>
      </c>
      <c r="I99" s="30">
        <v>3.6400000000000002E-2</v>
      </c>
      <c r="J99" s="30">
        <v>6.6500000000000001E-4</v>
      </c>
      <c r="K99" s="30">
        <v>7.4999999999999997E-3</v>
      </c>
      <c r="L99" s="30">
        <v>1.2800000000000001E-13</v>
      </c>
      <c r="M99" s="30">
        <v>2.2899999999999998E-13</v>
      </c>
      <c r="N99" s="30">
        <v>1500</v>
      </c>
      <c r="O99" s="30">
        <v>54.7</v>
      </c>
    </row>
    <row r="100" spans="1:16">
      <c r="A100" s="29" t="s">
        <v>140</v>
      </c>
      <c r="B100" s="29" t="s">
        <v>139</v>
      </c>
      <c r="C100" s="30">
        <v>-2.44E-5</v>
      </c>
      <c r="D100" s="30">
        <v>-0.63800000000000001</v>
      </c>
      <c r="E100" s="30">
        <v>-0.52800000000000002</v>
      </c>
      <c r="F100" s="30">
        <v>0</v>
      </c>
      <c r="G100" s="30">
        <v>-0.48599999999999999</v>
      </c>
      <c r="H100" s="30">
        <v>-0.17</v>
      </c>
      <c r="I100" s="30">
        <v>2.5300000000000002E-4</v>
      </c>
      <c r="J100" s="30">
        <v>5.3000000000000001E-6</v>
      </c>
      <c r="K100" s="30">
        <v>5.3399999999999997E-5</v>
      </c>
      <c r="L100" s="30">
        <v>3.1000000000000001E-16</v>
      </c>
      <c r="M100" s="30">
        <v>5.7100000000000001E-16</v>
      </c>
      <c r="N100" s="30">
        <v>189000</v>
      </c>
      <c r="O100" s="30">
        <v>47.7</v>
      </c>
    </row>
    <row r="101" spans="1:16">
      <c r="A101" s="29" t="s">
        <v>141</v>
      </c>
      <c r="B101" s="29" t="s">
        <v>139</v>
      </c>
      <c r="C101" s="30">
        <v>-2.5000000000000001E-5</v>
      </c>
      <c r="D101" s="30">
        <v>-0.63800000000000001</v>
      </c>
      <c r="E101" s="30">
        <v>-0.63800000000000001</v>
      </c>
      <c r="F101" s="30">
        <v>0</v>
      </c>
      <c r="G101" s="30">
        <v>-0.48399999999999999</v>
      </c>
      <c r="H101" s="30">
        <v>-0.17100000000000001</v>
      </c>
      <c r="I101" s="30">
        <v>2.5700000000000001E-4</v>
      </c>
      <c r="J101" s="30">
        <v>5.1200000000000001E-6</v>
      </c>
      <c r="K101" s="30">
        <v>5.4299999999999998E-5</v>
      </c>
      <c r="L101" s="30">
        <v>3.0299999999999999E-16</v>
      </c>
      <c r="M101" s="30">
        <v>5.7100000000000001E-16</v>
      </c>
      <c r="N101" s="30">
        <v>195000</v>
      </c>
      <c r="O101" s="30">
        <v>50.2</v>
      </c>
    </row>
    <row r="102" spans="1:16">
      <c r="A102" s="29" t="s">
        <v>142</v>
      </c>
      <c r="B102" s="29" t="s">
        <v>143</v>
      </c>
      <c r="C102" s="30">
        <v>4.9400000000000001E-5</v>
      </c>
      <c r="D102" s="30">
        <v>0.64400000000000002</v>
      </c>
      <c r="E102" s="30">
        <v>0.40100000000000002</v>
      </c>
      <c r="F102" s="30">
        <v>0</v>
      </c>
      <c r="G102" s="30">
        <v>0.46899999999999997</v>
      </c>
      <c r="H102" s="30">
        <v>0.18099999999999999</v>
      </c>
      <c r="I102" s="30">
        <v>4.3399999999999998E-4</v>
      </c>
      <c r="J102" s="30">
        <v>3.36E-6</v>
      </c>
      <c r="K102" s="30">
        <v>1.0399999999999999E-4</v>
      </c>
      <c r="L102" s="30">
        <v>5.5900000000000001E-16</v>
      </c>
      <c r="M102" s="30">
        <v>1.0000000000000001E-15</v>
      </c>
      <c r="N102" s="30">
        <v>298000</v>
      </c>
      <c r="O102" s="30">
        <v>129</v>
      </c>
    </row>
    <row r="103" spans="1:16">
      <c r="A103" s="29" t="s">
        <v>144</v>
      </c>
      <c r="B103" s="29" t="s">
        <v>143</v>
      </c>
      <c r="C103" s="30">
        <v>5.0800000000000002E-5</v>
      </c>
      <c r="D103" s="30">
        <v>0.64400000000000002</v>
      </c>
      <c r="E103" s="30">
        <v>1.02</v>
      </c>
      <c r="F103" s="30">
        <v>0</v>
      </c>
      <c r="G103" s="30">
        <v>0.46899999999999997</v>
      </c>
      <c r="H103" s="30">
        <v>0.182</v>
      </c>
      <c r="I103" s="30">
        <v>4.46E-4</v>
      </c>
      <c r="J103" s="30">
        <v>2.03E-6</v>
      </c>
      <c r="K103" s="30">
        <v>1.07E-4</v>
      </c>
      <c r="L103" s="30">
        <v>4.9599999999999997E-16</v>
      </c>
      <c r="M103" s="30">
        <v>1.0000000000000001E-15</v>
      </c>
      <c r="N103" s="30">
        <v>493000</v>
      </c>
      <c r="O103" s="30">
        <v>220</v>
      </c>
    </row>
    <row r="104" spans="1:16">
      <c r="A104" s="29" t="s">
        <v>145</v>
      </c>
      <c r="B104" s="29" t="s">
        <v>143</v>
      </c>
      <c r="C104" s="30">
        <v>2.5000000000000001E-5</v>
      </c>
      <c r="D104" s="30">
        <v>0.60399999999999998</v>
      </c>
      <c r="E104" s="30">
        <v>0.36099999999999999</v>
      </c>
      <c r="F104" s="30">
        <v>0</v>
      </c>
      <c r="G104" s="30">
        <v>0.46600000000000003</v>
      </c>
      <c r="H104" s="30">
        <v>0.14499999999999999</v>
      </c>
      <c r="I104" s="30">
        <v>2.42E-4</v>
      </c>
      <c r="J104" s="30">
        <v>5.0599999999999998E-6</v>
      </c>
      <c r="K104" s="30">
        <v>5.5800000000000001E-5</v>
      </c>
      <c r="L104" s="30">
        <v>1.2500000000000001E-16</v>
      </c>
      <c r="M104" s="30">
        <v>2.2200000000000001E-16</v>
      </c>
      <c r="N104" s="30">
        <v>198000</v>
      </c>
      <c r="O104" s="30">
        <v>47.8</v>
      </c>
    </row>
    <row r="105" spans="1:16">
      <c r="A105" s="29" t="s">
        <v>146</v>
      </c>
      <c r="B105" s="29" t="s">
        <v>143</v>
      </c>
      <c r="C105" s="30">
        <v>2.44E-5</v>
      </c>
      <c r="D105" s="30">
        <v>0.59899999999999998</v>
      </c>
      <c r="E105" s="30">
        <v>0.47199999999999998</v>
      </c>
      <c r="F105" s="30">
        <v>0</v>
      </c>
      <c r="G105" s="30">
        <v>0.46500000000000002</v>
      </c>
      <c r="H105" s="30">
        <v>0.14299999999999999</v>
      </c>
      <c r="I105" s="30">
        <v>2.41E-4</v>
      </c>
      <c r="J105" s="30">
        <v>4.2699999999999998E-6</v>
      </c>
      <c r="K105" s="30">
        <v>5.5600000000000003E-5</v>
      </c>
      <c r="L105" s="30">
        <v>1.2200000000000001E-16</v>
      </c>
      <c r="M105" s="30">
        <v>2.2200000000000001E-16</v>
      </c>
      <c r="N105" s="30">
        <v>234000</v>
      </c>
      <c r="O105" s="30">
        <v>56.4</v>
      </c>
    </row>
    <row r="106" spans="1:16">
      <c r="A106" s="29" t="s">
        <v>142</v>
      </c>
      <c r="B106" s="29" t="s">
        <v>143</v>
      </c>
      <c r="C106" s="30">
        <v>5.0000000000000002E-5</v>
      </c>
      <c r="D106" s="30">
        <v>0.64400000000000002</v>
      </c>
      <c r="E106" s="30">
        <v>0.64400000000000002</v>
      </c>
      <c r="F106" s="30">
        <v>0</v>
      </c>
      <c r="G106" s="30">
        <v>0.46899999999999997</v>
      </c>
      <c r="H106" s="30">
        <v>0.182</v>
      </c>
      <c r="I106" s="30">
        <v>4.4000000000000002E-4</v>
      </c>
      <c r="J106" s="30">
        <v>2.21E-6</v>
      </c>
      <c r="K106" s="30">
        <v>1.05E-4</v>
      </c>
      <c r="L106" s="30">
        <v>5.3000000000000003E-16</v>
      </c>
      <c r="M106" s="30">
        <v>1.0000000000000001E-15</v>
      </c>
      <c r="N106" s="30">
        <v>452000</v>
      </c>
      <c r="O106" s="30">
        <v>199</v>
      </c>
    </row>
    <row r="109" spans="1:16">
      <c r="B109" s="2" t="s">
        <v>168</v>
      </c>
      <c r="C109" s="2"/>
      <c r="D109" s="2"/>
    </row>
    <row r="110" spans="1:16" ht="31.2" customHeight="1">
      <c r="B110" s="28" t="s">
        <v>148</v>
      </c>
      <c r="C110" s="28" t="s">
        <v>149</v>
      </c>
      <c r="D110" s="28" t="s">
        <v>150</v>
      </c>
      <c r="E110" s="28" t="s">
        <v>151</v>
      </c>
    </row>
    <row r="111" spans="1:16">
      <c r="B111" s="29" t="s">
        <v>152</v>
      </c>
      <c r="C111" s="29">
        <v>2500</v>
      </c>
      <c r="D111" s="29">
        <v>1503.7</v>
      </c>
      <c r="E111" s="32">
        <v>0.39</v>
      </c>
    </row>
    <row r="112" spans="1:16">
      <c r="B112" s="29" t="s">
        <v>153</v>
      </c>
      <c r="C112" s="29">
        <v>0.02</v>
      </c>
      <c r="D112" s="29">
        <v>3.6400000000000002E-2</v>
      </c>
      <c r="E112" s="33">
        <v>0.45</v>
      </c>
    </row>
    <row r="113" spans="2:8">
      <c r="B113" s="29" t="s">
        <v>137</v>
      </c>
      <c r="C113" s="29">
        <v>50</v>
      </c>
      <c r="D113" s="29">
        <v>54.7</v>
      </c>
      <c r="E113" s="32">
        <v>8.5000000000000006E-2</v>
      </c>
    </row>
    <row r="114" spans="2:8">
      <c r="B114" s="29" t="s">
        <v>154</v>
      </c>
      <c r="C114" s="29" t="s">
        <v>155</v>
      </c>
      <c r="D114" s="29" t="s">
        <v>156</v>
      </c>
      <c r="E114" s="33">
        <v>0.23</v>
      </c>
    </row>
    <row r="115" spans="2:8">
      <c r="B115" s="29" t="s">
        <v>157</v>
      </c>
      <c r="C115" s="29" t="s">
        <v>158</v>
      </c>
      <c r="D115" s="29" t="s">
        <v>159</v>
      </c>
      <c r="E115" s="32">
        <v>0.45050000000000001</v>
      </c>
    </row>
    <row r="116" spans="2:8">
      <c r="B116" s="29" t="s">
        <v>160</v>
      </c>
      <c r="C116" s="29" t="s">
        <v>158</v>
      </c>
      <c r="D116" s="29" t="s">
        <v>161</v>
      </c>
      <c r="E116" s="33">
        <v>0.23</v>
      </c>
    </row>
    <row r="117" spans="2:8">
      <c r="B117" s="29" t="s">
        <v>162</v>
      </c>
      <c r="C117" s="29" t="s">
        <v>163</v>
      </c>
      <c r="D117" s="29" t="s">
        <v>164</v>
      </c>
      <c r="E117" s="32">
        <v>0.23069999999999999</v>
      </c>
    </row>
    <row r="118" spans="2:8">
      <c r="B118" s="29" t="s">
        <v>165</v>
      </c>
      <c r="C118" s="29" t="s">
        <v>166</v>
      </c>
      <c r="D118" s="29" t="s">
        <v>167</v>
      </c>
      <c r="E118" s="32">
        <v>1.1849999999999999E-2</v>
      </c>
    </row>
    <row r="120" spans="2:8">
      <c r="B120" s="2" t="s">
        <v>224</v>
      </c>
    </row>
    <row r="122" spans="2:8">
      <c r="B122" s="28" t="s">
        <v>236</v>
      </c>
      <c r="C122" s="28" t="s">
        <v>237</v>
      </c>
      <c r="D122" s="28" t="s">
        <v>210</v>
      </c>
      <c r="E122" s="28" t="s">
        <v>211</v>
      </c>
      <c r="F122" s="28" t="s">
        <v>212</v>
      </c>
      <c r="G122" s="28" t="s">
        <v>213</v>
      </c>
      <c r="H122" s="28" t="s">
        <v>214</v>
      </c>
    </row>
    <row r="123" spans="2:8">
      <c r="B123" s="34" t="s">
        <v>215</v>
      </c>
      <c r="C123" s="34" t="s">
        <v>235</v>
      </c>
      <c r="D123" s="34">
        <v>0.47199999999999998</v>
      </c>
      <c r="E123" s="34">
        <v>0.59899999999999998</v>
      </c>
      <c r="F123" s="34">
        <v>0.46500000000000002</v>
      </c>
      <c r="G123" s="34">
        <v>0.13400000000000001</v>
      </c>
      <c r="H123" s="34" t="s">
        <v>217</v>
      </c>
    </row>
    <row r="124" spans="2:8">
      <c r="B124" s="34" t="s">
        <v>234</v>
      </c>
      <c r="C124" s="34" t="s">
        <v>235</v>
      </c>
      <c r="D124" s="34">
        <v>0.36099999999999999</v>
      </c>
      <c r="E124" s="34">
        <v>0.60399999999999998</v>
      </c>
      <c r="F124" s="34">
        <v>0.46600000000000003</v>
      </c>
      <c r="G124" s="34">
        <v>0.13800000000000001</v>
      </c>
      <c r="H124" s="34" t="s">
        <v>217</v>
      </c>
    </row>
    <row r="125" spans="2:8">
      <c r="B125" s="34" t="s">
        <v>238</v>
      </c>
      <c r="C125" s="34" t="s">
        <v>235</v>
      </c>
      <c r="D125" s="34">
        <v>0.40100000000000002</v>
      </c>
      <c r="E125" s="34">
        <v>0.64400000000000002</v>
      </c>
      <c r="F125" s="34">
        <v>0.46899999999999997</v>
      </c>
      <c r="G125" s="34">
        <v>0.17499999999999999</v>
      </c>
      <c r="H125" s="34" t="s">
        <v>217</v>
      </c>
    </row>
    <row r="126" spans="2:8">
      <c r="B126" s="34" t="s">
        <v>239</v>
      </c>
      <c r="C126" s="34" t="s">
        <v>240</v>
      </c>
      <c r="D126" s="34">
        <v>0.63800000000000001</v>
      </c>
      <c r="E126" s="34">
        <v>0.63800000000000001</v>
      </c>
      <c r="F126" s="34">
        <v>0.48399999999999999</v>
      </c>
      <c r="G126" s="34">
        <v>0.26700000000000002</v>
      </c>
      <c r="H126" s="34" t="s">
        <v>217</v>
      </c>
    </row>
    <row r="127" spans="2:8">
      <c r="B127" s="34" t="s">
        <v>241</v>
      </c>
      <c r="C127" s="34" t="s">
        <v>240</v>
      </c>
      <c r="D127" s="34">
        <v>0.52800000000000002</v>
      </c>
      <c r="E127" s="34">
        <v>0.63800000000000001</v>
      </c>
      <c r="F127" s="34">
        <v>0.48699999999999999</v>
      </c>
      <c r="G127" s="34">
        <v>0.151</v>
      </c>
      <c r="H127" s="34" t="s">
        <v>217</v>
      </c>
    </row>
    <row r="128" spans="2:8">
      <c r="B128" s="34" t="s">
        <v>242</v>
      </c>
      <c r="C128" s="34" t="s">
        <v>240</v>
      </c>
      <c r="D128" s="34">
        <v>0.38200000000000001</v>
      </c>
      <c r="E128" s="34">
        <v>0.52800000000000002</v>
      </c>
      <c r="F128" s="34">
        <v>0.48699999999999999</v>
      </c>
      <c r="G128" s="34">
        <v>4.1000000000000002E-2</v>
      </c>
      <c r="H128" s="34" t="s">
        <v>217</v>
      </c>
    </row>
    <row r="129" spans="2:8">
      <c r="B129" s="34" t="s">
        <v>243</v>
      </c>
      <c r="C129" s="34" t="s">
        <v>235</v>
      </c>
      <c r="D129" s="34">
        <v>1.02</v>
      </c>
      <c r="E129" s="34">
        <v>0.64400000000000002</v>
      </c>
      <c r="F129" s="34">
        <v>0.46899999999999997</v>
      </c>
      <c r="G129" s="34">
        <v>0.17499999999999999</v>
      </c>
      <c r="H129" s="34" t="s">
        <v>217</v>
      </c>
    </row>
    <row r="130" spans="2:8">
      <c r="B130" s="34" t="s">
        <v>244</v>
      </c>
      <c r="C130" s="34" t="s">
        <v>235</v>
      </c>
      <c r="D130" s="34">
        <v>0.64400000000000002</v>
      </c>
      <c r="E130" s="34">
        <v>0.64400000000000002</v>
      </c>
      <c r="F130" s="34">
        <v>0.46899999999999997</v>
      </c>
      <c r="G130" s="34">
        <v>0.17499999999999999</v>
      </c>
      <c r="H130" s="34" t="s">
        <v>217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EXTERNAL(HEAVY)</vt:lpstr>
      <vt:lpstr>EXTERNAL(LIGHT)</vt:lpstr>
      <vt:lpstr>INTERNAL(HEAVY LOAD)</vt:lpstr>
      <vt:lpstr>INTERNAL(LIGHT LOAD)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Vaibhav</cp:lastModifiedBy>
  <dcterms:created xsi:type="dcterms:W3CDTF">2024-02-28T13:57:48Z</dcterms:created>
  <dcterms:modified xsi:type="dcterms:W3CDTF">2024-12-09T05:16:18Z</dcterms:modified>
</cp:coreProperties>
</file>