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A67D3E0B-0413-4E21-ADC8-3452149F0C36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f x Reynolds (Cs6)" sheetId="3" r:id="rId1"/>
    <sheet name="f x Reynolds (Cs8)" sheetId="4" r:id="rId2"/>
    <sheet name="f x Reynolds (Cs10)" sheetId="5" r:id="rId3"/>
    <sheet name="f x Reynolds (Cs12)" sheetId="6" r:id="rId4"/>
    <sheet name="f x Reynolds (Cs15)" sheetId="7" r:id="rId5"/>
    <sheet name="CFD_Result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5" i="2" l="1"/>
  <c r="W46" i="2"/>
  <c r="W48" i="2"/>
  <c r="W49" i="2"/>
  <c r="W50" i="2"/>
  <c r="W51" i="2"/>
  <c r="X51" i="2"/>
  <c r="W52" i="2"/>
  <c r="X52" i="2"/>
  <c r="W56" i="2"/>
  <c r="W57" i="2"/>
  <c r="W60" i="2"/>
  <c r="W61" i="2"/>
  <c r="W62" i="2"/>
  <c r="W63" i="2"/>
  <c r="Y63" i="2"/>
  <c r="W64" i="2"/>
  <c r="X64" i="2"/>
  <c r="W67" i="2"/>
  <c r="W68" i="2"/>
  <c r="W69" i="2"/>
  <c r="W71" i="2"/>
  <c r="W72" i="2"/>
  <c r="W73" i="2"/>
  <c r="W74" i="2"/>
  <c r="X74" i="2"/>
  <c r="Y74" i="2"/>
  <c r="W75" i="2"/>
  <c r="Y75" i="2" s="1"/>
  <c r="W79" i="2"/>
  <c r="W80" i="2"/>
  <c r="W83" i="2"/>
  <c r="W84" i="2"/>
  <c r="W40" i="2"/>
  <c r="R41" i="2"/>
  <c r="S41" i="2"/>
  <c r="T41" i="2"/>
  <c r="R42" i="2"/>
  <c r="R45" i="2"/>
  <c r="R46" i="2"/>
  <c r="R47" i="2"/>
  <c r="R50" i="2"/>
  <c r="R51" i="2"/>
  <c r="R52" i="2"/>
  <c r="T52" i="2"/>
  <c r="R53" i="2"/>
  <c r="T53" i="2" s="1"/>
  <c r="S53" i="2"/>
  <c r="R54" i="2"/>
  <c r="R57" i="2"/>
  <c r="R58" i="2"/>
  <c r="R59" i="2"/>
  <c r="R61" i="2"/>
  <c r="R62" i="2"/>
  <c r="R63" i="2"/>
  <c r="R64" i="2"/>
  <c r="T64" i="2" s="1"/>
  <c r="S64" i="2"/>
  <c r="R65" i="2"/>
  <c r="S65" i="2"/>
  <c r="T65" i="2"/>
  <c r="R69" i="2"/>
  <c r="R70" i="2"/>
  <c r="R73" i="2"/>
  <c r="R74" i="2"/>
  <c r="R75" i="2"/>
  <c r="S75" i="2"/>
  <c r="T75" i="2"/>
  <c r="R76" i="2"/>
  <c r="T76" i="2" s="1"/>
  <c r="S76" i="2"/>
  <c r="R77" i="2"/>
  <c r="R80" i="2"/>
  <c r="R81" i="2"/>
  <c r="R84" i="2"/>
  <c r="R40" i="2"/>
  <c r="M41" i="2"/>
  <c r="M42" i="2"/>
  <c r="N42" i="2"/>
  <c r="O42" i="2"/>
  <c r="M43" i="2"/>
  <c r="O43" i="2" s="1"/>
  <c r="N43" i="2"/>
  <c r="M44" i="2"/>
  <c r="O44" i="2" s="1"/>
  <c r="M52" i="2"/>
  <c r="M53" i="2"/>
  <c r="M54" i="2"/>
  <c r="N54" i="2"/>
  <c r="O54" i="2"/>
  <c r="M55" i="2"/>
  <c r="N55" i="2"/>
  <c r="O55" i="2"/>
  <c r="M60" i="2"/>
  <c r="M64" i="2"/>
  <c r="M65" i="2"/>
  <c r="O65" i="2"/>
  <c r="M66" i="2"/>
  <c r="N66" i="2"/>
  <c r="O66" i="2"/>
  <c r="M67" i="2"/>
  <c r="N67" i="2"/>
  <c r="M70" i="2"/>
  <c r="M71" i="2"/>
  <c r="M72" i="2"/>
  <c r="M75" i="2"/>
  <c r="M76" i="2"/>
  <c r="M77" i="2"/>
  <c r="O77" i="2" s="1"/>
  <c r="N77" i="2"/>
  <c r="M78" i="2"/>
  <c r="N78" i="2"/>
  <c r="O78" i="2"/>
  <c r="M79" i="2"/>
  <c r="M82" i="2"/>
  <c r="M83" i="2"/>
  <c r="M84" i="2"/>
  <c r="H42" i="2"/>
  <c r="H43" i="2"/>
  <c r="J43" i="2" s="1"/>
  <c r="I43" i="2"/>
  <c r="H44" i="2"/>
  <c r="I44" i="2"/>
  <c r="J44" i="2"/>
  <c r="H45" i="2"/>
  <c r="J45" i="2" s="1"/>
  <c r="I45" i="2"/>
  <c r="H46" i="2"/>
  <c r="H49" i="2"/>
  <c r="H50" i="2"/>
  <c r="H51" i="2"/>
  <c r="H54" i="2"/>
  <c r="H55" i="2"/>
  <c r="J55" i="2" s="1"/>
  <c r="I55" i="2"/>
  <c r="H56" i="2"/>
  <c r="I56" i="2"/>
  <c r="J56" i="2"/>
  <c r="H57" i="2"/>
  <c r="I57" i="2"/>
  <c r="J57" i="2"/>
  <c r="H61" i="2"/>
  <c r="H62" i="2"/>
  <c r="H63" i="2"/>
  <c r="H65" i="2"/>
  <c r="H66" i="2"/>
  <c r="I66" i="2"/>
  <c r="H67" i="2"/>
  <c r="I67" i="2"/>
  <c r="J67" i="2"/>
  <c r="H68" i="2"/>
  <c r="I68" i="2"/>
  <c r="J68" i="2"/>
  <c r="H69" i="2"/>
  <c r="I69" i="2"/>
  <c r="H73" i="2"/>
  <c r="H74" i="2"/>
  <c r="H77" i="2"/>
  <c r="H78" i="2"/>
  <c r="I78" i="2"/>
  <c r="J78" i="2"/>
  <c r="H79" i="2"/>
  <c r="I79" i="2"/>
  <c r="J79" i="2"/>
  <c r="H80" i="2"/>
  <c r="I80" i="2"/>
  <c r="J80" i="2"/>
  <c r="H81" i="2"/>
  <c r="H40" i="2"/>
  <c r="D45" i="2"/>
  <c r="D46" i="2"/>
  <c r="D47" i="2"/>
  <c r="D48" i="2"/>
  <c r="D49" i="2"/>
  <c r="D76" i="2"/>
  <c r="D77" i="2"/>
  <c r="D78" i="2"/>
  <c r="D79" i="2"/>
  <c r="D80" i="2"/>
  <c r="D81" i="2"/>
  <c r="C64" i="2"/>
  <c r="C65" i="2"/>
  <c r="C66" i="2"/>
  <c r="C67" i="2"/>
  <c r="C68" i="2"/>
  <c r="C69" i="2"/>
  <c r="P27" i="2"/>
  <c r="P28" i="2"/>
  <c r="P29" i="2"/>
  <c r="P30" i="2"/>
  <c r="P31" i="2"/>
  <c r="P32" i="2"/>
  <c r="P33" i="2"/>
  <c r="P34" i="2"/>
  <c r="P35" i="2"/>
  <c r="P36" i="2"/>
  <c r="K36" i="2"/>
  <c r="K35" i="2"/>
  <c r="K33" i="2"/>
  <c r="K32" i="2"/>
  <c r="K31" i="2"/>
  <c r="K30" i="2"/>
  <c r="K29" i="2"/>
  <c r="K28" i="2"/>
  <c r="K27" i="2"/>
  <c r="F36" i="2"/>
  <c r="F35" i="2"/>
  <c r="F34" i="2"/>
  <c r="F33" i="2"/>
  <c r="F32" i="2"/>
  <c r="F31" i="2"/>
  <c r="F30" i="2"/>
  <c r="F29" i="2"/>
  <c r="F28" i="2"/>
  <c r="F27" i="2"/>
  <c r="A27" i="2"/>
  <c r="A28" i="2"/>
  <c r="A29" i="2"/>
  <c r="A30" i="2"/>
  <c r="A31" i="2"/>
  <c r="A32" i="2"/>
  <c r="A33" i="2"/>
  <c r="A34" i="2"/>
  <c r="D34" i="2" s="1"/>
  <c r="A35" i="2"/>
  <c r="C36" i="2"/>
  <c r="E36" i="2" s="1"/>
  <c r="A36" i="2"/>
  <c r="R29" i="2"/>
  <c r="T29" i="2" s="1"/>
  <c r="AB6" i="2"/>
  <c r="AC6" i="2"/>
  <c r="E67" i="2" s="1"/>
  <c r="AD6" i="2"/>
  <c r="I30" i="2" s="1"/>
  <c r="AE6" i="2"/>
  <c r="N28" i="2" s="1"/>
  <c r="AF6" i="2"/>
  <c r="S44" i="2" s="1"/>
  <c r="AG6" i="2"/>
  <c r="X28" i="2" s="1"/>
  <c r="AB7" i="2"/>
  <c r="AB5" i="2" s="1"/>
  <c r="AC7" i="2"/>
  <c r="AC5" i="2" s="1"/>
  <c r="C5" i="2" s="1"/>
  <c r="AD7" i="2"/>
  <c r="AD5" i="2" s="1"/>
  <c r="H4" i="2" s="1"/>
  <c r="AE7" i="2"/>
  <c r="AE5" i="2" s="1"/>
  <c r="M19" i="2" s="1"/>
  <c r="AF7" i="2"/>
  <c r="AF5" i="2" s="1"/>
  <c r="R11" i="2" s="1"/>
  <c r="AG7" i="2"/>
  <c r="AG5" i="2" s="1"/>
  <c r="W13" i="2" s="1"/>
  <c r="X63" i="2" l="1"/>
  <c r="Y51" i="2"/>
  <c r="S52" i="2"/>
  <c r="Y40" i="2"/>
  <c r="Y73" i="2"/>
  <c r="Y50" i="2"/>
  <c r="D44" i="2"/>
  <c r="E56" i="2"/>
  <c r="T63" i="2"/>
  <c r="X40" i="2"/>
  <c r="X73" i="2"/>
  <c r="X62" i="2"/>
  <c r="X50" i="2"/>
  <c r="C63" i="2"/>
  <c r="D75" i="2"/>
  <c r="D43" i="2"/>
  <c r="O76" i="2"/>
  <c r="N65" i="2"/>
  <c r="O53" i="2"/>
  <c r="N41" i="2"/>
  <c r="T74" i="2"/>
  <c r="S63" i="2"/>
  <c r="S51" i="2"/>
  <c r="Y84" i="2"/>
  <c r="Y62" i="2"/>
  <c r="C62" i="2"/>
  <c r="E62" i="2" s="1"/>
  <c r="D74" i="2"/>
  <c r="D42" i="2"/>
  <c r="E54" i="2"/>
  <c r="N76" i="2"/>
  <c r="N53" i="2"/>
  <c r="O41" i="2"/>
  <c r="S74" i="2"/>
  <c r="T51" i="2"/>
  <c r="X84" i="2"/>
  <c r="Y72" i="2"/>
  <c r="X61" i="2"/>
  <c r="Y49" i="2"/>
  <c r="C61" i="2"/>
  <c r="E61" i="2" s="1"/>
  <c r="D73" i="2"/>
  <c r="D41" i="2"/>
  <c r="J54" i="2"/>
  <c r="J42" i="2"/>
  <c r="O64" i="2"/>
  <c r="T40" i="2"/>
  <c r="S62" i="2"/>
  <c r="T50" i="2"/>
  <c r="X72" i="2"/>
  <c r="Y61" i="2"/>
  <c r="X49" i="2"/>
  <c r="E52" i="2"/>
  <c r="J66" i="2"/>
  <c r="I54" i="2"/>
  <c r="I42" i="2"/>
  <c r="N75" i="2"/>
  <c r="N64" i="2"/>
  <c r="O52" i="2"/>
  <c r="S40" i="2"/>
  <c r="T73" i="2"/>
  <c r="T62" i="2"/>
  <c r="S50" i="2"/>
  <c r="X83" i="2"/>
  <c r="Y60" i="2"/>
  <c r="C59" i="2"/>
  <c r="E59" i="2" s="1"/>
  <c r="D71" i="2"/>
  <c r="I77" i="2"/>
  <c r="J65" i="2"/>
  <c r="O75" i="2"/>
  <c r="N52" i="2"/>
  <c r="T84" i="2"/>
  <c r="S73" i="2"/>
  <c r="T61" i="2"/>
  <c r="Y83" i="2"/>
  <c r="Y71" i="2"/>
  <c r="X60" i="2"/>
  <c r="Y48" i="2"/>
  <c r="D70" i="2"/>
  <c r="E50" i="2"/>
  <c r="J41" i="2"/>
  <c r="O74" i="2"/>
  <c r="O63" i="2"/>
  <c r="S84" i="2"/>
  <c r="S61" i="2"/>
  <c r="T49" i="2"/>
  <c r="Y82" i="2"/>
  <c r="X71" i="2"/>
  <c r="X48" i="2"/>
  <c r="C58" i="2"/>
  <c r="E58" i="2" s="1"/>
  <c r="I53" i="2"/>
  <c r="N51" i="2"/>
  <c r="S49" i="2"/>
  <c r="I65" i="2"/>
  <c r="C57" i="2"/>
  <c r="E57" i="2" s="1"/>
  <c r="N63" i="2"/>
  <c r="X82" i="2"/>
  <c r="C56" i="2"/>
  <c r="D68" i="2"/>
  <c r="E80" i="2"/>
  <c r="E48" i="2"/>
  <c r="I76" i="2"/>
  <c r="H53" i="2"/>
  <c r="H41" i="2"/>
  <c r="M74" i="2"/>
  <c r="M63" i="2"/>
  <c r="M51" i="2"/>
  <c r="O51" i="2" s="1"/>
  <c r="S83" i="2"/>
  <c r="S72" i="2"/>
  <c r="T60" i="2"/>
  <c r="R49" i="2"/>
  <c r="W82" i="2"/>
  <c r="Y70" i="2"/>
  <c r="X59" i="2"/>
  <c r="Y47" i="2"/>
  <c r="J53" i="2"/>
  <c r="E81" i="2"/>
  <c r="I41" i="2"/>
  <c r="Y59" i="2"/>
  <c r="C40" i="2"/>
  <c r="E40" i="2" s="1"/>
  <c r="C55" i="2"/>
  <c r="E55" i="2" s="1"/>
  <c r="D67" i="2"/>
  <c r="E79" i="2"/>
  <c r="E47" i="2"/>
  <c r="H76" i="2"/>
  <c r="J76" i="2" s="1"/>
  <c r="I64" i="2"/>
  <c r="M40" i="2"/>
  <c r="O40" i="2" s="1"/>
  <c r="N73" i="2"/>
  <c r="N62" i="2"/>
  <c r="R83" i="2"/>
  <c r="T83" i="2" s="1"/>
  <c r="R72" i="2"/>
  <c r="S60" i="2"/>
  <c r="X70" i="2"/>
  <c r="W59" i="2"/>
  <c r="X47" i="2"/>
  <c r="C60" i="2"/>
  <c r="E60" i="2" s="1"/>
  <c r="J77" i="2"/>
  <c r="D69" i="2"/>
  <c r="N74" i="2"/>
  <c r="T72" i="2"/>
  <c r="D40" i="2"/>
  <c r="C54" i="2"/>
  <c r="D66" i="2"/>
  <c r="E46" i="2"/>
  <c r="I75" i="2"/>
  <c r="H64" i="2"/>
  <c r="J64" i="2" s="1"/>
  <c r="I52" i="2"/>
  <c r="N40" i="2"/>
  <c r="M73" i="2"/>
  <c r="O73" i="2" s="1"/>
  <c r="M62" i="2"/>
  <c r="O62" i="2" s="1"/>
  <c r="N50" i="2"/>
  <c r="R60" i="2"/>
  <c r="S48" i="2"/>
  <c r="X81" i="2"/>
  <c r="W70" i="2"/>
  <c r="W47" i="2"/>
  <c r="E84" i="2"/>
  <c r="E82" i="2"/>
  <c r="C53" i="2"/>
  <c r="E53" i="2" s="1"/>
  <c r="D65" i="2"/>
  <c r="H75" i="2"/>
  <c r="J75" i="2" s="1"/>
  <c r="J63" i="2"/>
  <c r="H52" i="2"/>
  <c r="J52" i="2" s="1"/>
  <c r="O84" i="2"/>
  <c r="O72" i="2"/>
  <c r="N61" i="2"/>
  <c r="M50" i="2"/>
  <c r="O50" i="2" s="1"/>
  <c r="S82" i="2"/>
  <c r="S71" i="2"/>
  <c r="T59" i="2"/>
  <c r="R48" i="2"/>
  <c r="T48" i="2" s="1"/>
  <c r="W81" i="2"/>
  <c r="Y81" i="2" s="1"/>
  <c r="Y69" i="2"/>
  <c r="X58" i="2"/>
  <c r="Y46" i="2"/>
  <c r="D72" i="2"/>
  <c r="E49" i="2"/>
  <c r="C84" i="2"/>
  <c r="C52" i="2"/>
  <c r="D64" i="2"/>
  <c r="J74" i="2"/>
  <c r="I63" i="2"/>
  <c r="I51" i="2"/>
  <c r="N84" i="2"/>
  <c r="N72" i="2"/>
  <c r="M61" i="2"/>
  <c r="O61" i="2" s="1"/>
  <c r="O49" i="2"/>
  <c r="R82" i="2"/>
  <c r="T82" i="2" s="1"/>
  <c r="R71" i="2"/>
  <c r="T71" i="2" s="1"/>
  <c r="S59" i="2"/>
  <c r="T47" i="2"/>
  <c r="Y80" i="2"/>
  <c r="X69" i="2"/>
  <c r="W58" i="2"/>
  <c r="Y58" i="2" s="1"/>
  <c r="X46" i="2"/>
  <c r="C83" i="2"/>
  <c r="E83" i="2" s="1"/>
  <c r="C51" i="2"/>
  <c r="E51" i="2" s="1"/>
  <c r="D63" i="2"/>
  <c r="I74" i="2"/>
  <c r="J51" i="2"/>
  <c r="O60" i="2"/>
  <c r="N49" i="2"/>
  <c r="T81" i="2"/>
  <c r="T70" i="2"/>
  <c r="S47" i="2"/>
  <c r="X80" i="2"/>
  <c r="Y57" i="2"/>
  <c r="C82" i="2"/>
  <c r="C50" i="2"/>
  <c r="D62" i="2"/>
  <c r="I62" i="2"/>
  <c r="I50" i="2"/>
  <c r="N83" i="2"/>
  <c r="O71" i="2"/>
  <c r="N60" i="2"/>
  <c r="M49" i="2"/>
  <c r="S81" i="2"/>
  <c r="S70" i="2"/>
  <c r="T58" i="2"/>
  <c r="Y68" i="2"/>
  <c r="X57" i="2"/>
  <c r="X45" i="2"/>
  <c r="C81" i="2"/>
  <c r="C49" i="2"/>
  <c r="D61" i="2"/>
  <c r="E73" i="2"/>
  <c r="J73" i="2"/>
  <c r="J62" i="2"/>
  <c r="J50" i="2"/>
  <c r="O83" i="2"/>
  <c r="N71" i="2"/>
  <c r="S58" i="2"/>
  <c r="T46" i="2"/>
  <c r="Y79" i="2"/>
  <c r="X68" i="2"/>
  <c r="Y45" i="2"/>
  <c r="C80" i="2"/>
  <c r="C48" i="2"/>
  <c r="D60" i="2"/>
  <c r="E72" i="2"/>
  <c r="J40" i="2"/>
  <c r="I73" i="2"/>
  <c r="J61" i="2"/>
  <c r="J49" i="2"/>
  <c r="O82" i="2"/>
  <c r="N48" i="2"/>
  <c r="T80" i="2"/>
  <c r="T69" i="2"/>
  <c r="S46" i="2"/>
  <c r="X79" i="2"/>
  <c r="X56" i="2"/>
  <c r="Y44" i="2"/>
  <c r="C79" i="2"/>
  <c r="C47" i="2"/>
  <c r="D59" i="2"/>
  <c r="E71" i="2"/>
  <c r="I40" i="2"/>
  <c r="I61" i="2"/>
  <c r="I49" i="2"/>
  <c r="N82" i="2"/>
  <c r="O70" i="2"/>
  <c r="N59" i="2"/>
  <c r="M48" i="2"/>
  <c r="O48" i="2" s="1"/>
  <c r="S80" i="2"/>
  <c r="S69" i="2"/>
  <c r="T57" i="2"/>
  <c r="Y67" i="2"/>
  <c r="Y56" i="2"/>
  <c r="X44" i="2"/>
  <c r="E70" i="2"/>
  <c r="N70" i="2"/>
  <c r="M59" i="2"/>
  <c r="O59" i="2" s="1"/>
  <c r="S57" i="2"/>
  <c r="T45" i="2"/>
  <c r="X67" i="2"/>
  <c r="W44" i="2"/>
  <c r="C77" i="2"/>
  <c r="E77" i="2" s="1"/>
  <c r="I72" i="2"/>
  <c r="J48" i="2"/>
  <c r="O81" i="2"/>
  <c r="O58" i="2"/>
  <c r="S45" i="2"/>
  <c r="X78" i="2"/>
  <c r="X55" i="2"/>
  <c r="X43" i="2"/>
  <c r="N58" i="2"/>
  <c r="W43" i="2"/>
  <c r="Y43" i="2" s="1"/>
  <c r="C75" i="2"/>
  <c r="E75" i="2" s="1"/>
  <c r="C43" i="2"/>
  <c r="E43" i="2" s="1"/>
  <c r="D55" i="2"/>
  <c r="I83" i="2"/>
  <c r="I71" i="2"/>
  <c r="H60" i="2"/>
  <c r="H48" i="2"/>
  <c r="M81" i="2"/>
  <c r="N69" i="2"/>
  <c r="M58" i="2"/>
  <c r="O46" i="2"/>
  <c r="R79" i="2"/>
  <c r="R68" i="2"/>
  <c r="S56" i="2"/>
  <c r="X77" i="2"/>
  <c r="X66" i="2"/>
  <c r="X54" i="2"/>
  <c r="S29" i="2"/>
  <c r="D32" i="2"/>
  <c r="E69" i="2"/>
  <c r="E68" i="2"/>
  <c r="C42" i="2"/>
  <c r="E42" i="2" s="1"/>
  <c r="E66" i="2"/>
  <c r="H83" i="2"/>
  <c r="J83" i="2" s="1"/>
  <c r="H71" i="2"/>
  <c r="J71" i="2" s="1"/>
  <c r="I59" i="2"/>
  <c r="J47" i="2"/>
  <c r="O80" i="2"/>
  <c r="M69" i="2"/>
  <c r="O57" i="2"/>
  <c r="N46" i="2"/>
  <c r="T78" i="2"/>
  <c r="T67" i="2"/>
  <c r="R56" i="2"/>
  <c r="T56" i="2" s="1"/>
  <c r="R44" i="2"/>
  <c r="T44" i="2" s="1"/>
  <c r="W77" i="2"/>
  <c r="Y77" i="2" s="1"/>
  <c r="W66" i="2"/>
  <c r="W54" i="2"/>
  <c r="Y54" i="2" s="1"/>
  <c r="X42" i="2"/>
  <c r="J60" i="2"/>
  <c r="C73" i="2"/>
  <c r="E65" i="2"/>
  <c r="J70" i="2"/>
  <c r="H59" i="2"/>
  <c r="J59" i="2" s="1"/>
  <c r="I47" i="2"/>
  <c r="N80" i="2"/>
  <c r="O68" i="2"/>
  <c r="N57" i="2"/>
  <c r="M46" i="2"/>
  <c r="S78" i="2"/>
  <c r="S55" i="2"/>
  <c r="W42" i="2"/>
  <c r="Y42" i="2" s="1"/>
  <c r="C46" i="2"/>
  <c r="C45" i="2"/>
  <c r="E45" i="2" s="1"/>
  <c r="N47" i="2"/>
  <c r="C44" i="2"/>
  <c r="E44" i="2" s="1"/>
  <c r="H72" i="2"/>
  <c r="J72" i="2" s="1"/>
  <c r="N81" i="2"/>
  <c r="M47" i="2"/>
  <c r="O47" i="2" s="1"/>
  <c r="W55" i="2"/>
  <c r="Y55" i="2" s="1"/>
  <c r="C12" i="2"/>
  <c r="E12" i="2" s="1"/>
  <c r="D54" i="2"/>
  <c r="C41" i="2"/>
  <c r="E41" i="2" s="1"/>
  <c r="I82" i="2"/>
  <c r="C10" i="2"/>
  <c r="C72" i="2"/>
  <c r="D84" i="2"/>
  <c r="D52" i="2"/>
  <c r="E64" i="2"/>
  <c r="H82" i="2"/>
  <c r="J82" i="2" s="1"/>
  <c r="I70" i="2"/>
  <c r="H47" i="2"/>
  <c r="M80" i="2"/>
  <c r="N68" i="2"/>
  <c r="M57" i="2"/>
  <c r="N45" i="2"/>
  <c r="R78" i="2"/>
  <c r="R67" i="2"/>
  <c r="R55" i="2"/>
  <c r="T55" i="2" s="1"/>
  <c r="R43" i="2"/>
  <c r="T43" i="2" s="1"/>
  <c r="X76" i="2"/>
  <c r="X65" i="2"/>
  <c r="X53" i="2"/>
  <c r="Y41" i="2"/>
  <c r="C78" i="2"/>
  <c r="E78" i="2" s="1"/>
  <c r="D57" i="2"/>
  <c r="T79" i="2"/>
  <c r="D56" i="2"/>
  <c r="I60" i="2"/>
  <c r="O69" i="2"/>
  <c r="S68" i="2"/>
  <c r="W78" i="2"/>
  <c r="Y78" i="2" s="1"/>
  <c r="C13" i="2"/>
  <c r="E13" i="2" s="1"/>
  <c r="C74" i="2"/>
  <c r="E74" i="2" s="1"/>
  <c r="D53" i="2"/>
  <c r="S43" i="2"/>
  <c r="C9" i="2"/>
  <c r="C71" i="2"/>
  <c r="D83" i="2"/>
  <c r="D51" i="2"/>
  <c r="E63" i="2"/>
  <c r="J81" i="2"/>
  <c r="H70" i="2"/>
  <c r="I58" i="2"/>
  <c r="J46" i="2"/>
  <c r="O79" i="2"/>
  <c r="M68" i="2"/>
  <c r="N56" i="2"/>
  <c r="M45" i="2"/>
  <c r="O45" i="2" s="1"/>
  <c r="T77" i="2"/>
  <c r="S66" i="2"/>
  <c r="T54" i="2"/>
  <c r="T42" i="2"/>
  <c r="W76" i="2"/>
  <c r="Y76" i="2" s="1"/>
  <c r="W65" i="2"/>
  <c r="Y65" i="2" s="1"/>
  <c r="W53" i="2"/>
  <c r="Y53" i="2" s="1"/>
  <c r="X41" i="2"/>
  <c r="D58" i="2"/>
  <c r="I84" i="2"/>
  <c r="T68" i="2"/>
  <c r="C76" i="2"/>
  <c r="E76" i="2" s="1"/>
  <c r="H84" i="2"/>
  <c r="J84" i="2" s="1"/>
  <c r="I48" i="2"/>
  <c r="S79" i="2"/>
  <c r="Y66" i="2"/>
  <c r="C11" i="2"/>
  <c r="E11" i="2" s="1"/>
  <c r="S67" i="2"/>
  <c r="C70" i="2"/>
  <c r="D82" i="2"/>
  <c r="D50" i="2"/>
  <c r="I81" i="2"/>
  <c r="J69" i="2"/>
  <c r="H58" i="2"/>
  <c r="J58" i="2" s="1"/>
  <c r="I46" i="2"/>
  <c r="N79" i="2"/>
  <c r="O67" i="2"/>
  <c r="M56" i="2"/>
  <c r="O56" i="2" s="1"/>
  <c r="N44" i="2"/>
  <c r="S77" i="2"/>
  <c r="R66" i="2"/>
  <c r="T66" i="2" s="1"/>
  <c r="S54" i="2"/>
  <c r="S42" i="2"/>
  <c r="X75" i="2"/>
  <c r="Y64" i="2"/>
  <c r="Y52" i="2"/>
  <c r="W41" i="2"/>
  <c r="C19" i="2"/>
  <c r="E19" i="2" s="1"/>
  <c r="R10" i="2"/>
  <c r="H14" i="2"/>
  <c r="J14" i="2" s="1"/>
  <c r="H27" i="2"/>
  <c r="J27" i="2" s="1"/>
  <c r="D28" i="2"/>
  <c r="N36" i="2"/>
  <c r="S34" i="2"/>
  <c r="X32" i="2"/>
  <c r="R27" i="2"/>
  <c r="T27" i="2" s="1"/>
  <c r="M36" i="2"/>
  <c r="O36" i="2" s="1"/>
  <c r="R34" i="2"/>
  <c r="T34" i="2" s="1"/>
  <c r="W32" i="2"/>
  <c r="Y32" i="2" s="1"/>
  <c r="H15" i="2"/>
  <c r="C17" i="2"/>
  <c r="H13" i="2"/>
  <c r="W27" i="2"/>
  <c r="X31" i="2"/>
  <c r="W20" i="2"/>
  <c r="Y20" i="2" s="1"/>
  <c r="W31" i="2"/>
  <c r="Y31" i="2" s="1"/>
  <c r="C27" i="2"/>
  <c r="E27" i="2" s="1"/>
  <c r="C18" i="2"/>
  <c r="E18" i="2" s="1"/>
  <c r="R9" i="2"/>
  <c r="T9" i="2" s="1"/>
  <c r="C28" i="2"/>
  <c r="E28" i="2" s="1"/>
  <c r="C16" i="2"/>
  <c r="R8" i="2"/>
  <c r="H12" i="2"/>
  <c r="I36" i="2"/>
  <c r="N35" i="2"/>
  <c r="C15" i="2"/>
  <c r="R7" i="2"/>
  <c r="T7" i="2" s="1"/>
  <c r="H11" i="2"/>
  <c r="J11" i="2" s="1"/>
  <c r="H36" i="2"/>
  <c r="J36" i="2" s="1"/>
  <c r="M35" i="2"/>
  <c r="O35" i="2" s="1"/>
  <c r="S33" i="2"/>
  <c r="C14" i="2"/>
  <c r="E14" i="2" s="1"/>
  <c r="R6" i="2"/>
  <c r="T6" i="2" s="1"/>
  <c r="H10" i="2"/>
  <c r="D36" i="2"/>
  <c r="I35" i="2"/>
  <c r="N34" i="2"/>
  <c r="R33" i="2"/>
  <c r="T33" i="2" s="1"/>
  <c r="X30" i="2"/>
  <c r="H35" i="2"/>
  <c r="J35" i="2" s="1"/>
  <c r="M34" i="2"/>
  <c r="O34" i="2" s="1"/>
  <c r="S32" i="2"/>
  <c r="W30" i="2"/>
  <c r="Y30" i="2" s="1"/>
  <c r="R32" i="2"/>
  <c r="T32" i="2" s="1"/>
  <c r="X29" i="2"/>
  <c r="W22" i="2"/>
  <c r="H7" i="2"/>
  <c r="D35" i="2"/>
  <c r="I34" i="2"/>
  <c r="N33" i="2"/>
  <c r="W29" i="2"/>
  <c r="Y29" i="2" s="1"/>
  <c r="W21" i="2"/>
  <c r="Y21" i="2" s="1"/>
  <c r="H6" i="2"/>
  <c r="C35" i="2"/>
  <c r="E35" i="2" s="1"/>
  <c r="H34" i="2"/>
  <c r="J34" i="2" s="1"/>
  <c r="M33" i="2"/>
  <c r="O33" i="2" s="1"/>
  <c r="S31" i="2"/>
  <c r="W28" i="2"/>
  <c r="Y28" i="2" s="1"/>
  <c r="H8" i="2"/>
  <c r="J8" i="2" s="1"/>
  <c r="M23" i="2"/>
  <c r="O23" i="2" s="1"/>
  <c r="I33" i="2"/>
  <c r="M32" i="2"/>
  <c r="O32" i="2" s="1"/>
  <c r="S30" i="2"/>
  <c r="C7" i="2"/>
  <c r="W18" i="2"/>
  <c r="Y18" i="2" s="1"/>
  <c r="M22" i="2"/>
  <c r="D33" i="2"/>
  <c r="H33" i="2"/>
  <c r="J33" i="2" s="1"/>
  <c r="N31" i="2"/>
  <c r="R30" i="2"/>
  <c r="T30" i="2" s="1"/>
  <c r="R31" i="2"/>
  <c r="T31" i="2" s="1"/>
  <c r="X16" i="2"/>
  <c r="R22" i="2"/>
  <c r="W12" i="2"/>
  <c r="Y12" i="2" s="1"/>
  <c r="M18" i="2"/>
  <c r="O18" i="2" s="1"/>
  <c r="C33" i="2"/>
  <c r="E33" i="2" s="1"/>
  <c r="I32" i="2"/>
  <c r="M31" i="2"/>
  <c r="O31" i="2" s="1"/>
  <c r="R5" i="2"/>
  <c r="N32" i="2"/>
  <c r="C8" i="2"/>
  <c r="E8" i="2" s="1"/>
  <c r="W19" i="2"/>
  <c r="Y19" i="2" s="1"/>
  <c r="C34" i="2"/>
  <c r="E34" i="2" s="1"/>
  <c r="T5" i="2"/>
  <c r="R21" i="2"/>
  <c r="T21" i="2" s="1"/>
  <c r="W11" i="2"/>
  <c r="Y11" i="2" s="1"/>
  <c r="M17" i="2"/>
  <c r="O17" i="2" s="1"/>
  <c r="H32" i="2"/>
  <c r="J32" i="2" s="1"/>
  <c r="N30" i="2"/>
  <c r="W23" i="2"/>
  <c r="Y23" i="2" s="1"/>
  <c r="W10" i="2"/>
  <c r="C32" i="2"/>
  <c r="E32" i="2" s="1"/>
  <c r="M30" i="2"/>
  <c r="O30" i="2" s="1"/>
  <c r="S28" i="2"/>
  <c r="M15" i="2"/>
  <c r="O15" i="2" s="1"/>
  <c r="I31" i="2"/>
  <c r="N29" i="2"/>
  <c r="R28" i="2"/>
  <c r="T28" i="2" s="1"/>
  <c r="R20" i="2"/>
  <c r="T20" i="2" s="1"/>
  <c r="R18" i="2"/>
  <c r="T18" i="2" s="1"/>
  <c r="H22" i="2"/>
  <c r="J22" i="2" s="1"/>
  <c r="M14" i="2"/>
  <c r="O14" i="2" s="1"/>
  <c r="D31" i="2"/>
  <c r="H31" i="2"/>
  <c r="J31" i="2" s="1"/>
  <c r="M29" i="2"/>
  <c r="O29" i="2" s="1"/>
  <c r="X36" i="2"/>
  <c r="R17" i="2"/>
  <c r="T17" i="2" s="1"/>
  <c r="M13" i="2"/>
  <c r="C31" i="2"/>
  <c r="E31" i="2" s="1"/>
  <c r="W36" i="2"/>
  <c r="Y36" i="2" s="1"/>
  <c r="X35" i="2"/>
  <c r="C23" i="2"/>
  <c r="S36" i="2"/>
  <c r="H9" i="2"/>
  <c r="J9" i="2" s="1"/>
  <c r="H5" i="2"/>
  <c r="I20" i="2"/>
  <c r="R19" i="2"/>
  <c r="T19" i="2" s="1"/>
  <c r="H23" i="2"/>
  <c r="H21" i="2"/>
  <c r="J21" i="2" s="1"/>
  <c r="R16" i="2"/>
  <c r="M12" i="2"/>
  <c r="O12" i="2" s="1"/>
  <c r="H30" i="2"/>
  <c r="J30" i="2" s="1"/>
  <c r="R15" i="2"/>
  <c r="T15" i="2" s="1"/>
  <c r="H19" i="2"/>
  <c r="J19" i="2" s="1"/>
  <c r="M7" i="2"/>
  <c r="O7" i="2" s="1"/>
  <c r="D30" i="2"/>
  <c r="I29" i="2"/>
  <c r="W35" i="2"/>
  <c r="Y35" i="2" s="1"/>
  <c r="C22" i="2"/>
  <c r="E22" i="2" s="1"/>
  <c r="R14" i="2"/>
  <c r="T14" i="2" s="1"/>
  <c r="H18" i="2"/>
  <c r="J18" i="2" s="1"/>
  <c r="M6" i="2"/>
  <c r="O6" i="2" s="1"/>
  <c r="C30" i="2"/>
  <c r="E30" i="2" s="1"/>
  <c r="H29" i="2"/>
  <c r="J29" i="2" s="1"/>
  <c r="R36" i="2"/>
  <c r="T36" i="2" s="1"/>
  <c r="X34" i="2"/>
  <c r="R13" i="2"/>
  <c r="S35" i="2"/>
  <c r="W34" i="2"/>
  <c r="Y34" i="2" s="1"/>
  <c r="M16" i="2"/>
  <c r="O16" i="2" s="1"/>
  <c r="C4" i="2"/>
  <c r="E4" i="2" s="1"/>
  <c r="H20" i="2"/>
  <c r="J20" i="2" s="1"/>
  <c r="M28" i="2"/>
  <c r="O28" i="2" s="1"/>
  <c r="C21" i="2"/>
  <c r="E21" i="2" s="1"/>
  <c r="H17" i="2"/>
  <c r="M5" i="2"/>
  <c r="I28" i="2"/>
  <c r="C20" i="2"/>
  <c r="E20" i="2" s="1"/>
  <c r="R12" i="2"/>
  <c r="T12" i="2" s="1"/>
  <c r="H16" i="2"/>
  <c r="M4" i="2"/>
  <c r="O4" i="2" s="1"/>
  <c r="D29" i="2"/>
  <c r="H28" i="2"/>
  <c r="J28" i="2" s="1"/>
  <c r="R35" i="2"/>
  <c r="T35" i="2" s="1"/>
  <c r="X33" i="2"/>
  <c r="C29" i="2"/>
  <c r="E29" i="2" s="1"/>
  <c r="W33" i="2"/>
  <c r="Y33" i="2" s="1"/>
  <c r="I19" i="2"/>
  <c r="E7" i="2"/>
  <c r="I17" i="2"/>
  <c r="I18" i="2"/>
  <c r="X15" i="2"/>
  <c r="Y27" i="2"/>
  <c r="X27" i="2"/>
  <c r="Y16" i="2"/>
  <c r="Y13" i="2"/>
  <c r="I27" i="2"/>
  <c r="S27" i="2"/>
  <c r="W9" i="2"/>
  <c r="Y9" i="2" s="1"/>
  <c r="M11" i="2"/>
  <c r="O11" i="2" s="1"/>
  <c r="W4" i="2"/>
  <c r="M10" i="2"/>
  <c r="O10" i="2" s="1"/>
  <c r="E5" i="2"/>
  <c r="R4" i="2"/>
  <c r="W6" i="2"/>
  <c r="Y6" i="2" s="1"/>
  <c r="M9" i="2"/>
  <c r="M27" i="2"/>
  <c r="O27" i="2" s="1"/>
  <c r="Y22" i="2"/>
  <c r="I16" i="2"/>
  <c r="Y10" i="2"/>
  <c r="W8" i="2"/>
  <c r="Y8" i="2" s="1"/>
  <c r="J4" i="2"/>
  <c r="W7" i="2"/>
  <c r="Y7" i="2" s="1"/>
  <c r="R23" i="2"/>
  <c r="T23" i="2" s="1"/>
  <c r="W5" i="2"/>
  <c r="Y5" i="2" s="1"/>
  <c r="M8" i="2"/>
  <c r="D27" i="2"/>
  <c r="N27" i="2"/>
  <c r="N7" i="2"/>
  <c r="S4" i="2"/>
  <c r="S23" i="2"/>
  <c r="X6" i="2"/>
  <c r="I14" i="2"/>
  <c r="D20" i="2"/>
  <c r="X11" i="2"/>
  <c r="X10" i="2"/>
  <c r="X9" i="2"/>
  <c r="T4" i="2"/>
  <c r="X13" i="2"/>
  <c r="S21" i="2"/>
  <c r="I11" i="2"/>
  <c r="N6" i="2"/>
  <c r="J16" i="2"/>
  <c r="O13" i="2"/>
  <c r="S15" i="2"/>
  <c r="X14" i="2"/>
  <c r="N5" i="2"/>
  <c r="D4" i="2"/>
  <c r="D22" i="2"/>
  <c r="D21" i="2"/>
  <c r="I8" i="2"/>
  <c r="J15" i="2"/>
  <c r="T22" i="2"/>
  <c r="I15" i="2"/>
  <c r="S20" i="2"/>
  <c r="O8" i="2"/>
  <c r="S19" i="2"/>
  <c r="S18" i="2"/>
  <c r="I9" i="2"/>
  <c r="D19" i="2"/>
  <c r="D18" i="2"/>
  <c r="S14" i="2"/>
  <c r="D16" i="2"/>
  <c r="J13" i="2"/>
  <c r="D15" i="2"/>
  <c r="N23" i="2"/>
  <c r="N22" i="2"/>
  <c r="N21" i="2"/>
  <c r="D11" i="2"/>
  <c r="S8" i="2"/>
  <c r="J7" i="2"/>
  <c r="D9" i="2"/>
  <c r="J6" i="2"/>
  <c r="S5" i="2"/>
  <c r="E17" i="2"/>
  <c r="X4" i="2"/>
  <c r="D6" i="2"/>
  <c r="X23" i="2"/>
  <c r="T11" i="2"/>
  <c r="X21" i="2"/>
  <c r="T10" i="2"/>
  <c r="N12" i="2"/>
  <c r="T8" i="2"/>
  <c r="I22" i="2"/>
  <c r="N10" i="2"/>
  <c r="X18" i="2"/>
  <c r="C6" i="2"/>
  <c r="E6" i="2" s="1"/>
  <c r="W15" i="2"/>
  <c r="Y15" i="2" s="1"/>
  <c r="M21" i="2"/>
  <c r="O21" i="2" s="1"/>
  <c r="E10" i="2"/>
  <c r="X12" i="2"/>
  <c r="I12" i="2"/>
  <c r="X7" i="2"/>
  <c r="I10" i="2"/>
  <c r="S17" i="2"/>
  <c r="O5" i="2"/>
  <c r="S16" i="2"/>
  <c r="I5" i="2"/>
  <c r="S12" i="2"/>
  <c r="J12" i="2"/>
  <c r="S11" i="2"/>
  <c r="D13" i="2"/>
  <c r="S10" i="2"/>
  <c r="S9" i="2"/>
  <c r="N20" i="2"/>
  <c r="S7" i="2"/>
  <c r="T16" i="2"/>
  <c r="N18" i="2"/>
  <c r="D8" i="2"/>
  <c r="J5" i="2"/>
  <c r="N16" i="2"/>
  <c r="T13" i="2"/>
  <c r="X22" i="2"/>
  <c r="O22" i="2"/>
  <c r="N13" i="2"/>
  <c r="X20" i="2"/>
  <c r="W17" i="2"/>
  <c r="Y17" i="2" s="1"/>
  <c r="I23" i="2"/>
  <c r="X19" i="2"/>
  <c r="W16" i="2"/>
  <c r="O19" i="2"/>
  <c r="I21" i="2"/>
  <c r="N9" i="2"/>
  <c r="X17" i="2"/>
  <c r="W14" i="2"/>
  <c r="Y14" i="2" s="1"/>
  <c r="M20" i="2"/>
  <c r="O20" i="2" s="1"/>
  <c r="E9" i="2"/>
  <c r="J23" i="2"/>
  <c r="S22" i="2"/>
  <c r="I13" i="2"/>
  <c r="O9" i="2"/>
  <c r="X8" i="2"/>
  <c r="X5" i="2"/>
  <c r="J17" i="2"/>
  <c r="I7" i="2"/>
  <c r="Y4" i="2"/>
  <c r="D17" i="2"/>
  <c r="I6" i="2"/>
  <c r="S13" i="2"/>
  <c r="N4" i="2"/>
  <c r="D14" i="2"/>
  <c r="E23" i="2"/>
  <c r="J10" i="2"/>
  <c r="D12" i="2"/>
  <c r="D10" i="2"/>
  <c r="N19" i="2"/>
  <c r="S6" i="2"/>
  <c r="N17" i="2"/>
  <c r="D7" i="2"/>
  <c r="E16" i="2"/>
  <c r="N15" i="2"/>
  <c r="E15" i="2"/>
  <c r="D5" i="2"/>
  <c r="N14" i="2"/>
  <c r="D23" i="2"/>
  <c r="I4" i="2"/>
  <c r="N11" i="2"/>
  <c r="N8" i="2"/>
</calcChain>
</file>

<file path=xl/sharedStrings.xml><?xml version="1.0" encoding="utf-8"?>
<sst xmlns="http://schemas.openxmlformats.org/spreadsheetml/2006/main" count="109" uniqueCount="30">
  <si>
    <t>CS4</t>
  </si>
  <si>
    <t>CS6</t>
  </si>
  <si>
    <t>CS8</t>
  </si>
  <si>
    <t>CS10</t>
  </si>
  <si>
    <t>CS12</t>
  </si>
  <si>
    <t>CS15</t>
  </si>
  <si>
    <t>Vf</t>
  </si>
  <si>
    <t>Afs</t>
  </si>
  <si>
    <t>Acs</t>
  </si>
  <si>
    <t>Dh</t>
  </si>
  <si>
    <t>V3</t>
  </si>
  <si>
    <t>Lf</t>
  </si>
  <si>
    <t>mfr</t>
  </si>
  <si>
    <t>Pressure</t>
  </si>
  <si>
    <t>Cs6</t>
  </si>
  <si>
    <t>Cs8</t>
  </si>
  <si>
    <t>Cs10</t>
  </si>
  <si>
    <t>Cs12</t>
  </si>
  <si>
    <t>Cs15</t>
  </si>
  <si>
    <t>f</t>
  </si>
  <si>
    <t>Reynolds</t>
  </si>
  <si>
    <t>Vel</t>
  </si>
  <si>
    <t>Mfr</t>
  </si>
  <si>
    <t>CFD - Ansys</t>
  </si>
  <si>
    <t>V3 - Dimensions (nTopology)</t>
  </si>
  <si>
    <t>µ</t>
  </si>
  <si>
    <t>ρ</t>
  </si>
  <si>
    <t>Water Properties</t>
  </si>
  <si>
    <t>Experimental - Escalonado</t>
  </si>
  <si>
    <t>Experimental - Contínuo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</si>
</sst>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2"/>
      <color theme="1"/>
      <name val="Arial"/>
      <family val="2"/>
    </font>
    <font>
      <sz val="48"/>
      <color theme="1"/>
      <name val="Arial"/>
      <family val="2"/>
    </font>
    <font>
      <u/>
      <sz val="11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11" fontId="0" fillId="0" borderId="0" xfId="0" applyNumberFormat="1"/>
    <xf numFmtId="11" fontId="2" fillId="3" borderId="1" xfId="0" applyNumberFormat="1" applyFont="1" applyFill="1" applyBorder="1"/>
    <xf numFmtId="11" fontId="2" fillId="3" borderId="6" xfId="0" applyNumberFormat="1" applyFont="1" applyFill="1" applyBorder="1"/>
    <xf numFmtId="0" fontId="0" fillId="0" borderId="0" xfId="0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11" fontId="1" fillId="2" borderId="2" xfId="0" applyNumberFormat="1" applyFont="1" applyFill="1" applyBorder="1" applyAlignment="1">
      <alignment horizontal="center"/>
    </xf>
    <xf numFmtId="11" fontId="2" fillId="2" borderId="3" xfId="0" applyNumberFormat="1" applyFont="1" applyFill="1" applyBorder="1" applyAlignment="1">
      <alignment horizontal="center" vertical="center"/>
    </xf>
    <xf numFmtId="11" fontId="2" fillId="2" borderId="4" xfId="0" applyNumberFormat="1" applyFont="1" applyFill="1" applyBorder="1" applyAlignment="1">
      <alignment horizontal="center" vertical="center"/>
    </xf>
    <xf numFmtId="11" fontId="2" fillId="2" borderId="5" xfId="0" applyNumberFormat="1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/>
    </xf>
    <xf numFmtId="11" fontId="2" fillId="3" borderId="8" xfId="0" applyNumberFormat="1" applyFont="1" applyFill="1" applyBorder="1"/>
    <xf numFmtId="11" fontId="2" fillId="3" borderId="9" xfId="0" applyNumberFormat="1" applyFont="1" applyFill="1" applyBorder="1"/>
    <xf numFmtId="2" fontId="2" fillId="5" borderId="12" xfId="0" applyNumberFormat="1" applyFont="1" applyFill="1" applyBorder="1" applyAlignment="1">
      <alignment horizontal="center" vertical="center"/>
    </xf>
    <xf numFmtId="2" fontId="2" fillId="11" borderId="12" xfId="0" applyNumberFormat="1" applyFont="1" applyFill="1" applyBorder="1" applyAlignment="1">
      <alignment horizontal="center" vertical="center"/>
    </xf>
    <xf numFmtId="2" fontId="2" fillId="12" borderId="12" xfId="0" applyNumberFormat="1" applyFont="1" applyFill="1" applyBorder="1" applyAlignment="1">
      <alignment horizontal="center" vertical="center"/>
    </xf>
    <xf numFmtId="2" fontId="2" fillId="14" borderId="12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2" fontId="7" fillId="3" borderId="12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6" fillId="18" borderId="18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11" fontId="5" fillId="18" borderId="18" xfId="0" applyNumberFormat="1" applyFont="1" applyFill="1" applyBorder="1" applyAlignment="1">
      <alignment horizontal="center" vertical="center"/>
    </xf>
    <xf numFmtId="11" fontId="5" fillId="18" borderId="19" xfId="0" applyNumberFormat="1" applyFont="1" applyFill="1" applyBorder="1" applyAlignment="1">
      <alignment horizontal="center" vertical="center"/>
    </xf>
    <xf numFmtId="11" fontId="5" fillId="18" borderId="20" xfId="0" applyNumberFormat="1" applyFont="1" applyFill="1" applyBorder="1" applyAlignment="1">
      <alignment horizontal="center" vertical="center"/>
    </xf>
    <xf numFmtId="11" fontId="3" fillId="17" borderId="7" xfId="0" applyNumberFormat="1" applyFont="1" applyFill="1" applyBorder="1" applyAlignment="1">
      <alignment horizontal="center"/>
    </xf>
    <xf numFmtId="11" fontId="3" fillId="17" borderId="8" xfId="0" applyNumberFormat="1" applyFont="1" applyFill="1" applyBorder="1" applyAlignment="1">
      <alignment horizontal="center"/>
    </xf>
    <xf numFmtId="11" fontId="3" fillId="17" borderId="9" xfId="0" applyNumberFormat="1" applyFont="1" applyFill="1" applyBorder="1" applyAlignment="1">
      <alignment horizontal="center"/>
    </xf>
    <xf numFmtId="11" fontId="4" fillId="18" borderId="2" xfId="0" applyNumberFormat="1" applyFont="1" applyFill="1" applyBorder="1" applyAlignment="1">
      <alignment horizontal="center"/>
    </xf>
    <xf numFmtId="11" fontId="4" fillId="18" borderId="3" xfId="0" applyNumberFormat="1" applyFont="1" applyFill="1" applyBorder="1" applyAlignment="1">
      <alignment horizontal="center"/>
    </xf>
    <xf numFmtId="11" fontId="4" fillId="18" borderId="4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/>
    </xf>
    <xf numFmtId="11" fontId="3" fillId="2" borderId="6" xfId="0" applyNumberFormat="1" applyFont="1" applyFill="1" applyBorder="1" applyAlignment="1">
      <alignment horizontal="center"/>
    </xf>
    <xf numFmtId="166" fontId="2" fillId="4" borderId="10" xfId="0" applyNumberFormat="1" applyFont="1" applyFill="1" applyBorder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7" fillId="3" borderId="10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2" fillId="7" borderId="10" xfId="0" applyNumberFormat="1" applyFont="1" applyFill="1" applyBorder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/>
    </xf>
    <xf numFmtId="166" fontId="2" fillId="10" borderId="10" xfId="0" applyNumberFormat="1" applyFont="1" applyFill="1" applyBorder="1" applyAlignment="1">
      <alignment horizontal="center" vertical="center"/>
    </xf>
    <xf numFmtId="166" fontId="2" fillId="11" borderId="10" xfId="0" applyNumberFormat="1" applyFont="1" applyFill="1" applyBorder="1" applyAlignment="1">
      <alignment horizontal="center" vertical="center"/>
    </xf>
    <xf numFmtId="166" fontId="2" fillId="13" borderId="10" xfId="0" applyNumberFormat="1" applyFont="1" applyFill="1" applyBorder="1" applyAlignment="1">
      <alignment horizontal="center" vertical="center"/>
    </xf>
    <xf numFmtId="166" fontId="2" fillId="12" borderId="10" xfId="0" applyNumberFormat="1" applyFont="1" applyFill="1" applyBorder="1" applyAlignment="1">
      <alignment horizontal="center" vertical="center"/>
    </xf>
    <xf numFmtId="166" fontId="2" fillId="15" borderId="10" xfId="0" applyNumberFormat="1" applyFont="1" applyFill="1" applyBorder="1" applyAlignment="1">
      <alignment horizontal="center" vertical="center"/>
    </xf>
    <xf numFmtId="166" fontId="2" fillId="14" borderId="10" xfId="0" applyNumberFormat="1" applyFont="1" applyFill="1" applyBorder="1" applyAlignment="1">
      <alignment horizontal="center" vertical="center"/>
    </xf>
    <xf numFmtId="1" fontId="2" fillId="10" borderId="12" xfId="0" applyNumberFormat="1" applyFont="1" applyFill="1" applyBorder="1" applyAlignment="1">
      <alignment horizontal="center" vertical="center"/>
    </xf>
    <xf numFmtId="1" fontId="2" fillId="11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15" borderId="12" xfId="0" applyNumberFormat="1" applyFont="1" applyFill="1" applyBorder="1" applyAlignment="1">
      <alignment horizontal="center" vertical="center"/>
    </xf>
    <xf numFmtId="1" fontId="2" fillId="14" borderId="12" xfId="0" applyNumberFormat="1" applyFont="1" applyFill="1" applyBorder="1" applyAlignment="1">
      <alignment horizontal="center" vertical="center"/>
    </xf>
    <xf numFmtId="1" fontId="2" fillId="13" borderId="12" xfId="0" applyNumberFormat="1" applyFont="1" applyFill="1" applyBorder="1" applyAlignment="1">
      <alignment horizontal="center" vertical="center"/>
    </xf>
    <xf numFmtId="1" fontId="2" fillId="12" borderId="12" xfId="0" applyNumberFormat="1" applyFont="1" applyFill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1" fontId="2" fillId="4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" fontId="7" fillId="3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66" fontId="0" fillId="0" borderId="0" xfId="0" applyNumberForma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microsoft.com/office/2022/11/relationships/FeaturePropertyBag" Target="featurePropertyBag/featurePropertyBag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 (Cs6)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00518755391758"/>
          <c:y val="0.17238444152814231"/>
          <c:w val="0.84591426071741027"/>
          <c:h val="0.72800087489063869"/>
        </c:manualLayout>
      </c:layout>
      <c:scatterChart>
        <c:scatterStyle val="lineMarker"/>
        <c:varyColors val="0"/>
        <c:ser>
          <c:idx val="1"/>
          <c:order val="0"/>
          <c:tx>
            <c:strRef>
              <c:f>CFD_Results!$E$3</c:f>
              <c:strCache>
                <c:ptCount val="1"/>
                <c:pt idx="0">
                  <c:v>f</c:v>
                </c:pt>
              </c:strCache>
            </c:strRef>
          </c:tx>
          <c:spPr>
            <a:ln w="2222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CFD_Results!$D$4:$D$23</c:f>
              <c:numCache>
                <c:formatCode>0</c:formatCode>
                <c:ptCount val="20"/>
                <c:pt idx="0">
                  <c:v>251.05176331316989</c:v>
                </c:pt>
                <c:pt idx="1">
                  <c:v>502.10352662633977</c:v>
                </c:pt>
                <c:pt idx="2">
                  <c:v>753.15528993950966</c:v>
                </c:pt>
                <c:pt idx="3">
                  <c:v>1004.2070532526795</c:v>
                </c:pt>
                <c:pt idx="4">
                  <c:v>1255.2588165658497</c:v>
                </c:pt>
                <c:pt idx="5">
                  <c:v>1506.3105798790193</c:v>
                </c:pt>
                <c:pt idx="6">
                  <c:v>1757.3623431921894</c:v>
                </c:pt>
                <c:pt idx="7">
                  <c:v>2008.4141065053591</c:v>
                </c:pt>
                <c:pt idx="8">
                  <c:v>2259.465869818529</c:v>
                </c:pt>
                <c:pt idx="9">
                  <c:v>2510.5176331316993</c:v>
                </c:pt>
                <c:pt idx="10">
                  <c:v>2761.5693964448687</c:v>
                </c:pt>
                <c:pt idx="11">
                  <c:v>3012.6211597580386</c:v>
                </c:pt>
                <c:pt idx="12">
                  <c:v>3263.672923071209</c:v>
                </c:pt>
                <c:pt idx="13">
                  <c:v>3514.7246863843789</c:v>
                </c:pt>
                <c:pt idx="14">
                  <c:v>3765.7764496975483</c:v>
                </c:pt>
                <c:pt idx="15">
                  <c:v>4016.8282130107182</c:v>
                </c:pt>
                <c:pt idx="16">
                  <c:v>4267.8799763238885</c:v>
                </c:pt>
                <c:pt idx="17">
                  <c:v>4518.9317396370579</c:v>
                </c:pt>
                <c:pt idx="18">
                  <c:v>4769.9835029502283</c:v>
                </c:pt>
                <c:pt idx="19">
                  <c:v>5021.0352662633986</c:v>
                </c:pt>
              </c:numCache>
            </c:numRef>
          </c:xVal>
          <c:yVal>
            <c:numRef>
              <c:f>CFD_Results!$E$4:$E$23</c:f>
              <c:numCache>
                <c:formatCode>0.000</c:formatCode>
                <c:ptCount val="20"/>
                <c:pt idx="0">
                  <c:v>1.1230846939274983</c:v>
                </c:pt>
                <c:pt idx="1">
                  <c:v>0.95229322445018916</c:v>
                </c:pt>
                <c:pt idx="2">
                  <c:v>0.87003984002123869</c:v>
                </c:pt>
                <c:pt idx="3">
                  <c:v>0.82166452036330462</c:v>
                </c:pt>
                <c:pt idx="4">
                  <c:v>0.78311562927351874</c:v>
                </c:pt>
                <c:pt idx="5">
                  <c:v>0.75830614715381139</c:v>
                </c:pt>
                <c:pt idx="6">
                  <c:v>0.7438198501315092</c:v>
                </c:pt>
                <c:pt idx="7">
                  <c:v>0.72831447169992314</c:v>
                </c:pt>
                <c:pt idx="8">
                  <c:v>0.71197440160561465</c:v>
                </c:pt>
                <c:pt idx="9">
                  <c:v>0.70175918258960035</c:v>
                </c:pt>
                <c:pt idx="10">
                  <c:v>0.68963547362719158</c:v>
                </c:pt>
                <c:pt idx="11">
                  <c:v>0.68331417434370523</c:v>
                </c:pt>
                <c:pt idx="12">
                  <c:v>0.67351574690195071</c:v>
                </c:pt>
                <c:pt idx="13">
                  <c:v>0.66493887898889037</c:v>
                </c:pt>
                <c:pt idx="14">
                  <c:v>0.66269074261215677</c:v>
                </c:pt>
                <c:pt idx="15">
                  <c:v>0.65412630391716697</c:v>
                </c:pt>
                <c:pt idx="16">
                  <c:v>0.64672179468811686</c:v>
                </c:pt>
                <c:pt idx="17">
                  <c:v>0.64486221571261892</c:v>
                </c:pt>
                <c:pt idx="18">
                  <c:v>0.64014084543105276</c:v>
                </c:pt>
                <c:pt idx="19">
                  <c:v>0.63364509613677966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3-4B47-BC98-B35BED36696B}"/>
            </c:ext>
          </c:extLst>
        </c:ser>
        <c:ser>
          <c:idx val="0"/>
          <c:order val="1"/>
          <c:tx>
            <c:strRef>
              <c:f>CFD_Results!$E$26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31750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CFD_Results!$D$27:$D$36</c:f>
              <c:numCache>
                <c:formatCode>0</c:formatCode>
                <c:ptCount val="10"/>
                <c:pt idx="0">
                  <c:v>1026.1991877189132</c:v>
                </c:pt>
                <c:pt idx="1">
                  <c:v>1408.1744455999012</c:v>
                </c:pt>
                <c:pt idx="2">
                  <c:v>1799.162461783832</c:v>
                </c:pt>
                <c:pt idx="3">
                  <c:v>2197.3054532221881</c:v>
                </c:pt>
                <c:pt idx="4">
                  <c:v>2588.2432590534563</c:v>
                </c:pt>
                <c:pt idx="5">
                  <c:v>2978.1768578314723</c:v>
                </c:pt>
                <c:pt idx="6">
                  <c:v>3389.8264341360768</c:v>
                </c:pt>
                <c:pt idx="7">
                  <c:v>3799.9948050371336</c:v>
                </c:pt>
                <c:pt idx="8">
                  <c:v>4202.1295195121693</c:v>
                </c:pt>
                <c:pt idx="9">
                  <c:v>4449.3652960229783</c:v>
                </c:pt>
              </c:numCache>
            </c:numRef>
          </c:xVal>
          <c:yVal>
            <c:numRef>
              <c:f>CFD_Results!$E$27:$E$36</c:f>
              <c:numCache>
                <c:formatCode>0.000</c:formatCode>
                <c:ptCount val="10"/>
                <c:pt idx="0">
                  <c:v>0.88192700309826344</c:v>
                </c:pt>
                <c:pt idx="1">
                  <c:v>0.82110627648799162</c:v>
                </c:pt>
                <c:pt idx="2">
                  <c:v>0.77756006000995648</c:v>
                </c:pt>
                <c:pt idx="3">
                  <c:v>0.7454611657460507</c:v>
                </c:pt>
                <c:pt idx="4">
                  <c:v>0.72457970217060974</c:v>
                </c:pt>
                <c:pt idx="5">
                  <c:v>0.7075073201448463</c:v>
                </c:pt>
                <c:pt idx="6">
                  <c:v>0.68381015629165998</c:v>
                </c:pt>
                <c:pt idx="7">
                  <c:v>0.66516849816937607</c:v>
                </c:pt>
                <c:pt idx="8">
                  <c:v>0.65269440458081818</c:v>
                </c:pt>
                <c:pt idx="9">
                  <c:v>0.64361767648428247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83-4B47-BC98-B35BED36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8464"/>
        <c:axId val="137877984"/>
      </c:scatterChart>
      <c:valAx>
        <c:axId val="1378784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77984"/>
        <c:crosses val="autoZero"/>
        <c:crossBetween val="midCat"/>
      </c:valAx>
      <c:valAx>
        <c:axId val="137877984"/>
        <c:scaling>
          <c:orientation val="minMax"/>
          <c:min val="0.60000000000000009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784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 (Cs8)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CFD_Results!$J$3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CFD_Results!$I$4:$I$23</c:f>
              <c:numCache>
                <c:formatCode>0</c:formatCode>
                <c:ptCount val="20"/>
                <c:pt idx="0">
                  <c:v>304.76497394831097</c:v>
                </c:pt>
                <c:pt idx="1">
                  <c:v>609.52994789662193</c:v>
                </c:pt>
                <c:pt idx="2">
                  <c:v>914.2949218449329</c:v>
                </c:pt>
                <c:pt idx="3">
                  <c:v>1219.0598957932439</c:v>
                </c:pt>
                <c:pt idx="4">
                  <c:v>1523.8248697415549</c:v>
                </c:pt>
                <c:pt idx="5">
                  <c:v>1828.5898436898658</c:v>
                </c:pt>
                <c:pt idx="6">
                  <c:v>2133.3548176381769</c:v>
                </c:pt>
                <c:pt idx="7">
                  <c:v>2438.1197915864877</c:v>
                </c:pt>
                <c:pt idx="8">
                  <c:v>2742.8847655347986</c:v>
                </c:pt>
                <c:pt idx="9">
                  <c:v>3047.6497394831099</c:v>
                </c:pt>
                <c:pt idx="10">
                  <c:v>3352.4147134314208</c:v>
                </c:pt>
                <c:pt idx="11">
                  <c:v>3657.1796873797316</c:v>
                </c:pt>
                <c:pt idx="12">
                  <c:v>3961.9446613280425</c:v>
                </c:pt>
                <c:pt idx="13">
                  <c:v>4266.7096352763538</c:v>
                </c:pt>
                <c:pt idx="14">
                  <c:v>4571.4746092246642</c:v>
                </c:pt>
                <c:pt idx="15">
                  <c:v>4876.2395831729755</c:v>
                </c:pt>
                <c:pt idx="16">
                  <c:v>5181.0045571212868</c:v>
                </c:pt>
                <c:pt idx="17">
                  <c:v>5485.7695310695972</c:v>
                </c:pt>
                <c:pt idx="18">
                  <c:v>5790.5345050179085</c:v>
                </c:pt>
                <c:pt idx="19">
                  <c:v>6095.2994789662198</c:v>
                </c:pt>
              </c:numCache>
            </c:numRef>
          </c:xVal>
          <c:yVal>
            <c:numRef>
              <c:f>CFD_Results!$J$4:$J$23</c:f>
              <c:numCache>
                <c:formatCode>0.000</c:formatCode>
                <c:ptCount val="20"/>
                <c:pt idx="0">
                  <c:v>0.90033324322915187</c:v>
                </c:pt>
                <c:pt idx="1">
                  <c:v>0.78672784509843441</c:v>
                </c:pt>
                <c:pt idx="2">
                  <c:v>0.74047344367640422</c:v>
                </c:pt>
                <c:pt idx="3">
                  <c:v>0.69352538124109087</c:v>
                </c:pt>
                <c:pt idx="4">
                  <c:v>0.67030440066124086</c:v>
                </c:pt>
                <c:pt idx="5">
                  <c:v>0.65689827131253686</c:v>
                </c:pt>
                <c:pt idx="6">
                  <c:v>0.64474173881281294</c:v>
                </c:pt>
                <c:pt idx="7">
                  <c:v>0.62056018680618363</c:v>
                </c:pt>
                <c:pt idx="8">
                  <c:v>0.62008960103186106</c:v>
                </c:pt>
                <c:pt idx="9">
                  <c:v>0.60011365651940507</c:v>
                </c:pt>
                <c:pt idx="10">
                  <c:v>0.60045762065822317</c:v>
                </c:pt>
                <c:pt idx="11">
                  <c:v>0.60217397181956556</c:v>
                </c:pt>
                <c:pt idx="12">
                  <c:v>0.59883552803173934</c:v>
                </c:pt>
                <c:pt idx="13">
                  <c:v>0.58585924299368497</c:v>
                </c:pt>
                <c:pt idx="14">
                  <c:v>0.59045665515012746</c:v>
                </c:pt>
                <c:pt idx="15">
                  <c:v>0.59317825738694963</c:v>
                </c:pt>
                <c:pt idx="16">
                  <c:v>0.58615569136956092</c:v>
                </c:pt>
                <c:pt idx="17">
                  <c:v>0.57545302434430701</c:v>
                </c:pt>
                <c:pt idx="18">
                  <c:v>0.55815778713152764</c:v>
                </c:pt>
                <c:pt idx="19">
                  <c:v>0.559703058494193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3-4E8C-8D96-8F87DED7720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CFD_Results!$I$27:$I$36</c:f>
              <c:numCache>
                <c:formatCode>0</c:formatCode>
                <c:ptCount val="10"/>
                <c:pt idx="0">
                  <c:v>1362.29943354895</c:v>
                </c:pt>
                <c:pt idx="1">
                  <c:v>1822.7993091848477</c:v>
                </c:pt>
                <c:pt idx="2">
                  <c:v>2317.4328619029566</c:v>
                </c:pt>
                <c:pt idx="3">
                  <c:v>2856.8668657914668</c:v>
                </c:pt>
                <c:pt idx="4">
                  <c:v>3334.7383449424183</c:v>
                </c:pt>
                <c:pt idx="5">
                  <c:v>3846.1339712276845</c:v>
                </c:pt>
                <c:pt idx="6">
                  <c:v>4389.2251548035747</c:v>
                </c:pt>
                <c:pt idx="7">
                  <c:v>4911.5923201509795</c:v>
                </c:pt>
                <c:pt idx="8">
                  <c:v>5419.0260017749169</c:v>
                </c:pt>
                <c:pt idx="9">
                  <c:v>5763.7151873104567</c:v>
                </c:pt>
              </c:numCache>
            </c:numRef>
          </c:xVal>
          <c:yVal>
            <c:numRef>
              <c:f>CFD_Results!$J$27:$J$36</c:f>
              <c:numCache>
                <c:formatCode>0.000</c:formatCode>
                <c:ptCount val="10"/>
                <c:pt idx="0">
                  <c:v>0.67911878304983297</c:v>
                </c:pt>
                <c:pt idx="1">
                  <c:v>0.64555702489220013</c:v>
                </c:pt>
                <c:pt idx="2">
                  <c:v>0.60849585135714135</c:v>
                </c:pt>
                <c:pt idx="3">
                  <c:v>0.56910923736712749</c:v>
                </c:pt>
                <c:pt idx="4">
                  <c:v>0.55856171695526347</c:v>
                </c:pt>
                <c:pt idx="5">
                  <c:v>0.54060555951788369</c:v>
                </c:pt>
                <c:pt idx="6">
                  <c:v>0.51572046705520536</c:v>
                </c:pt>
                <c:pt idx="7">
                  <c:v>0.5039386485241597</c:v>
                </c:pt>
                <c:pt idx="8">
                  <c:v>0.49166979697700824</c:v>
                </c:pt>
                <c:pt idx="9">
                  <c:v>0.48623807112173217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3-4E8C-8D96-8F87DED7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71456"/>
        <c:axId val="150169536"/>
      </c:scatterChart>
      <c:valAx>
        <c:axId val="1501714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69536"/>
        <c:crosses val="autoZero"/>
        <c:crossBetween val="midCat"/>
      </c:valAx>
      <c:valAx>
        <c:axId val="150169536"/>
        <c:scaling>
          <c:orientation val="minMax"/>
          <c:min val="0.45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71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</a:t>
            </a:r>
            <a:r>
              <a:rPr lang="pt-BR" baseline="0"/>
              <a:t> (Cs10)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CFD_Results!$O$3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CFD_Results!$N$4:$N$23</c:f>
              <c:numCache>
                <c:formatCode>0</c:formatCode>
                <c:ptCount val="20"/>
                <c:pt idx="0">
                  <c:v>344.82086718175037</c:v>
                </c:pt>
                <c:pt idx="1">
                  <c:v>689.64173436350075</c:v>
                </c:pt>
                <c:pt idx="2">
                  <c:v>1034.4626015452511</c:v>
                </c:pt>
                <c:pt idx="3">
                  <c:v>1379.2834687270015</c:v>
                </c:pt>
                <c:pt idx="4">
                  <c:v>1724.1043359087519</c:v>
                </c:pt>
                <c:pt idx="5">
                  <c:v>2068.9252030905022</c:v>
                </c:pt>
                <c:pt idx="6">
                  <c:v>2413.7460702722528</c:v>
                </c:pt>
                <c:pt idx="7">
                  <c:v>2758.566937454003</c:v>
                </c:pt>
                <c:pt idx="8">
                  <c:v>3103.3878046357531</c:v>
                </c:pt>
                <c:pt idx="9">
                  <c:v>3448.2086718175037</c:v>
                </c:pt>
                <c:pt idx="10">
                  <c:v>3793.0295389992539</c:v>
                </c:pt>
                <c:pt idx="11">
                  <c:v>4137.8504061810045</c:v>
                </c:pt>
                <c:pt idx="12">
                  <c:v>4482.6712733627555</c:v>
                </c:pt>
                <c:pt idx="13">
                  <c:v>4827.4921405445057</c:v>
                </c:pt>
                <c:pt idx="14">
                  <c:v>5172.3130077262558</c:v>
                </c:pt>
                <c:pt idx="15">
                  <c:v>5517.133874908006</c:v>
                </c:pt>
                <c:pt idx="16">
                  <c:v>5861.954742089757</c:v>
                </c:pt>
                <c:pt idx="17">
                  <c:v>6206.7756092715063</c:v>
                </c:pt>
                <c:pt idx="18">
                  <c:v>6551.5964764532573</c:v>
                </c:pt>
                <c:pt idx="19">
                  <c:v>6896.4173436350075</c:v>
                </c:pt>
              </c:numCache>
            </c:numRef>
          </c:xVal>
          <c:yVal>
            <c:numRef>
              <c:f>CFD_Results!$O$4:$O$23</c:f>
              <c:numCache>
                <c:formatCode>0.000</c:formatCode>
                <c:ptCount val="20"/>
                <c:pt idx="0">
                  <c:v>0.83644269009238492</c:v>
                </c:pt>
                <c:pt idx="1">
                  <c:v>0.7776917230885908</c:v>
                </c:pt>
                <c:pt idx="2">
                  <c:v>0.73505336210901029</c:v>
                </c:pt>
                <c:pt idx="3">
                  <c:v>0.70527169194667816</c:v>
                </c:pt>
                <c:pt idx="4">
                  <c:v>0.69627265056695287</c:v>
                </c:pt>
                <c:pt idx="5">
                  <c:v>0.67247171774633074</c:v>
                </c:pt>
                <c:pt idx="6">
                  <c:v>0.66398494927122476</c:v>
                </c:pt>
                <c:pt idx="7">
                  <c:v>0.64706799323488318</c:v>
                </c:pt>
                <c:pt idx="8">
                  <c:v>0.64648076630786555</c:v>
                </c:pt>
                <c:pt idx="9">
                  <c:v>0.64241711583588024</c:v>
                </c:pt>
                <c:pt idx="10">
                  <c:v>0.63820651005328932</c:v>
                </c:pt>
                <c:pt idx="11">
                  <c:v>0.62645863597530982</c:v>
                </c:pt>
                <c:pt idx="12">
                  <c:v>0.61969661654228902</c:v>
                </c:pt>
                <c:pt idx="13">
                  <c:v>0.60504348704731536</c:v>
                </c:pt>
                <c:pt idx="14">
                  <c:v>0.59374535774201176</c:v>
                </c:pt>
                <c:pt idx="15">
                  <c:v>0.58781671825457482</c:v>
                </c:pt>
                <c:pt idx="16">
                  <c:v>0.57761313040832607</c:v>
                </c:pt>
                <c:pt idx="17">
                  <c:v>0.58425232773686853</c:v>
                </c:pt>
                <c:pt idx="18">
                  <c:v>0.57965419889615455</c:v>
                </c:pt>
                <c:pt idx="19">
                  <c:v>0.5762102956658397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4-452A-B478-E1608639C966}"/>
            </c:ext>
          </c:extLst>
        </c:ser>
        <c:ser>
          <c:idx val="0"/>
          <c:order val="1"/>
          <c:tx>
            <c:strRef>
              <c:f>CFD_Results!$O$26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CFD_Results!$N$27:$N$36</c:f>
              <c:numCache>
                <c:formatCode>0</c:formatCode>
                <c:ptCount val="10"/>
                <c:pt idx="0">
                  <c:v>1529.6253668182446</c:v>
                </c:pt>
                <c:pt idx="1">
                  <c:v>2100.9935437384052</c:v>
                </c:pt>
                <c:pt idx="2">
                  <c:v>2682.3615258068362</c:v>
                </c:pt>
                <c:pt idx="3">
                  <c:v>3253.3848818598149</c:v>
                </c:pt>
                <c:pt idx="4">
                  <c:v>3828.5460883189744</c:v>
                </c:pt>
                <c:pt idx="5">
                  <c:v>4428.5343972152195</c:v>
                </c:pt>
                <c:pt idx="6">
                  <c:v>5036.7984069238273</c:v>
                </c:pt>
                <c:pt idx="7">
                  <c:v>5634.3729697498011</c:v>
                </c:pt>
                <c:pt idx="8">
                  <c:v>6199.879191927871</c:v>
                </c:pt>
                <c:pt idx="9">
                  <c:v>6615.3883368818806</c:v>
                </c:pt>
              </c:numCache>
            </c:numRef>
          </c:xVal>
          <c:yVal>
            <c:numRef>
              <c:f>CFD_Results!$O$27:$O$36</c:f>
              <c:numCache>
                <c:formatCode>0.000</c:formatCode>
                <c:ptCount val="10"/>
                <c:pt idx="0">
                  <c:v>0.66144379617213656</c:v>
                </c:pt>
                <c:pt idx="1">
                  <c:v>0.60203182810776934</c:v>
                </c:pt>
                <c:pt idx="2">
                  <c:v>0.56361910750851607</c:v>
                </c:pt>
                <c:pt idx="3">
                  <c:v>0.54467071023307589</c:v>
                </c:pt>
                <c:pt idx="4">
                  <c:v>0.52022761829855446</c:v>
                </c:pt>
                <c:pt idx="5">
                  <c:v>0.49656392954568312</c:v>
                </c:pt>
                <c:pt idx="6">
                  <c:v>0.47553929709936676</c:v>
                </c:pt>
                <c:pt idx="7">
                  <c:v>0.4632087077895814</c:v>
                </c:pt>
                <c:pt idx="8">
                  <c:v>0.45395004859573318</c:v>
                </c:pt>
                <c:pt idx="9">
                  <c:v>0.4546818291318041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4-452A-B478-E1608639C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15184"/>
        <c:axId val="151614704"/>
      </c:scatterChart>
      <c:valAx>
        <c:axId val="1516151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4704"/>
        <c:crosses val="autoZero"/>
        <c:crossBetween val="midCat"/>
      </c:valAx>
      <c:valAx>
        <c:axId val="151614704"/>
        <c:scaling>
          <c:orientation val="minMax"/>
          <c:min val="0.4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5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</a:t>
            </a:r>
            <a:r>
              <a:rPr lang="pt-BR" baseline="0"/>
              <a:t> (Cs12)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CFD_Results!$T$3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CFD_Results!$S$4:$S$23</c:f>
              <c:numCache>
                <c:formatCode>0</c:formatCode>
                <c:ptCount val="20"/>
                <c:pt idx="0">
                  <c:v>385.11570925395165</c:v>
                </c:pt>
                <c:pt idx="1">
                  <c:v>770.2314185079033</c:v>
                </c:pt>
                <c:pt idx="2">
                  <c:v>1155.3471277618548</c:v>
                </c:pt>
                <c:pt idx="3">
                  <c:v>1540.4628370158066</c:v>
                </c:pt>
                <c:pt idx="4">
                  <c:v>1925.5785462697584</c:v>
                </c:pt>
                <c:pt idx="5">
                  <c:v>2310.6942555237097</c:v>
                </c:pt>
                <c:pt idx="6">
                  <c:v>2695.8099647776617</c:v>
                </c:pt>
                <c:pt idx="7">
                  <c:v>3080.9256740316132</c:v>
                </c:pt>
                <c:pt idx="8">
                  <c:v>3466.0413832855647</c:v>
                </c:pt>
                <c:pt idx="9">
                  <c:v>3851.1570925395167</c:v>
                </c:pt>
                <c:pt idx="10">
                  <c:v>4236.2728017934687</c:v>
                </c:pt>
                <c:pt idx="11">
                  <c:v>4621.3885110474193</c:v>
                </c:pt>
                <c:pt idx="12">
                  <c:v>5006.5042203013718</c:v>
                </c:pt>
                <c:pt idx="13">
                  <c:v>5391.6199295553233</c:v>
                </c:pt>
                <c:pt idx="14">
                  <c:v>5776.7356388092749</c:v>
                </c:pt>
                <c:pt idx="15">
                  <c:v>6161.8513480632264</c:v>
                </c:pt>
                <c:pt idx="16">
                  <c:v>6546.9670573171788</c:v>
                </c:pt>
                <c:pt idx="17">
                  <c:v>6932.0827665711295</c:v>
                </c:pt>
                <c:pt idx="18">
                  <c:v>7317.198475825081</c:v>
                </c:pt>
                <c:pt idx="19">
                  <c:v>7702.3141850790335</c:v>
                </c:pt>
              </c:numCache>
            </c:numRef>
          </c:xVal>
          <c:yVal>
            <c:numRef>
              <c:f>CFD_Results!$T$4:$T$23</c:f>
              <c:numCache>
                <c:formatCode>0.000</c:formatCode>
                <c:ptCount val="20"/>
                <c:pt idx="0">
                  <c:v>0.74063776511542301</c:v>
                </c:pt>
                <c:pt idx="1">
                  <c:v>0.68210827458474388</c:v>
                </c:pt>
                <c:pt idx="2">
                  <c:v>0.65294378494181249</c:v>
                </c:pt>
                <c:pt idx="3">
                  <c:v>0.64569676639930595</c:v>
                </c:pt>
                <c:pt idx="4">
                  <c:v>0.61483460054088024</c:v>
                </c:pt>
                <c:pt idx="5">
                  <c:v>0.59785482641445109</c:v>
                </c:pt>
                <c:pt idx="6">
                  <c:v>0.59915225728164534</c:v>
                </c:pt>
                <c:pt idx="7">
                  <c:v>0.60222756359350516</c:v>
                </c:pt>
                <c:pt idx="8">
                  <c:v>0.60324529919770498</c:v>
                </c:pt>
                <c:pt idx="9">
                  <c:v>0.58312628583496517</c:v>
                </c:pt>
                <c:pt idx="10">
                  <c:v>0.57331437087521819</c:v>
                </c:pt>
                <c:pt idx="11">
                  <c:v>0.55915099278533176</c:v>
                </c:pt>
                <c:pt idx="12">
                  <c:v>0.57945952243807564</c:v>
                </c:pt>
                <c:pt idx="13">
                  <c:v>0.56776101623903075</c:v>
                </c:pt>
                <c:pt idx="14">
                  <c:v>0.57337610384457227</c:v>
                </c:pt>
                <c:pt idx="15">
                  <c:v>0.56142677927842788</c:v>
                </c:pt>
                <c:pt idx="16">
                  <c:v>0.56380890321649002</c:v>
                </c:pt>
                <c:pt idx="17">
                  <c:v>0.5554935988348314</c:v>
                </c:pt>
                <c:pt idx="18">
                  <c:v>0.57107551544388857</c:v>
                </c:pt>
                <c:pt idx="19">
                  <c:v>0.56277611561273944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7-43BE-BC41-F3EF729A1023}"/>
            </c:ext>
          </c:extLst>
        </c:ser>
        <c:ser>
          <c:idx val="0"/>
          <c:order val="1"/>
          <c:tx>
            <c:strRef>
              <c:f>CFD_Results!$T$26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CFD_Results!$S$27:$S$36</c:f>
              <c:numCache>
                <c:formatCode>0</c:formatCode>
                <c:ptCount val="10"/>
                <c:pt idx="0">
                  <c:v>1726.8588402947191</c:v>
                </c:pt>
                <c:pt idx="1">
                  <c:v>2392.7239015948012</c:v>
                </c:pt>
                <c:pt idx="2">
                  <c:v>3037.0224831766627</c:v>
                </c:pt>
                <c:pt idx="3">
                  <c:v>3668.6122463531433</c:v>
                </c:pt>
                <c:pt idx="4">
                  <c:v>4332.5517291069564</c:v>
                </c:pt>
                <c:pt idx="5">
                  <c:v>4998.4167904070382</c:v>
                </c:pt>
                <c:pt idx="6">
                  <c:v>5642.7153719888993</c:v>
                </c:pt>
                <c:pt idx="7">
                  <c:v>6323.9850616591393</c:v>
                </c:pt>
                <c:pt idx="8">
                  <c:v>6998.7077842720628</c:v>
                </c:pt>
                <c:pt idx="9">
                  <c:v>7425.8011058346956</c:v>
                </c:pt>
              </c:numCache>
            </c:numRef>
          </c:xVal>
          <c:yVal>
            <c:numRef>
              <c:f>CFD_Results!$T$27:$T$36</c:f>
              <c:numCache>
                <c:formatCode>0.000</c:formatCode>
                <c:ptCount val="10"/>
                <c:pt idx="0">
                  <c:v>0.63405063909068027</c:v>
                </c:pt>
                <c:pt idx="1">
                  <c:v>0.54032985921411636</c:v>
                </c:pt>
                <c:pt idx="2">
                  <c:v>0.51198737616109957</c:v>
                </c:pt>
                <c:pt idx="3">
                  <c:v>0.50151734114054314</c:v>
                </c:pt>
                <c:pt idx="4">
                  <c:v>0.49048282375129537</c:v>
                </c:pt>
                <c:pt idx="5">
                  <c:v>0.47085287102666035</c:v>
                </c:pt>
                <c:pt idx="6">
                  <c:v>0.46041582447805318</c:v>
                </c:pt>
                <c:pt idx="7">
                  <c:v>0.43908478159656739</c:v>
                </c:pt>
                <c:pt idx="8">
                  <c:v>0.42426249541640981</c:v>
                </c:pt>
                <c:pt idx="9">
                  <c:v>0.42233843541187216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7-43BE-BC41-F3EF729A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93360"/>
        <c:axId val="1349290000"/>
      </c:scatterChart>
      <c:valAx>
        <c:axId val="13492933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290000"/>
        <c:crosses val="autoZero"/>
        <c:crossBetween val="midCat"/>
      </c:valAx>
      <c:valAx>
        <c:axId val="1349290000"/>
        <c:scaling>
          <c:orientation val="minMax"/>
          <c:min val="0.35000000000000003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2933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</a:t>
            </a:r>
            <a:r>
              <a:rPr lang="pt-BR" baseline="0"/>
              <a:t> x Reynolds (Cs15)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CFD_Results!$Y$3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CFD_Results!$X$4:$X$23</c:f>
              <c:numCache>
                <c:formatCode>0</c:formatCode>
                <c:ptCount val="20"/>
                <c:pt idx="0">
                  <c:v>441.38045528328155</c:v>
                </c:pt>
                <c:pt idx="1">
                  <c:v>882.7609105665631</c:v>
                </c:pt>
                <c:pt idx="2">
                  <c:v>1324.1413658498445</c:v>
                </c:pt>
                <c:pt idx="3">
                  <c:v>1765.5218211331262</c:v>
                </c:pt>
                <c:pt idx="4">
                  <c:v>2206.9022764164079</c:v>
                </c:pt>
                <c:pt idx="5">
                  <c:v>2648.2827316996891</c:v>
                </c:pt>
                <c:pt idx="6">
                  <c:v>3089.6631869829712</c:v>
                </c:pt>
                <c:pt idx="7">
                  <c:v>3531.0436422662524</c:v>
                </c:pt>
                <c:pt idx="8">
                  <c:v>3972.4240975495336</c:v>
                </c:pt>
                <c:pt idx="9">
                  <c:v>4413.8045528328157</c:v>
                </c:pt>
                <c:pt idx="10">
                  <c:v>4855.1850081160974</c:v>
                </c:pt>
                <c:pt idx="11">
                  <c:v>5296.5654633993781</c:v>
                </c:pt>
                <c:pt idx="12">
                  <c:v>5737.9459186826607</c:v>
                </c:pt>
                <c:pt idx="13">
                  <c:v>6179.3263739659424</c:v>
                </c:pt>
                <c:pt idx="14">
                  <c:v>6620.7068292492222</c:v>
                </c:pt>
                <c:pt idx="15">
                  <c:v>7062.0872845325048</c:v>
                </c:pt>
                <c:pt idx="16">
                  <c:v>7503.4677398157864</c:v>
                </c:pt>
                <c:pt idx="17">
                  <c:v>7944.8481950990672</c:v>
                </c:pt>
                <c:pt idx="18">
                  <c:v>8386.2286503823489</c:v>
                </c:pt>
                <c:pt idx="19">
                  <c:v>8827.6091056656314</c:v>
                </c:pt>
              </c:numCache>
            </c:numRef>
          </c:xVal>
          <c:yVal>
            <c:numRef>
              <c:f>CFD_Results!$Y$4:$Y$23</c:f>
              <c:numCache>
                <c:formatCode>0.000</c:formatCode>
                <c:ptCount val="20"/>
                <c:pt idx="0">
                  <c:v>0.70721954309597934</c:v>
                </c:pt>
                <c:pt idx="1">
                  <c:v>0.68488528536470217</c:v>
                </c:pt>
                <c:pt idx="2">
                  <c:v>0.65618705492837992</c:v>
                </c:pt>
                <c:pt idx="3">
                  <c:v>0.61952117935368856</c:v>
                </c:pt>
                <c:pt idx="4">
                  <c:v>0.65608764955300625</c:v>
                </c:pt>
                <c:pt idx="5">
                  <c:v>0.59759874389181655</c:v>
                </c:pt>
                <c:pt idx="6">
                  <c:v>0.58519170271517962</c:v>
                </c:pt>
                <c:pt idx="7">
                  <c:v>0.59579987429600789</c:v>
                </c:pt>
                <c:pt idx="8">
                  <c:v>0.61701209526156109</c:v>
                </c:pt>
                <c:pt idx="9">
                  <c:v>0.60237223059088274</c:v>
                </c:pt>
                <c:pt idx="10">
                  <c:v>0.60180155085282105</c:v>
                </c:pt>
                <c:pt idx="11">
                  <c:v>0.61439875950024947</c:v>
                </c:pt>
                <c:pt idx="12">
                  <c:v>0.55611671629316795</c:v>
                </c:pt>
                <c:pt idx="13">
                  <c:v>0.56083200353338725</c:v>
                </c:pt>
                <c:pt idx="14">
                  <c:v>0.54133327274918897</c:v>
                </c:pt>
                <c:pt idx="15">
                  <c:v>0.5660376957013894</c:v>
                </c:pt>
                <c:pt idx="16">
                  <c:v>0.56881340827565763</c:v>
                </c:pt>
                <c:pt idx="17">
                  <c:v>0.56183196852352357</c:v>
                </c:pt>
                <c:pt idx="18">
                  <c:v>0.56263869552261769</c:v>
                </c:pt>
                <c:pt idx="19">
                  <c:v>0.55433965464438162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F-48B9-BB04-C90F50BD77CA}"/>
            </c:ext>
          </c:extLst>
        </c:ser>
        <c:ser>
          <c:idx val="0"/>
          <c:order val="1"/>
          <c:tx>
            <c:strRef>
              <c:f>CFD_Results!$Y$26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powe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CFD_Results!$X$27:$X$36</c:f>
              <c:numCache>
                <c:formatCode>0</c:formatCode>
                <c:ptCount val="10"/>
                <c:pt idx="0">
                  <c:v>2019.7302130456737</c:v>
                </c:pt>
                <c:pt idx="1">
                  <c:v>2754.7891730760771</c:v>
                </c:pt>
                <c:pt idx="2">
                  <c:v>3526.0413304397084</c:v>
                </c:pt>
                <c:pt idx="3">
                  <c:v>4305.8535936027747</c:v>
                </c:pt>
                <c:pt idx="4">
                  <c:v>5057.4175076277097</c:v>
                </c:pt>
                <c:pt idx="5">
                  <c:v>5834.7553652081278</c:v>
                </c:pt>
                <c:pt idx="6">
                  <c:v>6608.6691804687716</c:v>
                </c:pt>
                <c:pt idx="7">
                  <c:v>7388.1336893337311</c:v>
                </c:pt>
                <c:pt idx="8">
                  <c:v>8172.2795060577637</c:v>
                </c:pt>
                <c:pt idx="9">
                  <c:v>8678.0212568205334</c:v>
                </c:pt>
              </c:numCache>
            </c:numRef>
          </c:xVal>
          <c:yVal>
            <c:numRef>
              <c:f>CFD_Results!$Y$27:$Y$36</c:f>
              <c:numCache>
                <c:formatCode>0.000</c:formatCode>
                <c:ptCount val="10"/>
                <c:pt idx="0">
                  <c:v>0.67357466123075416</c:v>
                </c:pt>
                <c:pt idx="1">
                  <c:v>0.60839484099168306</c:v>
                </c:pt>
                <c:pt idx="2">
                  <c:v>0.56154914555513069</c:v>
                </c:pt>
                <c:pt idx="3">
                  <c:v>0.52860462582876655</c:v>
                </c:pt>
                <c:pt idx="4">
                  <c:v>0.50451071386289259</c:v>
                </c:pt>
                <c:pt idx="5">
                  <c:v>0.48524286379124681</c:v>
                </c:pt>
                <c:pt idx="6">
                  <c:v>0.4691741443637984</c:v>
                </c:pt>
                <c:pt idx="7">
                  <c:v>0.45660475174041765</c:v>
                </c:pt>
                <c:pt idx="8">
                  <c:v>0.44599239880780833</c:v>
                </c:pt>
                <c:pt idx="9">
                  <c:v>0.44318555622170491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DF-48B9-BB04-C90F50BD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0960"/>
        <c:axId val="47639520"/>
      </c:scatterChart>
      <c:valAx>
        <c:axId val="47640960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39520"/>
        <c:crosses val="autoZero"/>
        <c:crossBetween val="midCat"/>
        <c:majorUnit val="2000"/>
      </c:valAx>
      <c:valAx>
        <c:axId val="47639520"/>
        <c:scaling>
          <c:orientation val="minMax"/>
          <c:min val="0.4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409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673D62-01AE-4494-99ED-0C85D3271EAC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CED8BE-CA73-424B-80AB-76D7A956A769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4FD7D5-23D9-45F4-B076-7B1B85836ADF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35CEF4-4470-4610-9643-017ED00F31C2}">
  <sheetPr/>
  <sheetViews>
    <sheetView zoomScale="20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BF561A-FF8B-4E4A-B71A-44320BFE54EB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68CF81-CDB8-2339-8E89-3E5FA71389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049556-BDCD-89F7-203F-8362ED94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ED92C8-FA01-6EBE-80CD-8709C9111C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5805" cy="601701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D72BC9-5B35-53E0-6304-A8F7614767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B63136-76D5-CBED-B67F-56792655B4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112058</xdr:colOff>
      <xdr:row>11</xdr:row>
      <xdr:rowOff>124385</xdr:rowOff>
    </xdr:from>
    <xdr:to>
      <xdr:col>31</xdr:col>
      <xdr:colOff>21450</xdr:colOff>
      <xdr:row>15</xdr:row>
      <xdr:rowOff>23608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920AE57-09AC-4939-8D3C-707B9796A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36587" y="3587003"/>
          <a:ext cx="3069451" cy="885340"/>
        </a:xfrm>
        <a:prstGeom prst="rect">
          <a:avLst/>
        </a:prstGeom>
      </xdr:spPr>
    </xdr:pic>
    <xdr:clientData/>
  </xdr:twoCellAnchor>
  <xdr:twoCellAnchor editAs="oneCell">
    <xdr:from>
      <xdr:col>26</xdr:col>
      <xdr:colOff>168088</xdr:colOff>
      <xdr:row>15</xdr:row>
      <xdr:rowOff>132994</xdr:rowOff>
    </xdr:from>
    <xdr:to>
      <xdr:col>30</xdr:col>
      <xdr:colOff>230045</xdr:colOff>
      <xdr:row>20</xdr:row>
      <xdr:rowOff>54743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AFCA658-8B86-E32A-5177-5D49BE917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92617" y="4581729"/>
          <a:ext cx="2583281" cy="115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168089</xdr:colOff>
      <xdr:row>21</xdr:row>
      <xdr:rowOff>126066</xdr:rowOff>
    </xdr:from>
    <xdr:to>
      <xdr:col>30</xdr:col>
      <xdr:colOff>172366</xdr:colOff>
      <xdr:row>23</xdr:row>
      <xdr:rowOff>278555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AA9041D-824D-05F5-D08B-04635CF85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892618" y="6053978"/>
          <a:ext cx="2525601" cy="645548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61465-4395-4E29-A961-1D0F9E8FFC44}">
  <dimension ref="A1:AG84"/>
  <sheetViews>
    <sheetView tabSelected="1" topLeftCell="A14" zoomScale="85" zoomScaleNormal="85" workbookViewId="0">
      <selection activeCell="S27" sqref="S27:T36"/>
    </sheetView>
  </sheetViews>
  <sheetFormatPr defaultRowHeight="15" x14ac:dyDescent="0.25"/>
  <cols>
    <col min="1" max="3" width="8.7109375" style="4" customWidth="1"/>
    <col min="4" max="4" width="8.7109375" style="95" customWidth="1"/>
    <col min="5" max="5" width="8.7109375" style="84" customWidth="1"/>
    <col min="6" max="8" width="8.7109375" style="4" customWidth="1"/>
    <col min="9" max="9" width="8.7109375" style="95" customWidth="1"/>
    <col min="10" max="10" width="8.7109375" style="84" customWidth="1"/>
    <col min="11" max="13" width="8.7109375" style="4" customWidth="1"/>
    <col min="14" max="14" width="8.7109375" style="95" customWidth="1"/>
    <col min="15" max="15" width="8.7109375" style="84" customWidth="1"/>
    <col min="16" max="18" width="8.7109375" style="4" customWidth="1"/>
    <col min="19" max="19" width="8.7109375" style="95" customWidth="1"/>
    <col min="20" max="20" width="8.7109375" style="84" customWidth="1"/>
    <col min="21" max="23" width="8.7109375" style="4" customWidth="1"/>
    <col min="24" max="24" width="8.7109375" style="95" customWidth="1"/>
    <col min="25" max="25" width="8.7109375" style="84" customWidth="1"/>
    <col min="26" max="26" width="2.42578125" customWidth="1"/>
    <col min="27" max="27" width="9.140625" style="1"/>
    <col min="28" max="33" width="9.5703125" style="1" customWidth="1"/>
  </cols>
  <sheetData>
    <row r="1" spans="1:33" ht="78.75" customHeight="1" thickBot="1" x14ac:dyDescent="0.3">
      <c r="A1" s="53" t="s">
        <v>23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5"/>
      <c r="AA1" s="68" t="s">
        <v>24</v>
      </c>
      <c r="AB1" s="69"/>
      <c r="AC1" s="69"/>
      <c r="AD1" s="69"/>
      <c r="AE1" s="69"/>
      <c r="AF1" s="69"/>
      <c r="AG1" s="70"/>
    </row>
    <row r="2" spans="1:33" ht="20.100000000000001" customHeight="1" x14ac:dyDescent="0.25">
      <c r="A2" s="50" t="s">
        <v>14</v>
      </c>
      <c r="B2" s="51"/>
      <c r="C2" s="51"/>
      <c r="D2" s="51"/>
      <c r="E2" s="52"/>
      <c r="F2" s="56" t="s">
        <v>15</v>
      </c>
      <c r="G2" s="57"/>
      <c r="H2" s="57"/>
      <c r="I2" s="57"/>
      <c r="J2" s="58"/>
      <c r="K2" s="59" t="s">
        <v>16</v>
      </c>
      <c r="L2" s="60"/>
      <c r="M2" s="60"/>
      <c r="N2" s="60"/>
      <c r="O2" s="61"/>
      <c r="P2" s="62" t="s">
        <v>17</v>
      </c>
      <c r="Q2" s="63"/>
      <c r="R2" s="63"/>
      <c r="S2" s="63"/>
      <c r="T2" s="64"/>
      <c r="U2" s="65" t="s">
        <v>18</v>
      </c>
      <c r="V2" s="66"/>
      <c r="W2" s="66"/>
      <c r="X2" s="66"/>
      <c r="Y2" s="67"/>
      <c r="AA2" s="36" t="s">
        <v>10</v>
      </c>
      <c r="AB2" s="37" t="s">
        <v>0</v>
      </c>
      <c r="AC2" s="37" t="s">
        <v>1</v>
      </c>
      <c r="AD2" s="37" t="s">
        <v>2</v>
      </c>
      <c r="AE2" s="37" t="s">
        <v>3</v>
      </c>
      <c r="AF2" s="37" t="s">
        <v>4</v>
      </c>
      <c r="AG2" s="38" t="s">
        <v>5</v>
      </c>
    </row>
    <row r="3" spans="1:33" ht="20.100000000000001" customHeight="1" x14ac:dyDescent="0.25">
      <c r="A3" s="9" t="s">
        <v>22</v>
      </c>
      <c r="B3" s="15" t="s">
        <v>13</v>
      </c>
      <c r="C3" s="15" t="s">
        <v>21</v>
      </c>
      <c r="D3" s="102" t="s">
        <v>20</v>
      </c>
      <c r="E3" s="81" t="s">
        <v>19</v>
      </c>
      <c r="F3" s="10" t="s">
        <v>22</v>
      </c>
      <c r="G3" s="17" t="s">
        <v>13</v>
      </c>
      <c r="H3" s="17" t="s">
        <v>21</v>
      </c>
      <c r="I3" s="100" t="s">
        <v>20</v>
      </c>
      <c r="J3" s="85" t="s">
        <v>19</v>
      </c>
      <c r="K3" s="11" t="s">
        <v>22</v>
      </c>
      <c r="L3" s="19" t="s">
        <v>13</v>
      </c>
      <c r="M3" s="19" t="s">
        <v>21</v>
      </c>
      <c r="N3" s="93" t="s">
        <v>20</v>
      </c>
      <c r="O3" s="87" t="s">
        <v>19</v>
      </c>
      <c r="P3" s="12" t="s">
        <v>22</v>
      </c>
      <c r="Q3" s="21" t="s">
        <v>13</v>
      </c>
      <c r="R3" s="21" t="s">
        <v>21</v>
      </c>
      <c r="S3" s="98" t="s">
        <v>20</v>
      </c>
      <c r="T3" s="89" t="s">
        <v>19</v>
      </c>
      <c r="U3" s="13" t="s">
        <v>12</v>
      </c>
      <c r="V3" s="23" t="s">
        <v>13</v>
      </c>
      <c r="W3" s="23" t="s">
        <v>21</v>
      </c>
      <c r="X3" s="96" t="s">
        <v>20</v>
      </c>
      <c r="Y3" s="91" t="s">
        <v>19</v>
      </c>
      <c r="AA3" s="39" t="s">
        <v>6</v>
      </c>
      <c r="AB3" s="2">
        <v>1.4820999999999999E-5</v>
      </c>
      <c r="AC3" s="2">
        <v>1.8128E-5</v>
      </c>
      <c r="AD3" s="2">
        <v>1.9519999999999999E-5</v>
      </c>
      <c r="AE3" s="2">
        <v>2.0140999999999999E-5</v>
      </c>
      <c r="AF3" s="2">
        <v>2.1401999999999999E-5</v>
      </c>
      <c r="AG3" s="3">
        <v>2.1603E-5</v>
      </c>
    </row>
    <row r="4" spans="1:33" ht="20.100000000000001" customHeight="1" x14ac:dyDescent="0.25">
      <c r="A4" s="14">
        <v>0.01</v>
      </c>
      <c r="B4" s="16">
        <v>366.04</v>
      </c>
      <c r="C4" s="35">
        <f>(A4)/($AD$11*$AC$5)</f>
        <v>6.6425106600118161E-2</v>
      </c>
      <c r="D4" s="103">
        <f>(A4*$AC$6)/($AA$11*$AC$5)</f>
        <v>251.05176331316989</v>
      </c>
      <c r="E4" s="82">
        <f>(B4*$AC$6)/(2*$AC$7*$AD$11*(C4^2))</f>
        <v>1.1230846939274983</v>
      </c>
      <c r="F4" s="5">
        <v>0.01</v>
      </c>
      <c r="G4" s="18">
        <v>193.61</v>
      </c>
      <c r="H4" s="43">
        <f>(F4)/($AD$11*$AD$5)</f>
        <v>6.1688234244208093E-2</v>
      </c>
      <c r="I4" s="101">
        <f>(F4*$AD$6)/($AA$11*$AD$5)</f>
        <v>304.76497394831097</v>
      </c>
      <c r="J4" s="86">
        <f>(G4*$AD$6)/(2*$AD$7*$AD$11*(H4^2))</f>
        <v>0.90033324322915187</v>
      </c>
      <c r="K4" s="6">
        <v>0.01</v>
      </c>
      <c r="L4" s="20">
        <v>144.72</v>
      </c>
      <c r="M4" s="44">
        <f>(K4)/($AD$11*$AE$5)</f>
        <v>5.9786223744945237E-2</v>
      </c>
      <c r="N4" s="94">
        <f>(K4*$AE$6)/($AA$11*$AE$5)</f>
        <v>344.82086718175037</v>
      </c>
      <c r="O4" s="88">
        <f>(L4*$AE$6)/(2*$AE$7*$AD$11*(M4^2))</f>
        <v>0.83644269009238492</v>
      </c>
      <c r="P4" s="7">
        <v>0.01</v>
      </c>
      <c r="Q4" s="22">
        <v>95.626999999999995</v>
      </c>
      <c r="R4" s="45">
        <f>(P4)/($AD$11*$AF$5)</f>
        <v>5.6263635755861234E-2</v>
      </c>
      <c r="S4" s="99">
        <f>(P4*$AF$6)/($AA$11*$AF$5)</f>
        <v>385.11570925395165</v>
      </c>
      <c r="T4" s="90">
        <f>(Q4*$AF$6)/(2*$AF$7*$AD$11*(R4^2))</f>
        <v>0.74063776511542301</v>
      </c>
      <c r="U4" s="8">
        <v>0.01</v>
      </c>
      <c r="V4" s="24">
        <v>77.468999999999994</v>
      </c>
      <c r="W4" s="46">
        <f>(U4)/($AD$11*$AG$5)</f>
        <v>5.5740144074755457E-2</v>
      </c>
      <c r="X4" s="97">
        <f>(U4*$AG$6)/($AA$11*$AG$5)</f>
        <v>441.38045528328155</v>
      </c>
      <c r="Y4" s="92">
        <f>(V4*$AG$6)/(2*$AG$7*$AD$11*(W4^2))</f>
        <v>0.70721954309597934</v>
      </c>
      <c r="AA4" s="39" t="s">
        <v>7</v>
      </c>
      <c r="AB4" s="2">
        <v>2.8851000000000002E-2</v>
      </c>
      <c r="AC4" s="2">
        <v>2.2395000000000002E-2</v>
      </c>
      <c r="AD4" s="2">
        <v>1.8447999999999999E-2</v>
      </c>
      <c r="AE4" s="2">
        <v>1.6305E-2</v>
      </c>
      <c r="AF4" s="2">
        <v>1.4599000000000001E-2</v>
      </c>
      <c r="AG4" s="3">
        <v>1.2737999999999999E-2</v>
      </c>
    </row>
    <row r="5" spans="1:33" ht="20.100000000000001" customHeight="1" x14ac:dyDescent="0.25">
      <c r="A5" s="14">
        <v>0.02</v>
      </c>
      <c r="B5" s="16">
        <v>1241.5</v>
      </c>
      <c r="C5" s="35">
        <f t="shared" ref="C5:C23" si="0">(A5)/($AD$11*$AC$5)</f>
        <v>0.13285021320023632</v>
      </c>
      <c r="D5" s="103">
        <f t="shared" ref="D5:D22" si="1">(A5*$AC$6)/($AA$11*$AC$5)</f>
        <v>502.10352662633977</v>
      </c>
      <c r="E5" s="82">
        <f t="shared" ref="E5:E23" si="2">(B5*$AC$6)/(2*$AC$7*$AD$11*(C5^2))</f>
        <v>0.95229322445018916</v>
      </c>
      <c r="F5" s="5">
        <v>0.02</v>
      </c>
      <c r="G5" s="18">
        <v>676.72</v>
      </c>
      <c r="H5" s="43">
        <f t="shared" ref="H5:H23" si="3">(F5)/($AD$11*$AD$5)</f>
        <v>0.12337646848841619</v>
      </c>
      <c r="I5" s="101">
        <f t="shared" ref="I5:I23" si="4">(F5*$AD$6)/($AA$11*$AD$5)</f>
        <v>609.52994789662193</v>
      </c>
      <c r="J5" s="86">
        <f t="shared" ref="J5:J23" si="5">(G5*$AD$6)/(2*$AD$7*$AD$11*(H5^2))</f>
        <v>0.78672784509843441</v>
      </c>
      <c r="K5" s="6">
        <v>0.02</v>
      </c>
      <c r="L5" s="20">
        <v>538.22</v>
      </c>
      <c r="M5" s="44">
        <f t="shared" ref="M5:M23" si="6">(K5)/($AD$11*$AE$5)</f>
        <v>0.11957244748989047</v>
      </c>
      <c r="N5" s="94">
        <f t="shared" ref="N5:N23" si="7">(K5*$AE$6)/($AA$11*$AE$5)</f>
        <v>689.64173436350075</v>
      </c>
      <c r="O5" s="88">
        <f t="shared" ref="O5:O23" si="8">(L5*$AE$6)/(2*$AE$7*$AD$11*(M5^2))</f>
        <v>0.7776917230885908</v>
      </c>
      <c r="P5" s="7">
        <v>0.02</v>
      </c>
      <c r="Q5" s="22">
        <v>352.28</v>
      </c>
      <c r="R5" s="45">
        <f t="shared" ref="R5:R23" si="9">(P5)/($AD$11*$AF$5)</f>
        <v>0.11252727151172247</v>
      </c>
      <c r="S5" s="99">
        <f t="shared" ref="S5:S23" si="10">(P5*$AF$6)/($AA$11*$AF$5)</f>
        <v>770.2314185079033</v>
      </c>
      <c r="T5" s="90">
        <f t="shared" ref="T5:T23" si="11">(Q5*$AF$6)/(2*$AF$7*$AD$11*(R5^2))</f>
        <v>0.68210827458474388</v>
      </c>
      <c r="U5" s="8">
        <v>0.02</v>
      </c>
      <c r="V5" s="24">
        <v>300.08999999999997</v>
      </c>
      <c r="W5" s="46">
        <f t="shared" ref="W5:W23" si="12">(U5)/($AD$11*$AG$5)</f>
        <v>0.11148028814951091</v>
      </c>
      <c r="X5" s="97">
        <f t="shared" ref="X5:X23" si="13">(U5*$AG$6)/($AA$11*$AG$5)</f>
        <v>882.7609105665631</v>
      </c>
      <c r="Y5" s="92">
        <f t="shared" ref="Y5:Y23" si="14">(V5*$AG$6)/(2*$AG$7*$AD$11*(W5^2))</f>
        <v>0.68488528536470217</v>
      </c>
      <c r="AA5" s="39" t="s">
        <v>8</v>
      </c>
      <c r="AB5" s="2">
        <f t="shared" ref="AB5:AG5" si="15">(AB3/AB7)</f>
        <v>1.2350833333333333E-4</v>
      </c>
      <c r="AC5" s="2">
        <f t="shared" si="15"/>
        <v>1.5106666666666666E-4</v>
      </c>
      <c r="AD5" s="2">
        <f t="shared" si="15"/>
        <v>1.6266666666666667E-4</v>
      </c>
      <c r="AE5" s="2">
        <f t="shared" si="15"/>
        <v>1.6784166666666668E-4</v>
      </c>
      <c r="AF5" s="2">
        <f t="shared" si="15"/>
        <v>1.7835E-4</v>
      </c>
      <c r="AG5" s="3">
        <f t="shared" si="15"/>
        <v>1.80025E-4</v>
      </c>
    </row>
    <row r="6" spans="1:33" ht="20.100000000000001" customHeight="1" x14ac:dyDescent="0.25">
      <c r="A6" s="14">
        <v>0.03</v>
      </c>
      <c r="B6" s="16">
        <v>2552.1</v>
      </c>
      <c r="C6" s="35">
        <f t="shared" si="0"/>
        <v>0.19927531980035448</v>
      </c>
      <c r="D6" s="103">
        <f t="shared" si="1"/>
        <v>753.15528993950966</v>
      </c>
      <c r="E6" s="82">
        <f t="shared" si="2"/>
        <v>0.87003984002123869</v>
      </c>
      <c r="F6" s="5">
        <v>0.03</v>
      </c>
      <c r="G6" s="18">
        <v>1433.1</v>
      </c>
      <c r="H6" s="43">
        <f t="shared" si="3"/>
        <v>0.18506470273262426</v>
      </c>
      <c r="I6" s="101">
        <f t="shared" si="4"/>
        <v>914.2949218449329</v>
      </c>
      <c r="J6" s="86">
        <f t="shared" si="5"/>
        <v>0.74047344367640422</v>
      </c>
      <c r="K6" s="6">
        <v>0.03</v>
      </c>
      <c r="L6" s="20">
        <v>1144.5999999999999</v>
      </c>
      <c r="M6" s="44">
        <f t="shared" si="6"/>
        <v>0.1793586712348357</v>
      </c>
      <c r="N6" s="94">
        <f t="shared" si="7"/>
        <v>1034.4626015452511</v>
      </c>
      <c r="O6" s="88">
        <f t="shared" si="8"/>
        <v>0.73505336210901029</v>
      </c>
      <c r="P6" s="7">
        <v>0.03</v>
      </c>
      <c r="Q6" s="22">
        <v>758.74</v>
      </c>
      <c r="R6" s="45">
        <f t="shared" si="9"/>
        <v>0.1687909072675837</v>
      </c>
      <c r="S6" s="99">
        <f t="shared" si="10"/>
        <v>1155.3471277618548</v>
      </c>
      <c r="T6" s="90">
        <f t="shared" si="11"/>
        <v>0.65294378494181249</v>
      </c>
      <c r="U6" s="8">
        <v>0.03</v>
      </c>
      <c r="V6" s="24">
        <v>646.91</v>
      </c>
      <c r="W6" s="46">
        <f t="shared" si="12"/>
        <v>0.16722043222426636</v>
      </c>
      <c r="X6" s="97">
        <f t="shared" si="13"/>
        <v>1324.1413658498445</v>
      </c>
      <c r="Y6" s="92">
        <f t="shared" si="14"/>
        <v>0.65618705492837992</v>
      </c>
      <c r="AA6" s="39" t="s">
        <v>9</v>
      </c>
      <c r="AB6" s="2">
        <f t="shared" ref="AB6:AG6" si="16">(4*AB3)/AB4</f>
        <v>2.0548334546462857E-3</v>
      </c>
      <c r="AC6" s="2">
        <f t="shared" si="16"/>
        <v>3.2378655949988834E-3</v>
      </c>
      <c r="AD6" s="2">
        <f t="shared" si="16"/>
        <v>4.2324371205550741E-3</v>
      </c>
      <c r="AE6" s="2">
        <f t="shared" si="16"/>
        <v>4.941061024225697E-3</v>
      </c>
      <c r="AF6" s="2">
        <f t="shared" si="16"/>
        <v>5.8639632851565171E-3</v>
      </c>
      <c r="AG6" s="3">
        <f t="shared" si="16"/>
        <v>6.7837965143664625E-3</v>
      </c>
    </row>
    <row r="7" spans="1:33" ht="20.100000000000001" customHeight="1" thickBot="1" x14ac:dyDescent="0.3">
      <c r="A7" s="14">
        <v>0.04</v>
      </c>
      <c r="B7" s="16">
        <v>4284.8</v>
      </c>
      <c r="C7" s="35">
        <f t="shared" si="0"/>
        <v>0.26570042640047264</v>
      </c>
      <c r="D7" s="103">
        <f t="shared" si="1"/>
        <v>1004.2070532526795</v>
      </c>
      <c r="E7" s="82">
        <f t="shared" si="2"/>
        <v>0.82166452036330462</v>
      </c>
      <c r="F7" s="5">
        <v>0.04</v>
      </c>
      <c r="G7" s="18">
        <v>2386.1999999999998</v>
      </c>
      <c r="H7" s="43">
        <f t="shared" si="3"/>
        <v>0.24675293697683237</v>
      </c>
      <c r="I7" s="101">
        <f t="shared" si="4"/>
        <v>1219.0598957932439</v>
      </c>
      <c r="J7" s="86">
        <f t="shared" si="5"/>
        <v>0.69352538124109087</v>
      </c>
      <c r="K7" s="6">
        <v>0.04</v>
      </c>
      <c r="L7" s="20">
        <v>1952.4</v>
      </c>
      <c r="M7" s="44">
        <f t="shared" si="6"/>
        <v>0.23914489497978095</v>
      </c>
      <c r="N7" s="94">
        <f t="shared" si="7"/>
        <v>1379.2834687270015</v>
      </c>
      <c r="O7" s="88">
        <f t="shared" si="8"/>
        <v>0.70527169194667816</v>
      </c>
      <c r="P7" s="7">
        <v>0.04</v>
      </c>
      <c r="Q7" s="22">
        <v>1333.9</v>
      </c>
      <c r="R7" s="45">
        <f t="shared" si="9"/>
        <v>0.22505454302344494</v>
      </c>
      <c r="S7" s="99">
        <f t="shared" si="10"/>
        <v>1540.4628370158066</v>
      </c>
      <c r="T7" s="90">
        <f t="shared" si="11"/>
        <v>0.64569676639930595</v>
      </c>
      <c r="U7" s="8">
        <v>0.04</v>
      </c>
      <c r="V7" s="24">
        <v>1085.8</v>
      </c>
      <c r="W7" s="46">
        <f t="shared" si="12"/>
        <v>0.22296057629902183</v>
      </c>
      <c r="X7" s="97">
        <f t="shared" si="13"/>
        <v>1765.5218211331262</v>
      </c>
      <c r="Y7" s="92">
        <f t="shared" si="14"/>
        <v>0.61952117935368856</v>
      </c>
      <c r="AA7" s="40" t="s">
        <v>11</v>
      </c>
      <c r="AB7" s="41">
        <f t="shared" ref="AB7:AG7" si="17">120/1000</f>
        <v>0.12</v>
      </c>
      <c r="AC7" s="41">
        <f t="shared" si="17"/>
        <v>0.12</v>
      </c>
      <c r="AD7" s="41">
        <f t="shared" si="17"/>
        <v>0.12</v>
      </c>
      <c r="AE7" s="41">
        <f t="shared" si="17"/>
        <v>0.12</v>
      </c>
      <c r="AF7" s="41">
        <f t="shared" si="17"/>
        <v>0.12</v>
      </c>
      <c r="AG7" s="42">
        <f t="shared" si="17"/>
        <v>0.12</v>
      </c>
    </row>
    <row r="8" spans="1:33" ht="20.100000000000001" customHeight="1" thickBot="1" x14ac:dyDescent="0.3">
      <c r="A8" s="14">
        <v>0.05</v>
      </c>
      <c r="B8" s="16">
        <v>6380.9</v>
      </c>
      <c r="C8" s="35">
        <f t="shared" si="0"/>
        <v>0.33212553300059083</v>
      </c>
      <c r="D8" s="103">
        <f t="shared" si="1"/>
        <v>1255.2588165658497</v>
      </c>
      <c r="E8" s="82">
        <f t="shared" si="2"/>
        <v>0.78311562927351874</v>
      </c>
      <c r="F8" s="5">
        <v>0.05</v>
      </c>
      <c r="G8" s="18">
        <v>3603.6</v>
      </c>
      <c r="H8" s="43">
        <f t="shared" si="3"/>
        <v>0.30844117122104048</v>
      </c>
      <c r="I8" s="101">
        <f t="shared" si="4"/>
        <v>1523.8248697415549</v>
      </c>
      <c r="J8" s="86">
        <f t="shared" si="5"/>
        <v>0.67030440066124086</v>
      </c>
      <c r="K8" s="6">
        <v>0.05</v>
      </c>
      <c r="L8" s="20">
        <v>3011.7</v>
      </c>
      <c r="M8" s="44">
        <f t="shared" si="6"/>
        <v>0.29893111872472616</v>
      </c>
      <c r="N8" s="94">
        <f t="shared" si="7"/>
        <v>1724.1043359087519</v>
      </c>
      <c r="O8" s="88">
        <f t="shared" si="8"/>
        <v>0.69627265056695287</v>
      </c>
      <c r="P8" s="7">
        <v>0.05</v>
      </c>
      <c r="Q8" s="22">
        <v>1984.6</v>
      </c>
      <c r="R8" s="45">
        <f t="shared" si="9"/>
        <v>0.28131817877930615</v>
      </c>
      <c r="S8" s="99">
        <f t="shared" si="10"/>
        <v>1925.5785462697584</v>
      </c>
      <c r="T8" s="90">
        <f t="shared" si="11"/>
        <v>0.61483460054088024</v>
      </c>
      <c r="U8" s="8">
        <v>0.05</v>
      </c>
      <c r="V8" s="24">
        <v>1796.7</v>
      </c>
      <c r="W8" s="46">
        <f t="shared" si="12"/>
        <v>0.2787007203737773</v>
      </c>
      <c r="X8" s="97">
        <f t="shared" si="13"/>
        <v>2206.9022764164079</v>
      </c>
      <c r="Y8" s="92">
        <f t="shared" si="14"/>
        <v>0.65608764955300625</v>
      </c>
    </row>
    <row r="9" spans="1:33" ht="20.100000000000001" customHeight="1" x14ac:dyDescent="0.3">
      <c r="A9" s="14">
        <v>0.06</v>
      </c>
      <c r="B9" s="16">
        <v>8897.4</v>
      </c>
      <c r="C9" s="35">
        <f t="shared" si="0"/>
        <v>0.39855063960070897</v>
      </c>
      <c r="D9" s="103">
        <f t="shared" si="1"/>
        <v>1506.3105798790193</v>
      </c>
      <c r="E9" s="82">
        <f t="shared" si="2"/>
        <v>0.75830614715381139</v>
      </c>
      <c r="F9" s="5">
        <v>0.06</v>
      </c>
      <c r="G9" s="18">
        <v>5085.3999999999996</v>
      </c>
      <c r="H9" s="43">
        <f t="shared" si="3"/>
        <v>0.37012940546524853</v>
      </c>
      <c r="I9" s="101">
        <f t="shared" si="4"/>
        <v>1828.5898436898658</v>
      </c>
      <c r="J9" s="86">
        <f t="shared" si="5"/>
        <v>0.65689827131253686</v>
      </c>
      <c r="K9" s="6">
        <v>0.06</v>
      </c>
      <c r="L9" s="20">
        <v>4188.6000000000004</v>
      </c>
      <c r="M9" s="44">
        <f t="shared" si="6"/>
        <v>0.35871734246967141</v>
      </c>
      <c r="N9" s="94">
        <f t="shared" si="7"/>
        <v>2068.9252030905022</v>
      </c>
      <c r="O9" s="88">
        <f t="shared" si="8"/>
        <v>0.67247171774633074</v>
      </c>
      <c r="P9" s="7">
        <v>0.06</v>
      </c>
      <c r="Q9" s="22">
        <v>2778.9</v>
      </c>
      <c r="R9" s="45">
        <f t="shared" si="9"/>
        <v>0.33758181453516739</v>
      </c>
      <c r="S9" s="99">
        <f t="shared" si="10"/>
        <v>2310.6942555237097</v>
      </c>
      <c r="T9" s="90">
        <f t="shared" si="11"/>
        <v>0.59785482641445109</v>
      </c>
      <c r="U9" s="8">
        <v>0.06</v>
      </c>
      <c r="V9" s="24">
        <v>2356.6</v>
      </c>
      <c r="W9" s="46">
        <f t="shared" si="12"/>
        <v>0.33444086444853272</v>
      </c>
      <c r="X9" s="97">
        <f t="shared" si="13"/>
        <v>2648.2827316996891</v>
      </c>
      <c r="Y9" s="92">
        <f t="shared" si="14"/>
        <v>0.59759874389181655</v>
      </c>
      <c r="AA9" s="74" t="s">
        <v>27</v>
      </c>
      <c r="AB9" s="75"/>
      <c r="AC9" s="75"/>
      <c r="AD9" s="75"/>
      <c r="AE9" s="75"/>
      <c r="AF9" s="76"/>
    </row>
    <row r="10" spans="1:33" ht="20.100000000000001" customHeight="1" x14ac:dyDescent="0.25">
      <c r="A10" s="14">
        <v>7.0000000000000007E-2</v>
      </c>
      <c r="B10" s="16">
        <v>11879</v>
      </c>
      <c r="C10" s="35">
        <f t="shared" si="0"/>
        <v>0.46497574620082721</v>
      </c>
      <c r="D10" s="103">
        <f t="shared" si="1"/>
        <v>1757.3623431921894</v>
      </c>
      <c r="E10" s="82">
        <f t="shared" si="2"/>
        <v>0.7438198501315092</v>
      </c>
      <c r="F10" s="5">
        <v>7.0000000000000007E-2</v>
      </c>
      <c r="G10" s="18">
        <v>6793.7</v>
      </c>
      <c r="H10" s="43">
        <f t="shared" si="3"/>
        <v>0.43181763970945669</v>
      </c>
      <c r="I10" s="101">
        <f t="shared" si="4"/>
        <v>2133.3548176381769</v>
      </c>
      <c r="J10" s="86">
        <f t="shared" si="5"/>
        <v>0.64474173881281294</v>
      </c>
      <c r="K10" s="6">
        <v>7.0000000000000007E-2</v>
      </c>
      <c r="L10" s="20">
        <v>5629.2</v>
      </c>
      <c r="M10" s="44">
        <f t="shared" si="6"/>
        <v>0.41850356621461671</v>
      </c>
      <c r="N10" s="94">
        <f t="shared" si="7"/>
        <v>2413.7460702722528</v>
      </c>
      <c r="O10" s="88">
        <f t="shared" si="8"/>
        <v>0.66398494927122476</v>
      </c>
      <c r="P10" s="7">
        <v>7.0000000000000007E-2</v>
      </c>
      <c r="Q10" s="22">
        <v>3790.6</v>
      </c>
      <c r="R10" s="45">
        <f t="shared" si="9"/>
        <v>0.39384545029102863</v>
      </c>
      <c r="S10" s="99">
        <f t="shared" si="10"/>
        <v>2695.8099647776617</v>
      </c>
      <c r="T10" s="90">
        <f t="shared" si="11"/>
        <v>0.59915225728164534</v>
      </c>
      <c r="U10" s="8">
        <v>7.0000000000000007E-2</v>
      </c>
      <c r="V10" s="24">
        <v>3141</v>
      </c>
      <c r="W10" s="46">
        <f t="shared" si="12"/>
        <v>0.39018100852328824</v>
      </c>
      <c r="X10" s="97">
        <f t="shared" si="13"/>
        <v>3089.6631869829712</v>
      </c>
      <c r="Y10" s="92">
        <f t="shared" si="14"/>
        <v>0.58519170271517962</v>
      </c>
      <c r="AA10" s="77" t="s">
        <v>25</v>
      </c>
      <c r="AB10" s="78"/>
      <c r="AC10" s="78"/>
      <c r="AD10" s="79" t="s">
        <v>26</v>
      </c>
      <c r="AE10" s="79"/>
      <c r="AF10" s="80"/>
    </row>
    <row r="11" spans="1:33" ht="20.100000000000001" customHeight="1" thickBot="1" x14ac:dyDescent="0.3">
      <c r="A11" s="14">
        <v>0.08</v>
      </c>
      <c r="B11" s="16">
        <v>15192</v>
      </c>
      <c r="C11" s="35">
        <f t="shared" si="0"/>
        <v>0.53140085280094529</v>
      </c>
      <c r="D11" s="103">
        <f t="shared" si="1"/>
        <v>2008.4141065053591</v>
      </c>
      <c r="E11" s="82">
        <f t="shared" si="2"/>
        <v>0.72831447169992314</v>
      </c>
      <c r="F11" s="5">
        <v>0.08</v>
      </c>
      <c r="G11" s="18">
        <v>8540.6</v>
      </c>
      <c r="H11" s="43">
        <f t="shared" si="3"/>
        <v>0.49350587395366474</v>
      </c>
      <c r="I11" s="101">
        <f t="shared" si="4"/>
        <v>2438.1197915864877</v>
      </c>
      <c r="J11" s="86">
        <f t="shared" si="5"/>
        <v>0.62056018680618363</v>
      </c>
      <c r="K11" s="6">
        <v>0.08</v>
      </c>
      <c r="L11" s="20">
        <v>7165.1</v>
      </c>
      <c r="M11" s="44">
        <f t="shared" si="6"/>
        <v>0.4782897899595619</v>
      </c>
      <c r="N11" s="94">
        <f t="shared" si="7"/>
        <v>2758.566937454003</v>
      </c>
      <c r="O11" s="88">
        <f t="shared" si="8"/>
        <v>0.64706799323488318</v>
      </c>
      <c r="P11" s="7">
        <v>0.08</v>
      </c>
      <c r="Q11" s="22">
        <v>4976.3999999999996</v>
      </c>
      <c r="R11" s="45">
        <f t="shared" si="9"/>
        <v>0.45010908604688987</v>
      </c>
      <c r="S11" s="99">
        <f t="shared" si="10"/>
        <v>3080.9256740316132</v>
      </c>
      <c r="T11" s="90">
        <f t="shared" si="11"/>
        <v>0.60222756359350516</v>
      </c>
      <c r="U11" s="8">
        <v>0.08</v>
      </c>
      <c r="V11" s="24">
        <v>4176.8999999999996</v>
      </c>
      <c r="W11" s="46">
        <f t="shared" si="12"/>
        <v>0.44592115259804366</v>
      </c>
      <c r="X11" s="97">
        <f t="shared" si="13"/>
        <v>3531.0436422662524</v>
      </c>
      <c r="Y11" s="92">
        <f t="shared" si="14"/>
        <v>0.59579987429600789</v>
      </c>
      <c r="AA11" s="71">
        <v>8.5374248628593903E-4</v>
      </c>
      <c r="AB11" s="72"/>
      <c r="AC11" s="72"/>
      <c r="AD11" s="72">
        <v>996.55</v>
      </c>
      <c r="AE11" s="72"/>
      <c r="AF11" s="73"/>
    </row>
    <row r="12" spans="1:33" ht="20.100000000000001" customHeight="1" x14ac:dyDescent="0.25">
      <c r="A12" s="14">
        <v>0.09</v>
      </c>
      <c r="B12" s="16">
        <v>18796</v>
      </c>
      <c r="C12" s="35">
        <f t="shared" si="0"/>
        <v>0.59782595940106342</v>
      </c>
      <c r="D12" s="103">
        <f t="shared" si="1"/>
        <v>2259.465869818529</v>
      </c>
      <c r="E12" s="82">
        <f t="shared" si="2"/>
        <v>0.71197440160561465</v>
      </c>
      <c r="F12" s="5">
        <v>0.09</v>
      </c>
      <c r="G12" s="18">
        <v>10801</v>
      </c>
      <c r="H12" s="43">
        <f t="shared" si="3"/>
        <v>0.55519410819787285</v>
      </c>
      <c r="I12" s="101">
        <f t="shared" si="4"/>
        <v>2742.8847655347986</v>
      </c>
      <c r="J12" s="86">
        <f t="shared" si="5"/>
        <v>0.62008960103186106</v>
      </c>
      <c r="K12" s="6">
        <v>0.09</v>
      </c>
      <c r="L12" s="20">
        <v>9060.1</v>
      </c>
      <c r="M12" s="44">
        <f t="shared" si="6"/>
        <v>0.53807601370450708</v>
      </c>
      <c r="N12" s="94">
        <f t="shared" si="7"/>
        <v>3103.3878046357531</v>
      </c>
      <c r="O12" s="88">
        <f t="shared" si="8"/>
        <v>0.64648076630786555</v>
      </c>
      <c r="P12" s="7">
        <v>0.09</v>
      </c>
      <c r="Q12" s="22">
        <v>6308.9</v>
      </c>
      <c r="R12" s="45">
        <f t="shared" si="9"/>
        <v>0.50637272180275106</v>
      </c>
      <c r="S12" s="99">
        <f t="shared" si="10"/>
        <v>3466.0413832855647</v>
      </c>
      <c r="T12" s="90">
        <f t="shared" si="11"/>
        <v>0.60324529919770498</v>
      </c>
      <c r="U12" s="8">
        <v>0.09</v>
      </c>
      <c r="V12" s="24">
        <v>5474.6</v>
      </c>
      <c r="W12" s="46">
        <f t="shared" si="12"/>
        <v>0.50166129667279913</v>
      </c>
      <c r="X12" s="97">
        <f t="shared" si="13"/>
        <v>3972.4240975495336</v>
      </c>
      <c r="Y12" s="92">
        <f t="shared" si="14"/>
        <v>0.61701209526156109</v>
      </c>
    </row>
    <row r="13" spans="1:33" ht="20.100000000000001" customHeight="1" x14ac:dyDescent="0.25">
      <c r="A13" s="14">
        <v>0.1</v>
      </c>
      <c r="B13" s="16">
        <v>22872</v>
      </c>
      <c r="C13" s="35">
        <f t="shared" si="0"/>
        <v>0.66425106600118167</v>
      </c>
      <c r="D13" s="103">
        <f t="shared" si="1"/>
        <v>2510.5176331316993</v>
      </c>
      <c r="E13" s="82">
        <f t="shared" si="2"/>
        <v>0.70175918258960035</v>
      </c>
      <c r="F13" s="5">
        <v>0.1</v>
      </c>
      <c r="G13" s="18">
        <v>12905</v>
      </c>
      <c r="H13" s="43">
        <f t="shared" si="3"/>
        <v>0.61688234244208096</v>
      </c>
      <c r="I13" s="101">
        <f t="shared" si="4"/>
        <v>3047.6497394831099</v>
      </c>
      <c r="J13" s="86">
        <f t="shared" si="5"/>
        <v>0.60011365651940507</v>
      </c>
      <c r="K13" s="6">
        <v>0.1</v>
      </c>
      <c r="L13" s="20">
        <v>11115</v>
      </c>
      <c r="M13" s="44">
        <f t="shared" si="6"/>
        <v>0.59786223744945233</v>
      </c>
      <c r="N13" s="94">
        <f t="shared" si="7"/>
        <v>3448.2086718175037</v>
      </c>
      <c r="O13" s="88">
        <f t="shared" si="8"/>
        <v>0.64241711583588024</v>
      </c>
      <c r="P13" s="7">
        <v>0.1</v>
      </c>
      <c r="Q13" s="22">
        <v>7529</v>
      </c>
      <c r="R13" s="45">
        <f t="shared" si="9"/>
        <v>0.5626363575586123</v>
      </c>
      <c r="S13" s="99">
        <f t="shared" si="10"/>
        <v>3851.1570925395167</v>
      </c>
      <c r="T13" s="90">
        <f t="shared" si="11"/>
        <v>0.58312628583496517</v>
      </c>
      <c r="U13" s="8">
        <v>0.1</v>
      </c>
      <c r="V13" s="24">
        <v>6598.4</v>
      </c>
      <c r="W13" s="46">
        <f t="shared" si="12"/>
        <v>0.5574014407475546</v>
      </c>
      <c r="X13" s="97">
        <f t="shared" si="13"/>
        <v>4413.8045528328157</v>
      </c>
      <c r="Y13" s="92">
        <f t="shared" si="14"/>
        <v>0.60237223059088274</v>
      </c>
    </row>
    <row r="14" spans="1:33" ht="20.100000000000001" customHeight="1" x14ac:dyDescent="0.25">
      <c r="A14" s="14">
        <v>0.11</v>
      </c>
      <c r="B14" s="16">
        <v>27197</v>
      </c>
      <c r="C14" s="35">
        <f t="shared" si="0"/>
        <v>0.7306761726012998</v>
      </c>
      <c r="D14" s="103">
        <f t="shared" si="1"/>
        <v>2761.5693964448687</v>
      </c>
      <c r="E14" s="82">
        <f t="shared" si="2"/>
        <v>0.68963547362719158</v>
      </c>
      <c r="F14" s="5">
        <v>0.11</v>
      </c>
      <c r="G14" s="18">
        <v>15624</v>
      </c>
      <c r="H14" s="43">
        <f t="shared" si="3"/>
        <v>0.67857057668628895</v>
      </c>
      <c r="I14" s="101">
        <f t="shared" si="4"/>
        <v>3352.4147134314208</v>
      </c>
      <c r="J14" s="86">
        <f t="shared" si="5"/>
        <v>0.60045762065822317</v>
      </c>
      <c r="K14" s="6">
        <v>0.11</v>
      </c>
      <c r="L14" s="20">
        <v>13361</v>
      </c>
      <c r="M14" s="44">
        <f t="shared" si="6"/>
        <v>0.65764846119439757</v>
      </c>
      <c r="N14" s="94">
        <f t="shared" si="7"/>
        <v>3793.0295389992539</v>
      </c>
      <c r="O14" s="88">
        <f t="shared" si="8"/>
        <v>0.63820651005328932</v>
      </c>
      <c r="P14" s="7">
        <v>0.11</v>
      </c>
      <c r="Q14" s="22">
        <v>8956.7999999999993</v>
      </c>
      <c r="R14" s="45">
        <f t="shared" si="9"/>
        <v>0.61889999331447354</v>
      </c>
      <c r="S14" s="99">
        <f t="shared" si="10"/>
        <v>4236.2728017934687</v>
      </c>
      <c r="T14" s="90">
        <f t="shared" si="11"/>
        <v>0.57331437087521819</v>
      </c>
      <c r="U14" s="8">
        <v>0.11</v>
      </c>
      <c r="V14" s="24">
        <v>7976.5</v>
      </c>
      <c r="W14" s="46">
        <f t="shared" si="12"/>
        <v>0.61314158482230996</v>
      </c>
      <c r="X14" s="97">
        <f t="shared" si="13"/>
        <v>4855.1850081160974</v>
      </c>
      <c r="Y14" s="92">
        <f t="shared" si="14"/>
        <v>0.60180155085282105</v>
      </c>
    </row>
    <row r="15" spans="1:33" ht="20.100000000000001" customHeight="1" x14ac:dyDescent="0.25">
      <c r="A15" s="14">
        <v>0.12</v>
      </c>
      <c r="B15" s="16">
        <v>32070</v>
      </c>
      <c r="C15" s="35">
        <f t="shared" si="0"/>
        <v>0.79710127920141793</v>
      </c>
      <c r="D15" s="103">
        <f t="shared" si="1"/>
        <v>3012.6211597580386</v>
      </c>
      <c r="E15" s="82">
        <f t="shared" si="2"/>
        <v>0.68331417434370523</v>
      </c>
      <c r="F15" s="5">
        <v>0.12</v>
      </c>
      <c r="G15" s="18">
        <v>18647</v>
      </c>
      <c r="H15" s="43">
        <f t="shared" si="3"/>
        <v>0.74025881093049706</v>
      </c>
      <c r="I15" s="101">
        <f t="shared" si="4"/>
        <v>3657.1796873797316</v>
      </c>
      <c r="J15" s="86">
        <f t="shared" si="5"/>
        <v>0.60217397181956556</v>
      </c>
      <c r="K15" s="6">
        <v>0.12</v>
      </c>
      <c r="L15" s="20">
        <v>15608</v>
      </c>
      <c r="M15" s="44">
        <f t="shared" si="6"/>
        <v>0.71743468493934281</v>
      </c>
      <c r="N15" s="94">
        <f t="shared" si="7"/>
        <v>4137.8504061810045</v>
      </c>
      <c r="O15" s="88">
        <f t="shared" si="8"/>
        <v>0.62645863597530982</v>
      </c>
      <c r="P15" s="7">
        <v>0.12</v>
      </c>
      <c r="Q15" s="22">
        <v>10396</v>
      </c>
      <c r="R15" s="45">
        <f t="shared" si="9"/>
        <v>0.67516362907033478</v>
      </c>
      <c r="S15" s="99">
        <f t="shared" si="10"/>
        <v>4621.3885110474193</v>
      </c>
      <c r="T15" s="90">
        <f t="shared" si="11"/>
        <v>0.55915099278533176</v>
      </c>
      <c r="U15" s="8">
        <v>0.12</v>
      </c>
      <c r="V15" s="24">
        <v>9691.4</v>
      </c>
      <c r="W15" s="46">
        <f t="shared" si="12"/>
        <v>0.66888172889706543</v>
      </c>
      <c r="X15" s="97">
        <f t="shared" si="13"/>
        <v>5296.5654633993781</v>
      </c>
      <c r="Y15" s="92">
        <f t="shared" si="14"/>
        <v>0.61439875950024947</v>
      </c>
    </row>
    <row r="16" spans="1:33" ht="20.100000000000001" customHeight="1" x14ac:dyDescent="0.25">
      <c r="A16" s="14">
        <v>0.13</v>
      </c>
      <c r="B16" s="16">
        <v>37098</v>
      </c>
      <c r="C16" s="35">
        <f t="shared" si="0"/>
        <v>0.86352638580153618</v>
      </c>
      <c r="D16" s="103">
        <f t="shared" si="1"/>
        <v>3263.672923071209</v>
      </c>
      <c r="E16" s="82">
        <f t="shared" si="2"/>
        <v>0.67351574690195071</v>
      </c>
      <c r="F16" s="5">
        <v>0.13</v>
      </c>
      <c r="G16" s="18">
        <v>21763</v>
      </c>
      <c r="H16" s="43">
        <f t="shared" si="3"/>
        <v>0.80194704517470516</v>
      </c>
      <c r="I16" s="101">
        <f t="shared" si="4"/>
        <v>3961.9446613280425</v>
      </c>
      <c r="J16" s="86">
        <f t="shared" si="5"/>
        <v>0.59883552803173934</v>
      </c>
      <c r="K16" s="6">
        <v>0.13</v>
      </c>
      <c r="L16" s="20">
        <v>18120</v>
      </c>
      <c r="M16" s="44">
        <f t="shared" si="6"/>
        <v>0.77722090868428806</v>
      </c>
      <c r="N16" s="94">
        <f t="shared" si="7"/>
        <v>4482.6712733627555</v>
      </c>
      <c r="O16" s="88">
        <f t="shared" si="8"/>
        <v>0.61969661654228902</v>
      </c>
      <c r="P16" s="7">
        <v>0.13</v>
      </c>
      <c r="Q16" s="22">
        <v>12644</v>
      </c>
      <c r="R16" s="45">
        <f t="shared" si="9"/>
        <v>0.73142726482619602</v>
      </c>
      <c r="S16" s="99">
        <f t="shared" si="10"/>
        <v>5006.5042203013718</v>
      </c>
      <c r="T16" s="90">
        <f t="shared" si="11"/>
        <v>0.57945952243807564</v>
      </c>
      <c r="U16" s="8">
        <v>0.13</v>
      </c>
      <c r="V16" s="24">
        <v>10295</v>
      </c>
      <c r="W16" s="46">
        <f t="shared" si="12"/>
        <v>0.7246218729718209</v>
      </c>
      <c r="X16" s="97">
        <f t="shared" si="13"/>
        <v>5737.9459186826607</v>
      </c>
      <c r="Y16" s="92">
        <f t="shared" si="14"/>
        <v>0.55611671629316795</v>
      </c>
    </row>
    <row r="17" spans="1:25" ht="20.100000000000001" customHeight="1" x14ac:dyDescent="0.25">
      <c r="A17" s="14">
        <v>0.14000000000000001</v>
      </c>
      <c r="B17" s="16">
        <v>42477</v>
      </c>
      <c r="C17" s="35">
        <f t="shared" si="0"/>
        <v>0.92995149240165442</v>
      </c>
      <c r="D17" s="103">
        <f t="shared" si="1"/>
        <v>3514.7246863843789</v>
      </c>
      <c r="E17" s="82">
        <f t="shared" si="2"/>
        <v>0.66493887898889037</v>
      </c>
      <c r="F17" s="5">
        <v>0.14000000000000001</v>
      </c>
      <c r="G17" s="18">
        <v>24693</v>
      </c>
      <c r="H17" s="43">
        <f t="shared" si="3"/>
        <v>0.86363527941891338</v>
      </c>
      <c r="I17" s="101">
        <f t="shared" si="4"/>
        <v>4266.7096352763538</v>
      </c>
      <c r="J17" s="86">
        <f t="shared" si="5"/>
        <v>0.58585924299368497</v>
      </c>
      <c r="K17" s="6">
        <v>0.14000000000000001</v>
      </c>
      <c r="L17" s="20">
        <v>20518</v>
      </c>
      <c r="M17" s="44">
        <f t="shared" si="6"/>
        <v>0.83700713242923341</v>
      </c>
      <c r="N17" s="94">
        <f t="shared" si="7"/>
        <v>4827.4921405445057</v>
      </c>
      <c r="O17" s="88">
        <f t="shared" si="8"/>
        <v>0.60504348704731536</v>
      </c>
      <c r="P17" s="7">
        <v>0.14000000000000001</v>
      </c>
      <c r="Q17" s="22">
        <v>14368</v>
      </c>
      <c r="R17" s="45">
        <f t="shared" si="9"/>
        <v>0.78769090058205726</v>
      </c>
      <c r="S17" s="99">
        <f t="shared" si="10"/>
        <v>5391.6199295553233</v>
      </c>
      <c r="T17" s="90">
        <f t="shared" si="11"/>
        <v>0.56776101623903075</v>
      </c>
      <c r="U17" s="8">
        <v>0.14000000000000001</v>
      </c>
      <c r="V17" s="24">
        <v>12041</v>
      </c>
      <c r="W17" s="46">
        <f t="shared" si="12"/>
        <v>0.78036201704657648</v>
      </c>
      <c r="X17" s="97">
        <f t="shared" si="13"/>
        <v>6179.3263739659424</v>
      </c>
      <c r="Y17" s="92">
        <f t="shared" si="14"/>
        <v>0.56083200353338725</v>
      </c>
    </row>
    <row r="18" spans="1:25" ht="20.100000000000001" customHeight="1" x14ac:dyDescent="0.25">
      <c r="A18" s="14">
        <v>0.15</v>
      </c>
      <c r="B18" s="16">
        <v>48597</v>
      </c>
      <c r="C18" s="35">
        <f t="shared" si="0"/>
        <v>0.99637659900177244</v>
      </c>
      <c r="D18" s="103">
        <f t="shared" si="1"/>
        <v>3765.7764496975483</v>
      </c>
      <c r="E18" s="82">
        <f t="shared" si="2"/>
        <v>0.66269074261215677</v>
      </c>
      <c r="F18" s="5">
        <v>0.15</v>
      </c>
      <c r="G18" s="18">
        <v>28569</v>
      </c>
      <c r="H18" s="43">
        <f t="shared" si="3"/>
        <v>0.92532351366312138</v>
      </c>
      <c r="I18" s="101">
        <f t="shared" si="4"/>
        <v>4571.4746092246642</v>
      </c>
      <c r="J18" s="86">
        <f t="shared" si="5"/>
        <v>0.59045665515012746</v>
      </c>
      <c r="K18" s="6">
        <v>0.15</v>
      </c>
      <c r="L18" s="20">
        <v>23114</v>
      </c>
      <c r="M18" s="44">
        <f t="shared" si="6"/>
        <v>0.89679335617417844</v>
      </c>
      <c r="N18" s="94">
        <f t="shared" si="7"/>
        <v>5172.3130077262558</v>
      </c>
      <c r="O18" s="88">
        <f t="shared" si="8"/>
        <v>0.59374535774201176</v>
      </c>
      <c r="P18" s="7">
        <v>0.15</v>
      </c>
      <c r="Q18" s="22">
        <v>16657</v>
      </c>
      <c r="R18" s="45">
        <f t="shared" si="9"/>
        <v>0.84395453633791839</v>
      </c>
      <c r="S18" s="99">
        <f t="shared" si="10"/>
        <v>5776.7356388092749</v>
      </c>
      <c r="T18" s="90">
        <f t="shared" si="11"/>
        <v>0.57337610384457227</v>
      </c>
      <c r="U18" s="8">
        <v>0.15</v>
      </c>
      <c r="V18" s="24">
        <v>13342</v>
      </c>
      <c r="W18" s="46">
        <f t="shared" si="12"/>
        <v>0.83610216112133184</v>
      </c>
      <c r="X18" s="97">
        <f t="shared" si="13"/>
        <v>6620.7068292492222</v>
      </c>
      <c r="Y18" s="92">
        <f t="shared" si="14"/>
        <v>0.54133327274918897</v>
      </c>
    </row>
    <row r="19" spans="1:25" ht="20.100000000000001" customHeight="1" x14ac:dyDescent="0.25">
      <c r="A19" s="14">
        <v>0.16</v>
      </c>
      <c r="B19" s="16">
        <v>54578</v>
      </c>
      <c r="C19" s="35">
        <f t="shared" si="0"/>
        <v>1.0628017056018906</v>
      </c>
      <c r="D19" s="103">
        <f t="shared" si="1"/>
        <v>4016.8282130107182</v>
      </c>
      <c r="E19" s="82">
        <f t="shared" si="2"/>
        <v>0.65412630391716697</v>
      </c>
      <c r="F19" s="5">
        <v>0.16</v>
      </c>
      <c r="G19" s="18">
        <v>32655</v>
      </c>
      <c r="H19" s="43">
        <f t="shared" si="3"/>
        <v>0.98701174790732948</v>
      </c>
      <c r="I19" s="101">
        <f t="shared" si="4"/>
        <v>4876.2395831729755</v>
      </c>
      <c r="J19" s="86">
        <f t="shared" si="5"/>
        <v>0.59317825738694963</v>
      </c>
      <c r="K19" s="6">
        <v>0.16</v>
      </c>
      <c r="L19" s="20">
        <v>26036</v>
      </c>
      <c r="M19" s="44">
        <f t="shared" si="6"/>
        <v>0.95657957991912379</v>
      </c>
      <c r="N19" s="94">
        <f t="shared" si="7"/>
        <v>5517.133874908006</v>
      </c>
      <c r="O19" s="88">
        <f t="shared" si="8"/>
        <v>0.58781671825457482</v>
      </c>
      <c r="P19" s="7">
        <v>0.16</v>
      </c>
      <c r="Q19" s="22">
        <v>18557</v>
      </c>
      <c r="R19" s="45">
        <f t="shared" si="9"/>
        <v>0.90021817209377974</v>
      </c>
      <c r="S19" s="99">
        <f t="shared" si="10"/>
        <v>6161.8513480632264</v>
      </c>
      <c r="T19" s="90">
        <f t="shared" si="11"/>
        <v>0.56142677927842788</v>
      </c>
      <c r="U19" s="8">
        <v>0.16</v>
      </c>
      <c r="V19" s="24">
        <v>15873</v>
      </c>
      <c r="W19" s="46">
        <f t="shared" si="12"/>
        <v>0.89184230519608731</v>
      </c>
      <c r="X19" s="97">
        <f t="shared" si="13"/>
        <v>7062.0872845325048</v>
      </c>
      <c r="Y19" s="92">
        <f t="shared" si="14"/>
        <v>0.5660376957013894</v>
      </c>
    </row>
    <row r="20" spans="1:25" ht="20.100000000000001" customHeight="1" x14ac:dyDescent="0.25">
      <c r="A20" s="14">
        <v>0.17</v>
      </c>
      <c r="B20" s="16">
        <v>60916</v>
      </c>
      <c r="C20" s="35">
        <f t="shared" si="0"/>
        <v>1.1292268122020088</v>
      </c>
      <c r="D20" s="103">
        <f t="shared" si="1"/>
        <v>4267.8799763238885</v>
      </c>
      <c r="E20" s="82">
        <f t="shared" si="2"/>
        <v>0.64672179468811686</v>
      </c>
      <c r="F20" s="5">
        <v>0.17</v>
      </c>
      <c r="G20" s="18">
        <v>36428</v>
      </c>
      <c r="H20" s="43">
        <f t="shared" si="3"/>
        <v>1.0486999821515377</v>
      </c>
      <c r="I20" s="101">
        <f t="shared" si="4"/>
        <v>5181.0045571212868</v>
      </c>
      <c r="J20" s="86">
        <f t="shared" si="5"/>
        <v>0.58615569136956092</v>
      </c>
      <c r="K20" s="6">
        <v>0.17</v>
      </c>
      <c r="L20" s="20">
        <v>28882</v>
      </c>
      <c r="M20" s="44">
        <f t="shared" si="6"/>
        <v>1.016365803664069</v>
      </c>
      <c r="N20" s="94">
        <f t="shared" si="7"/>
        <v>5861.954742089757</v>
      </c>
      <c r="O20" s="88">
        <f t="shared" si="8"/>
        <v>0.57761313040832607</v>
      </c>
      <c r="P20" s="7">
        <v>0.17</v>
      </c>
      <c r="Q20" s="22">
        <v>21038</v>
      </c>
      <c r="R20" s="45">
        <f t="shared" si="9"/>
        <v>0.95648180784964099</v>
      </c>
      <c r="S20" s="99">
        <f t="shared" si="10"/>
        <v>6546.9670573171788</v>
      </c>
      <c r="T20" s="90">
        <f t="shared" si="11"/>
        <v>0.56380890321649002</v>
      </c>
      <c r="U20" s="8">
        <v>0.17</v>
      </c>
      <c r="V20" s="24">
        <v>18007</v>
      </c>
      <c r="W20" s="46">
        <f t="shared" si="12"/>
        <v>0.94758244927084279</v>
      </c>
      <c r="X20" s="97">
        <f t="shared" si="13"/>
        <v>7503.4677398157864</v>
      </c>
      <c r="Y20" s="92">
        <f t="shared" si="14"/>
        <v>0.56881340827565763</v>
      </c>
    </row>
    <row r="21" spans="1:25" ht="20.100000000000001" customHeight="1" x14ac:dyDescent="0.25">
      <c r="A21" s="14">
        <v>0.18</v>
      </c>
      <c r="B21" s="16">
        <v>68097</v>
      </c>
      <c r="C21" s="35">
        <f t="shared" si="0"/>
        <v>1.1956519188021268</v>
      </c>
      <c r="D21" s="103">
        <f t="shared" si="1"/>
        <v>4518.9317396370579</v>
      </c>
      <c r="E21" s="82">
        <f t="shared" si="2"/>
        <v>0.64486221571261892</v>
      </c>
      <c r="F21" s="5">
        <v>0.18</v>
      </c>
      <c r="G21" s="18">
        <v>40094</v>
      </c>
      <c r="H21" s="43">
        <f t="shared" si="3"/>
        <v>1.1103882163957457</v>
      </c>
      <c r="I21" s="101">
        <f t="shared" si="4"/>
        <v>5485.7695310695972</v>
      </c>
      <c r="J21" s="86">
        <f t="shared" si="5"/>
        <v>0.57545302434430701</v>
      </c>
      <c r="K21" s="6">
        <v>0.18</v>
      </c>
      <c r="L21" s="20">
        <v>32752</v>
      </c>
      <c r="M21" s="44">
        <f t="shared" si="6"/>
        <v>1.0761520274090142</v>
      </c>
      <c r="N21" s="94">
        <f t="shared" si="7"/>
        <v>6206.7756092715063</v>
      </c>
      <c r="O21" s="88">
        <f t="shared" si="8"/>
        <v>0.58425232773686853</v>
      </c>
      <c r="P21" s="7">
        <v>0.18</v>
      </c>
      <c r="Q21" s="22">
        <v>23238</v>
      </c>
      <c r="R21" s="45">
        <f t="shared" si="9"/>
        <v>1.0127454436055021</v>
      </c>
      <c r="S21" s="99">
        <f t="shared" si="10"/>
        <v>6932.0827665711295</v>
      </c>
      <c r="T21" s="90">
        <f t="shared" si="11"/>
        <v>0.5554935988348314</v>
      </c>
      <c r="U21" s="8">
        <v>0.18</v>
      </c>
      <c r="V21" s="24">
        <v>19940</v>
      </c>
      <c r="W21" s="46">
        <f t="shared" si="12"/>
        <v>1.0033225933455983</v>
      </c>
      <c r="X21" s="97">
        <f t="shared" si="13"/>
        <v>7944.8481950990672</v>
      </c>
      <c r="Y21" s="92">
        <f t="shared" si="14"/>
        <v>0.56183196852352357</v>
      </c>
    </row>
    <row r="22" spans="1:25" ht="20.100000000000001" customHeight="1" x14ac:dyDescent="0.25">
      <c r="A22" s="14">
        <v>0.19</v>
      </c>
      <c r="B22" s="16">
        <v>75318</v>
      </c>
      <c r="C22" s="35">
        <f t="shared" si="0"/>
        <v>1.2620770254022451</v>
      </c>
      <c r="D22" s="103">
        <f t="shared" si="1"/>
        <v>4769.9835029502283</v>
      </c>
      <c r="E22" s="82">
        <f t="shared" si="2"/>
        <v>0.64014084543105276</v>
      </c>
      <c r="F22" s="5">
        <v>0.19</v>
      </c>
      <c r="G22" s="18">
        <v>43330</v>
      </c>
      <c r="H22" s="43">
        <f t="shared" si="3"/>
        <v>1.1720764506399537</v>
      </c>
      <c r="I22" s="101">
        <f t="shared" si="4"/>
        <v>5790.5345050179085</v>
      </c>
      <c r="J22" s="86">
        <f t="shared" si="5"/>
        <v>0.55815778713152764</v>
      </c>
      <c r="K22" s="6">
        <v>0.19</v>
      </c>
      <c r="L22" s="20">
        <v>36205</v>
      </c>
      <c r="M22" s="44">
        <f t="shared" si="6"/>
        <v>1.1359382511539595</v>
      </c>
      <c r="N22" s="94">
        <f t="shared" si="7"/>
        <v>6551.5964764532573</v>
      </c>
      <c r="O22" s="88">
        <f t="shared" si="8"/>
        <v>0.57965419889615455</v>
      </c>
      <c r="P22" s="7">
        <v>0.19</v>
      </c>
      <c r="Q22" s="22">
        <v>26618</v>
      </c>
      <c r="R22" s="45">
        <f t="shared" si="9"/>
        <v>1.0690090793613634</v>
      </c>
      <c r="S22" s="99">
        <f t="shared" si="10"/>
        <v>7317.198475825081</v>
      </c>
      <c r="T22" s="90">
        <f t="shared" si="11"/>
        <v>0.57107551544388857</v>
      </c>
      <c r="U22" s="8">
        <v>0.19</v>
      </c>
      <c r="V22" s="24">
        <v>22249</v>
      </c>
      <c r="W22" s="46">
        <f t="shared" si="12"/>
        <v>1.0590627374203536</v>
      </c>
      <c r="X22" s="97">
        <f t="shared" si="13"/>
        <v>8386.2286503823489</v>
      </c>
      <c r="Y22" s="92">
        <f t="shared" si="14"/>
        <v>0.56263869552261769</v>
      </c>
    </row>
    <row r="23" spans="1:25" ht="20.100000000000001" customHeight="1" thickBot="1" x14ac:dyDescent="0.3">
      <c r="A23" s="25">
        <v>0.2</v>
      </c>
      <c r="B23" s="26">
        <v>82608</v>
      </c>
      <c r="C23" s="35">
        <f t="shared" si="0"/>
        <v>1.3285021320023633</v>
      </c>
      <c r="D23" s="103">
        <f>(A23*$AC$6)/($AA$11*$AC$5)</f>
        <v>5021.0352662633986</v>
      </c>
      <c r="E23" s="82">
        <f t="shared" si="2"/>
        <v>0.63364509613677966</v>
      </c>
      <c r="F23" s="27">
        <v>0.2</v>
      </c>
      <c r="G23" s="28">
        <v>48144</v>
      </c>
      <c r="H23" s="43">
        <f t="shared" si="3"/>
        <v>1.2337646848841619</v>
      </c>
      <c r="I23" s="101">
        <f t="shared" si="4"/>
        <v>6095.2994789662198</v>
      </c>
      <c r="J23" s="86">
        <f t="shared" si="5"/>
        <v>0.559703058494193</v>
      </c>
      <c r="K23" s="29">
        <v>0.2</v>
      </c>
      <c r="L23" s="30">
        <v>39878</v>
      </c>
      <c r="M23" s="44">
        <f t="shared" si="6"/>
        <v>1.1957244748989047</v>
      </c>
      <c r="N23" s="94">
        <f t="shared" si="7"/>
        <v>6896.4173436350075</v>
      </c>
      <c r="O23" s="88">
        <f t="shared" si="8"/>
        <v>0.5762102956658397</v>
      </c>
      <c r="P23" s="31">
        <v>0.2</v>
      </c>
      <c r="Q23" s="32">
        <v>29065</v>
      </c>
      <c r="R23" s="45">
        <f t="shared" si="9"/>
        <v>1.1252727151172246</v>
      </c>
      <c r="S23" s="99">
        <f t="shared" si="10"/>
        <v>7702.3141850790335</v>
      </c>
      <c r="T23" s="90">
        <f t="shared" si="11"/>
        <v>0.56277611561273944</v>
      </c>
      <c r="U23" s="33">
        <v>0.2</v>
      </c>
      <c r="V23" s="34">
        <v>24289</v>
      </c>
      <c r="W23" s="46">
        <f t="shared" si="12"/>
        <v>1.1148028814951092</v>
      </c>
      <c r="X23" s="97">
        <f t="shared" si="13"/>
        <v>8827.6091056656314</v>
      </c>
      <c r="Y23" s="92">
        <f t="shared" si="14"/>
        <v>0.55433965464438162</v>
      </c>
    </row>
    <row r="24" spans="1:25" ht="78.75" customHeight="1" thickBot="1" x14ac:dyDescent="0.3">
      <c r="A24" s="53" t="s">
        <v>28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5"/>
    </row>
    <row r="25" spans="1:25" x14ac:dyDescent="0.25">
      <c r="A25" s="50" t="s">
        <v>14</v>
      </c>
      <c r="B25" s="51"/>
      <c r="C25" s="51"/>
      <c r="D25" s="51"/>
      <c r="E25" s="52"/>
      <c r="F25" s="56" t="s">
        <v>15</v>
      </c>
      <c r="G25" s="57"/>
      <c r="H25" s="57"/>
      <c r="I25" s="57"/>
      <c r="J25" s="58"/>
      <c r="K25" s="59" t="s">
        <v>16</v>
      </c>
      <c r="L25" s="60"/>
      <c r="M25" s="60"/>
      <c r="N25" s="60"/>
      <c r="O25" s="61"/>
      <c r="P25" s="62" t="s">
        <v>17</v>
      </c>
      <c r="Q25" s="63"/>
      <c r="R25" s="63"/>
      <c r="S25" s="63"/>
      <c r="T25" s="64"/>
      <c r="U25" s="65" t="s">
        <v>18</v>
      </c>
      <c r="V25" s="66"/>
      <c r="W25" s="66"/>
      <c r="X25" s="66"/>
      <c r="Y25" s="67"/>
    </row>
    <row r="26" spans="1:25" x14ac:dyDescent="0.25">
      <c r="A26" s="9" t="s">
        <v>22</v>
      </c>
      <c r="B26" s="15" t="s">
        <v>13</v>
      </c>
      <c r="C26" s="15" t="s">
        <v>21</v>
      </c>
      <c r="D26" s="102" t="s">
        <v>20</v>
      </c>
      <c r="E26" s="81" t="s">
        <v>19</v>
      </c>
      <c r="F26" s="10" t="s">
        <v>22</v>
      </c>
      <c r="G26" s="17" t="s">
        <v>13</v>
      </c>
      <c r="H26" s="17" t="s">
        <v>21</v>
      </c>
      <c r="I26" s="100" t="s">
        <v>20</v>
      </c>
      <c r="J26" s="85" t="s">
        <v>19</v>
      </c>
      <c r="K26" s="11" t="s">
        <v>22</v>
      </c>
      <c r="L26" s="19" t="s">
        <v>13</v>
      </c>
      <c r="M26" s="19" t="s">
        <v>21</v>
      </c>
      <c r="N26" s="93" t="s">
        <v>20</v>
      </c>
      <c r="O26" s="87" t="s">
        <v>19</v>
      </c>
      <c r="P26" s="12" t="s">
        <v>22</v>
      </c>
      <c r="Q26" s="21" t="s">
        <v>13</v>
      </c>
      <c r="R26" s="21" t="s">
        <v>21</v>
      </c>
      <c r="S26" s="98" t="s">
        <v>20</v>
      </c>
      <c r="T26" s="89" t="s">
        <v>19</v>
      </c>
      <c r="U26" s="13" t="s">
        <v>12</v>
      </c>
      <c r="V26" s="23" t="s">
        <v>13</v>
      </c>
      <c r="W26" s="23" t="s">
        <v>21</v>
      </c>
      <c r="X26" s="96" t="s">
        <v>20</v>
      </c>
      <c r="Y26" s="91" t="s">
        <v>19</v>
      </c>
    </row>
    <row r="27" spans="1:25" x14ac:dyDescent="0.25">
      <c r="A27" s="14">
        <f>0.043876-0.003</f>
        <v>4.0875999999999996E-2</v>
      </c>
      <c r="B27" s="16">
        <v>4802.7</v>
      </c>
      <c r="C27" s="35">
        <f>(A27)/($AD$11*$AC$5)</f>
        <v>0.27151926573864299</v>
      </c>
      <c r="D27" s="103">
        <f>(A27*$AC$6)/($AA$11*$AC$5)</f>
        <v>1026.1991877189132</v>
      </c>
      <c r="E27" s="82">
        <f>(B27*$AC$6)/(2*$AC$7*$AD$11*(C27^2))</f>
        <v>0.88192700309826344</v>
      </c>
      <c r="F27" s="5">
        <f>0.0477-0.003</f>
        <v>4.4699999999999997E-2</v>
      </c>
      <c r="G27" s="18">
        <v>2918</v>
      </c>
      <c r="H27" s="43">
        <f>(F27)/($AD$11*$AD$5)</f>
        <v>0.27574640707161013</v>
      </c>
      <c r="I27" s="101">
        <f>(F27*$AD$6)/($AA$11*$AD$5)</f>
        <v>1362.29943354895</v>
      </c>
      <c r="J27" s="86">
        <f>(G27*$AD$6)/(2*$AD$7*$AD$11*(H27^2))</f>
        <v>0.67911878304983297</v>
      </c>
      <c r="K27" s="6">
        <f>0.04736-0.003</f>
        <v>4.4359999999999997E-2</v>
      </c>
      <c r="L27" s="20">
        <v>2252</v>
      </c>
      <c r="M27" s="44">
        <f>(K27)/($AD$11*$AE$5)</f>
        <v>0.26521168853257704</v>
      </c>
      <c r="N27" s="94">
        <f>(K27*$AE$6)/($AA$11*$AE$5)</f>
        <v>1529.6253668182446</v>
      </c>
      <c r="O27" s="88">
        <f>(L27*$AE$6)/(2*$AE$7*$AD$11*(M27^2))</f>
        <v>0.66144379617213656</v>
      </c>
      <c r="P27" s="7">
        <f>0.04784-0.003</f>
        <v>4.4839999999999998E-2</v>
      </c>
      <c r="Q27" s="22">
        <v>1646</v>
      </c>
      <c r="R27" s="45">
        <f>(P27)/($AD$11*$AF$5)</f>
        <v>0.25228614272928174</v>
      </c>
      <c r="S27" s="99">
        <f>(P27*$AF$6)/($AA$11*$AF$5)</f>
        <v>1726.8588402947191</v>
      </c>
      <c r="T27" s="90">
        <f>(Q27*$AF$6)/(2*$AF$7*$AD$11*(R27^2))</f>
        <v>0.63405063909068027</v>
      </c>
      <c r="U27" s="8">
        <v>4.5759393939393954E-2</v>
      </c>
      <c r="V27" s="24">
        <v>1544.969696969697</v>
      </c>
      <c r="W27" s="46">
        <f>(U27)/($AD$11*$AG$5)</f>
        <v>0.25506352109553104</v>
      </c>
      <c r="X27" s="97">
        <f>(U27*$AG$6)/($AA$11*$AG$5)</f>
        <v>2019.7302130456737</v>
      </c>
      <c r="Y27" s="92">
        <f>(V27*$AG$6)/(2*$AG$7*$AD$11*(W27^2))</f>
        <v>0.67357466123075416</v>
      </c>
    </row>
    <row r="28" spans="1:25" x14ac:dyDescent="0.25">
      <c r="A28" s="14">
        <f>0.059091-0.003</f>
        <v>5.6090999999999995E-2</v>
      </c>
      <c r="B28" s="16">
        <v>8419.7999999999993</v>
      </c>
      <c r="C28" s="35">
        <f t="shared" ref="C28:C36" si="18">(A28)/($AD$11*$AC$5)</f>
        <v>0.37258506543072278</v>
      </c>
      <c r="D28" s="103">
        <f t="shared" ref="D28:D36" si="19">(A28*$AC$6)/($AA$11*$AC$5)</f>
        <v>1408.1744455999012</v>
      </c>
      <c r="E28" s="82">
        <f t="shared" ref="E28:E36" si="20">(B28*$AC$6)/(2*$AC$7*$AD$11*(C28^2))</f>
        <v>0.82110627648799162</v>
      </c>
      <c r="F28" s="5">
        <f>0.06281-0.003</f>
        <v>5.9810000000000002E-2</v>
      </c>
      <c r="G28" s="18">
        <v>4966</v>
      </c>
      <c r="H28" s="43">
        <f t="shared" ref="H28:H36" si="21">(F28)/($AD$11*$AD$5)</f>
        <v>0.36895732901460859</v>
      </c>
      <c r="I28" s="101">
        <f t="shared" ref="I28:I36" si="22">(F28*$AD$6)/($AA$11*$AD$5)</f>
        <v>1822.7993091848477</v>
      </c>
      <c r="J28" s="86">
        <f t="shared" ref="J28:J36" si="23">(G28*$AD$6)/(2*$AD$7*$AD$11*(H28^2))</f>
        <v>0.64555702489220013</v>
      </c>
      <c r="K28" s="6">
        <f>0.06393-0.003</f>
        <v>6.0929999999999998E-2</v>
      </c>
      <c r="L28" s="20">
        <v>3867</v>
      </c>
      <c r="M28" s="44">
        <f t="shared" ref="M28:M36" si="24">(K28)/($AD$11*$AE$5)</f>
        <v>0.3642774612779513</v>
      </c>
      <c r="N28" s="94">
        <f t="shared" ref="N28:N36" si="25">(K28*$AE$6)/($AA$11*$AE$5)</f>
        <v>2100.9935437384052</v>
      </c>
      <c r="O28" s="88">
        <f t="shared" ref="O28:O36" si="26">(L28*$AE$6)/(2*$AE$7*$AD$11*(M28^2))</f>
        <v>0.60203182810776934</v>
      </c>
      <c r="P28" s="7">
        <f>0.06513-0.003</f>
        <v>6.2129999999999991E-2</v>
      </c>
      <c r="Q28" s="22">
        <v>2693</v>
      </c>
      <c r="R28" s="45">
        <f t="shared" ref="R28:R36" si="27">(P28)/($AD$11*$AF$5)</f>
        <v>0.34956596895116576</v>
      </c>
      <c r="S28" s="99">
        <f t="shared" ref="S28:S36" si="28">(P28*$AF$6)/($AA$11*$AF$5)</f>
        <v>2392.7239015948012</v>
      </c>
      <c r="T28" s="90">
        <f t="shared" ref="T28:T36" si="29">(Q28*$AF$6)/(2*$AF$7*$AD$11*(R28^2))</f>
        <v>0.54032985921411636</v>
      </c>
      <c r="U28" s="8">
        <v>6.2413030303030317E-2</v>
      </c>
      <c r="V28" s="24">
        <v>2596.030303030303</v>
      </c>
      <c r="W28" s="46">
        <f t="shared" ref="W28:W36" si="30">(U28)/($AD$11*$AG$5)</f>
        <v>0.34789113012329881</v>
      </c>
      <c r="X28" s="97">
        <f t="shared" ref="X28:X36" si="31">(U28*$AG$6)/($AA$11*$AG$5)</f>
        <v>2754.7891730760771</v>
      </c>
      <c r="Y28" s="92">
        <f t="shared" ref="Y28:Y36" si="32">(V28*$AG$6)/(2*$AG$7*$AD$11*(W28^2))</f>
        <v>0.60839484099168306</v>
      </c>
    </row>
    <row r="29" spans="1:25" x14ac:dyDescent="0.25">
      <c r="A29" s="14">
        <f>0.074665-0.003</f>
        <v>7.1664999999999993E-2</v>
      </c>
      <c r="B29" s="16">
        <v>13015.6</v>
      </c>
      <c r="C29" s="35">
        <f t="shared" si="18"/>
        <v>0.47603552644974678</v>
      </c>
      <c r="D29" s="103">
        <f t="shared" si="19"/>
        <v>1799.162461783832</v>
      </c>
      <c r="E29" s="82">
        <f t="shared" si="20"/>
        <v>0.77756006000995648</v>
      </c>
      <c r="F29" s="5">
        <f>0.07904-0.003</f>
        <v>7.6039999999999996E-2</v>
      </c>
      <c r="G29" s="18">
        <v>7566</v>
      </c>
      <c r="H29" s="43">
        <f t="shared" si="21"/>
        <v>0.4690773331929583</v>
      </c>
      <c r="I29" s="101">
        <f t="shared" si="22"/>
        <v>2317.4328619029566</v>
      </c>
      <c r="J29" s="86">
        <f t="shared" si="23"/>
        <v>0.60849585135714135</v>
      </c>
      <c r="K29" s="6">
        <f>0.08079-0.003</f>
        <v>7.7789999999999998E-2</v>
      </c>
      <c r="L29" s="20">
        <v>5901</v>
      </c>
      <c r="M29" s="44">
        <f t="shared" si="24"/>
        <v>0.46507703451192894</v>
      </c>
      <c r="N29" s="94">
        <f t="shared" si="25"/>
        <v>2682.3615258068362</v>
      </c>
      <c r="O29" s="88">
        <f t="shared" si="26"/>
        <v>0.56361910750851607</v>
      </c>
      <c r="P29" s="7">
        <f>0.08186-0.003</f>
        <v>7.886E-2</v>
      </c>
      <c r="Q29" s="22">
        <v>4111</v>
      </c>
      <c r="R29" s="45">
        <f t="shared" si="27"/>
        <v>0.44369503157072165</v>
      </c>
      <c r="S29" s="99">
        <f t="shared" si="28"/>
        <v>3037.0224831766627</v>
      </c>
      <c r="T29" s="90">
        <f t="shared" si="29"/>
        <v>0.51198737616109957</v>
      </c>
      <c r="U29" s="8">
        <v>7.9886666666666661E-2</v>
      </c>
      <c r="V29" s="24">
        <v>3925.6363636363631</v>
      </c>
      <c r="W29" s="46">
        <f t="shared" si="30"/>
        <v>0.44528943096519641</v>
      </c>
      <c r="X29" s="97">
        <f t="shared" si="31"/>
        <v>3526.0413304397084</v>
      </c>
      <c r="Y29" s="92">
        <f t="shared" si="32"/>
        <v>0.56154914555513069</v>
      </c>
    </row>
    <row r="30" spans="1:25" x14ac:dyDescent="0.25">
      <c r="A30" s="14">
        <f>0.090524-0.003</f>
        <v>8.7523999999999991E-2</v>
      </c>
      <c r="B30" s="16">
        <v>18612.099999999999</v>
      </c>
      <c r="C30" s="35">
        <f t="shared" si="18"/>
        <v>0.58137910300687423</v>
      </c>
      <c r="D30" s="103">
        <f t="shared" si="19"/>
        <v>2197.3054532221881</v>
      </c>
      <c r="E30" s="82">
        <f t="shared" si="20"/>
        <v>0.7454611657460507</v>
      </c>
      <c r="F30" s="18">
        <f>0.09674-0.003</f>
        <v>9.3740000000000004E-2</v>
      </c>
      <c r="G30" s="18">
        <v>10754</v>
      </c>
      <c r="H30" s="43">
        <f t="shared" si="21"/>
        <v>0.57826550780520669</v>
      </c>
      <c r="I30" s="101">
        <f t="shared" si="22"/>
        <v>2856.8668657914668</v>
      </c>
      <c r="J30" s="86">
        <f t="shared" si="23"/>
        <v>0.56910923736712749</v>
      </c>
      <c r="K30" s="6">
        <f>0.09735-0.003</f>
        <v>9.4350000000000003E-2</v>
      </c>
      <c r="L30" s="20">
        <v>8389</v>
      </c>
      <c r="M30" s="44">
        <f t="shared" si="24"/>
        <v>0.56408302103355834</v>
      </c>
      <c r="N30" s="94">
        <f t="shared" si="25"/>
        <v>3253.3848818598149</v>
      </c>
      <c r="O30" s="88">
        <f t="shared" si="26"/>
        <v>0.54467071023307589</v>
      </c>
      <c r="P30" s="7">
        <f>0.09826-0.003</f>
        <v>9.5259999999999997E-2</v>
      </c>
      <c r="Q30" s="22">
        <v>5876</v>
      </c>
      <c r="R30" s="45">
        <f t="shared" si="27"/>
        <v>0.53596739421033401</v>
      </c>
      <c r="S30" s="99">
        <f t="shared" si="28"/>
        <v>3668.6122463531433</v>
      </c>
      <c r="T30" s="90">
        <f t="shared" si="29"/>
        <v>0.50151734114054314</v>
      </c>
      <c r="U30" s="8">
        <v>9.7554242424242432E-2</v>
      </c>
      <c r="V30" s="24">
        <v>5510.5757575757589</v>
      </c>
      <c r="W30" s="46">
        <f t="shared" si="30"/>
        <v>0.54376875278308945</v>
      </c>
      <c r="X30" s="97">
        <f t="shared" si="31"/>
        <v>4305.8535936027747</v>
      </c>
      <c r="Y30" s="92">
        <f t="shared" si="32"/>
        <v>0.52860462582876655</v>
      </c>
    </row>
    <row r="31" spans="1:25" x14ac:dyDescent="0.25">
      <c r="A31" s="14">
        <f>0.106096-0.003</f>
        <v>0.10309599999999999</v>
      </c>
      <c r="B31" s="16">
        <v>25100.7</v>
      </c>
      <c r="C31" s="35">
        <f t="shared" si="18"/>
        <v>0.6848162790045782</v>
      </c>
      <c r="D31" s="103">
        <f t="shared" si="19"/>
        <v>2588.2432590534563</v>
      </c>
      <c r="E31" s="82">
        <f t="shared" si="20"/>
        <v>0.72457970217060974</v>
      </c>
      <c r="F31" s="5">
        <f>0.11242-0.003</f>
        <v>0.10942</v>
      </c>
      <c r="G31" s="18">
        <v>14381</v>
      </c>
      <c r="H31" s="43">
        <f t="shared" si="21"/>
        <v>0.67499265910012496</v>
      </c>
      <c r="I31" s="101">
        <f t="shared" si="22"/>
        <v>3334.7383449424183</v>
      </c>
      <c r="J31" s="86">
        <f t="shared" si="23"/>
        <v>0.55856171695526347</v>
      </c>
      <c r="K31" s="6">
        <f>0.11403-0.003</f>
        <v>0.11103</v>
      </c>
      <c r="L31" s="20">
        <v>11096</v>
      </c>
      <c r="M31" s="44">
        <f t="shared" si="24"/>
        <v>0.66380644224012697</v>
      </c>
      <c r="N31" s="94">
        <f t="shared" si="25"/>
        <v>3828.5460883189744</v>
      </c>
      <c r="O31" s="88">
        <f t="shared" si="26"/>
        <v>0.52022761829855446</v>
      </c>
      <c r="P31" s="7">
        <f>0.1155-0.003</f>
        <v>0.1125</v>
      </c>
      <c r="Q31" s="22">
        <v>8015</v>
      </c>
      <c r="R31" s="45">
        <f t="shared" si="27"/>
        <v>0.63296590225343885</v>
      </c>
      <c r="S31" s="99">
        <f t="shared" si="28"/>
        <v>4332.5517291069564</v>
      </c>
      <c r="T31" s="90">
        <f t="shared" si="29"/>
        <v>0.49048282375129537</v>
      </c>
      <c r="U31" s="8">
        <v>0.11458181818181817</v>
      </c>
      <c r="V31" s="24">
        <v>7255.6363636363612</v>
      </c>
      <c r="W31" s="46">
        <f t="shared" si="30"/>
        <v>0.63868070538019794</v>
      </c>
      <c r="X31" s="97">
        <f t="shared" si="31"/>
        <v>5057.4175076277097</v>
      </c>
      <c r="Y31" s="92">
        <f t="shared" si="32"/>
        <v>0.50451071386289259</v>
      </c>
    </row>
    <row r="32" spans="1:25" x14ac:dyDescent="0.25">
      <c r="A32" s="14">
        <f>0.121628-0.003</f>
        <v>0.118628</v>
      </c>
      <c r="B32" s="16">
        <v>32450.5</v>
      </c>
      <c r="C32" s="35">
        <f t="shared" si="18"/>
        <v>0.78798775457588177</v>
      </c>
      <c r="D32" s="103">
        <f t="shared" si="19"/>
        <v>2978.1768578314723</v>
      </c>
      <c r="E32" s="82">
        <f t="shared" si="20"/>
        <v>0.7075073201448463</v>
      </c>
      <c r="F32" s="5">
        <f>0.1292-0.003</f>
        <v>0.12620000000000001</v>
      </c>
      <c r="G32" s="18">
        <v>18515</v>
      </c>
      <c r="H32" s="43">
        <f t="shared" si="21"/>
        <v>0.77850551616190611</v>
      </c>
      <c r="I32" s="101">
        <f t="shared" si="22"/>
        <v>3846.1339712276845</v>
      </c>
      <c r="J32" s="86">
        <f t="shared" si="23"/>
        <v>0.54060555951788369</v>
      </c>
      <c r="K32" s="6">
        <f>0.13143-0.003</f>
        <v>0.12842999999999999</v>
      </c>
      <c r="L32" s="20">
        <v>14171</v>
      </c>
      <c r="M32" s="44">
        <f t="shared" si="24"/>
        <v>0.76783447155633155</v>
      </c>
      <c r="N32" s="94">
        <f t="shared" si="25"/>
        <v>4428.5343972152195</v>
      </c>
      <c r="O32" s="88">
        <f t="shared" si="26"/>
        <v>0.49656392954568312</v>
      </c>
      <c r="P32" s="7">
        <f>0.13279-0.003</f>
        <v>0.12978999999999999</v>
      </c>
      <c r="Q32" s="22">
        <v>10241</v>
      </c>
      <c r="R32" s="45">
        <f t="shared" si="27"/>
        <v>0.73024572847532288</v>
      </c>
      <c r="S32" s="99">
        <f t="shared" si="28"/>
        <v>4998.4167904070382</v>
      </c>
      <c r="T32" s="90">
        <f t="shared" si="29"/>
        <v>0.47085287102666035</v>
      </c>
      <c r="U32" s="8">
        <v>0.13219333333333336</v>
      </c>
      <c r="V32" s="24">
        <v>9288.6363636363658</v>
      </c>
      <c r="W32" s="46">
        <f t="shared" si="30"/>
        <v>0.73684754457221746</v>
      </c>
      <c r="X32" s="97">
        <f t="shared" si="31"/>
        <v>5834.7553652081278</v>
      </c>
      <c r="Y32" s="92">
        <f t="shared" si="32"/>
        <v>0.48524286379124681</v>
      </c>
    </row>
    <row r="33" spans="1:25" x14ac:dyDescent="0.25">
      <c r="A33" s="14">
        <f>0.138025-0.003</f>
        <v>0.13502500000000001</v>
      </c>
      <c r="B33" s="16">
        <v>40633.1</v>
      </c>
      <c r="C33" s="35">
        <f t="shared" si="18"/>
        <v>0.89690500186809563</v>
      </c>
      <c r="D33" s="103">
        <f t="shared" si="19"/>
        <v>3389.8264341360768</v>
      </c>
      <c r="E33" s="82">
        <f t="shared" si="20"/>
        <v>0.68381015629165998</v>
      </c>
      <c r="F33" s="5">
        <f>0.14702-0.003</f>
        <v>0.14402000000000001</v>
      </c>
      <c r="G33" s="18">
        <v>23003</v>
      </c>
      <c r="H33" s="43">
        <f t="shared" si="21"/>
        <v>0.88843394958508493</v>
      </c>
      <c r="I33" s="101">
        <f t="shared" si="22"/>
        <v>4389.2251548035747</v>
      </c>
      <c r="J33" s="86">
        <f t="shared" si="23"/>
        <v>0.51572046705520536</v>
      </c>
      <c r="K33" s="6">
        <f>0.14907-0.003</f>
        <v>0.14607000000000001</v>
      </c>
      <c r="L33" s="20">
        <v>17555</v>
      </c>
      <c r="M33" s="44">
        <f t="shared" si="24"/>
        <v>0.87329737024241505</v>
      </c>
      <c r="N33" s="94">
        <f t="shared" si="25"/>
        <v>5036.7984069238273</v>
      </c>
      <c r="O33" s="88">
        <f t="shared" si="26"/>
        <v>0.47553929709936676</v>
      </c>
      <c r="P33" s="7">
        <f>0.14952-0.003</f>
        <v>0.14651999999999998</v>
      </c>
      <c r="Q33" s="22">
        <v>12762</v>
      </c>
      <c r="R33" s="45">
        <f t="shared" si="27"/>
        <v>0.82437479109487866</v>
      </c>
      <c r="S33" s="99">
        <f t="shared" si="28"/>
        <v>5642.7153719888993</v>
      </c>
      <c r="T33" s="90">
        <f t="shared" si="29"/>
        <v>0.46041582447805318</v>
      </c>
      <c r="U33" s="8">
        <v>0.14972727272727276</v>
      </c>
      <c r="V33" s="24">
        <v>11521.515151515152</v>
      </c>
      <c r="W33" s="46">
        <f t="shared" si="30"/>
        <v>0.83458197537383871</v>
      </c>
      <c r="X33" s="97">
        <f t="shared" si="31"/>
        <v>6608.6691804687716</v>
      </c>
      <c r="Y33" s="92">
        <f t="shared" si="32"/>
        <v>0.4691741443637984</v>
      </c>
    </row>
    <row r="34" spans="1:25" x14ac:dyDescent="0.25">
      <c r="A34" s="14">
        <f>0.154363-0.003</f>
        <v>0.151363</v>
      </c>
      <c r="B34" s="16">
        <v>49669.2</v>
      </c>
      <c r="C34" s="35">
        <f t="shared" si="18"/>
        <v>1.0054303410313685</v>
      </c>
      <c r="D34" s="103">
        <f t="shared" si="19"/>
        <v>3799.9948050371336</v>
      </c>
      <c r="E34" s="82">
        <f t="shared" si="20"/>
        <v>0.66516849816937607</v>
      </c>
      <c r="F34" s="5">
        <f>0.16416-0.003</f>
        <v>0.16116</v>
      </c>
      <c r="G34" s="18">
        <v>28146</v>
      </c>
      <c r="H34" s="43">
        <f t="shared" si="21"/>
        <v>0.99416758307965758</v>
      </c>
      <c r="I34" s="101">
        <f t="shared" si="22"/>
        <v>4911.5923201509795</v>
      </c>
      <c r="J34" s="86">
        <f t="shared" si="23"/>
        <v>0.5039386485241597</v>
      </c>
      <c r="K34" s="6">
        <v>0.16339999999999999</v>
      </c>
      <c r="L34" s="20">
        <v>21398</v>
      </c>
      <c r="M34" s="44">
        <f t="shared" si="24"/>
        <v>0.9769068959924051</v>
      </c>
      <c r="N34" s="94">
        <f t="shared" si="25"/>
        <v>5634.3729697498011</v>
      </c>
      <c r="O34" s="88">
        <f t="shared" si="26"/>
        <v>0.4632087077895814</v>
      </c>
      <c r="P34" s="7">
        <f>0.16721-0.003</f>
        <v>0.16420999999999999</v>
      </c>
      <c r="Q34" s="22">
        <v>15287</v>
      </c>
      <c r="R34" s="45">
        <f t="shared" si="27"/>
        <v>0.92390516274699719</v>
      </c>
      <c r="S34" s="99">
        <f t="shared" si="28"/>
        <v>6323.9850616591393</v>
      </c>
      <c r="T34" s="90">
        <f t="shared" si="29"/>
        <v>0.43908478159656739</v>
      </c>
      <c r="U34" s="8">
        <v>0.16738696969696965</v>
      </c>
      <c r="V34" s="24">
        <v>14013.848484848482</v>
      </c>
      <c r="W34" s="46">
        <f t="shared" si="30"/>
        <v>0.9330173807145814</v>
      </c>
      <c r="X34" s="97">
        <f t="shared" si="31"/>
        <v>7388.1336893337311</v>
      </c>
      <c r="Y34" s="92">
        <f t="shared" si="32"/>
        <v>0.45660475174041765</v>
      </c>
    </row>
    <row r="35" spans="1:25" x14ac:dyDescent="0.25">
      <c r="A35" s="47">
        <f>0.170381-0.003</f>
        <v>0.167381</v>
      </c>
      <c r="B35" s="48">
        <v>59598.9</v>
      </c>
      <c r="C35" s="49">
        <f t="shared" si="18"/>
        <v>1.1118300767834379</v>
      </c>
      <c r="D35" s="104">
        <f t="shared" si="19"/>
        <v>4202.1295195121693</v>
      </c>
      <c r="E35" s="83">
        <f t="shared" si="20"/>
        <v>0.65269440458081818</v>
      </c>
      <c r="F35" s="5">
        <f>0.18081-0.003</f>
        <v>0.17781</v>
      </c>
      <c r="G35" s="18">
        <v>33428</v>
      </c>
      <c r="H35" s="43">
        <f t="shared" si="21"/>
        <v>1.0968784930962641</v>
      </c>
      <c r="I35" s="101">
        <f t="shared" si="22"/>
        <v>5419.0260017749169</v>
      </c>
      <c r="J35" s="86">
        <f t="shared" si="23"/>
        <v>0.49166979697700824</v>
      </c>
      <c r="K35" s="6">
        <f>0.1828-0.003</f>
        <v>0.17979999999999999</v>
      </c>
      <c r="L35" s="20">
        <v>25391</v>
      </c>
      <c r="M35" s="44">
        <f t="shared" si="24"/>
        <v>1.0749563029341151</v>
      </c>
      <c r="N35" s="94">
        <f t="shared" si="25"/>
        <v>6199.879191927871</v>
      </c>
      <c r="O35" s="88">
        <f t="shared" si="26"/>
        <v>0.45395004859573318</v>
      </c>
      <c r="P35" s="7">
        <f>0.18473-0.003</f>
        <v>0.18173</v>
      </c>
      <c r="Q35" s="22">
        <v>18091</v>
      </c>
      <c r="R35" s="45">
        <f t="shared" si="27"/>
        <v>1.0224790525912661</v>
      </c>
      <c r="S35" s="99">
        <f t="shared" si="28"/>
        <v>6998.7077842720628</v>
      </c>
      <c r="T35" s="90">
        <f t="shared" si="29"/>
        <v>0.42426249541640981</v>
      </c>
      <c r="U35" s="8">
        <v>0.1851527272727273</v>
      </c>
      <c r="V35" s="24">
        <v>16747.939393939396</v>
      </c>
      <c r="W35" s="46">
        <f t="shared" si="30"/>
        <v>1.0320439694015724</v>
      </c>
      <c r="X35" s="97">
        <f t="shared" si="31"/>
        <v>8172.2795060577637</v>
      </c>
      <c r="Y35" s="92">
        <f t="shared" si="32"/>
        <v>0.44599239880780833</v>
      </c>
    </row>
    <row r="36" spans="1:25" ht="15.75" thickBot="1" x14ac:dyDescent="0.3">
      <c r="A36" s="14">
        <f>0.180229-0.003</f>
        <v>0.177229</v>
      </c>
      <c r="B36" s="16">
        <v>65889.100000000006</v>
      </c>
      <c r="C36" s="49">
        <f t="shared" si="18"/>
        <v>1.1772455217632343</v>
      </c>
      <c r="D36" s="103">
        <f t="shared" si="19"/>
        <v>4449.3652960229783</v>
      </c>
      <c r="E36" s="83">
        <f t="shared" si="20"/>
        <v>0.64361767648428247</v>
      </c>
      <c r="F36" s="5">
        <f>0.19212-0.003</f>
        <v>0.18912000000000001</v>
      </c>
      <c r="G36" s="18">
        <v>37398</v>
      </c>
      <c r="H36" s="43">
        <f t="shared" si="21"/>
        <v>1.1666478860264635</v>
      </c>
      <c r="I36" s="101">
        <f t="shared" si="22"/>
        <v>5763.7151873104567</v>
      </c>
      <c r="J36" s="86">
        <f t="shared" si="23"/>
        <v>0.48623807112173217</v>
      </c>
      <c r="K36" s="6">
        <f>0.19485-0.003</f>
        <v>0.19184999999999999</v>
      </c>
      <c r="L36" s="20">
        <v>28955</v>
      </c>
      <c r="M36" s="44">
        <f t="shared" si="24"/>
        <v>1.1469987025467743</v>
      </c>
      <c r="N36" s="94">
        <f t="shared" si="25"/>
        <v>6615.3883368818806</v>
      </c>
      <c r="O36" s="88">
        <f t="shared" si="26"/>
        <v>0.4546818291318041</v>
      </c>
      <c r="P36" s="7">
        <f>0.19582-0.003</f>
        <v>0.19281999999999999</v>
      </c>
      <c r="Q36" s="22">
        <v>20274</v>
      </c>
      <c r="R36" s="45">
        <f t="shared" si="27"/>
        <v>1.0848754246445163</v>
      </c>
      <c r="S36" s="99">
        <f t="shared" si="28"/>
        <v>7425.8011058346956</v>
      </c>
      <c r="T36" s="90">
        <f t="shared" si="29"/>
        <v>0.42233843541187216</v>
      </c>
      <c r="U36" s="8">
        <v>0.19661090909090909</v>
      </c>
      <c r="V36" s="24">
        <v>18766.121212121208</v>
      </c>
      <c r="W36" s="46">
        <f t="shared" si="30"/>
        <v>1.0959120399395919</v>
      </c>
      <c r="X36" s="97">
        <f t="shared" si="31"/>
        <v>8678.0212568205334</v>
      </c>
      <c r="Y36" s="92">
        <f t="shared" si="32"/>
        <v>0.44318555622170491</v>
      </c>
    </row>
    <row r="37" spans="1:25" ht="60" thickBot="1" x14ac:dyDescent="0.3">
      <c r="A37" s="53" t="s">
        <v>29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5"/>
    </row>
    <row r="38" spans="1:25" x14ac:dyDescent="0.25">
      <c r="A38" s="50" t="s">
        <v>14</v>
      </c>
      <c r="B38" s="51"/>
      <c r="C38" s="51"/>
      <c r="D38" s="51"/>
      <c r="E38" s="52"/>
      <c r="F38" s="56" t="s">
        <v>15</v>
      </c>
      <c r="G38" s="57"/>
      <c r="H38" s="57"/>
      <c r="I38" s="57"/>
      <c r="J38" s="58"/>
      <c r="K38" s="59" t="s">
        <v>16</v>
      </c>
      <c r="L38" s="60"/>
      <c r="M38" s="60"/>
      <c r="N38" s="60"/>
      <c r="O38" s="61"/>
      <c r="P38" s="62" t="s">
        <v>17</v>
      </c>
      <c r="Q38" s="63"/>
      <c r="R38" s="63"/>
      <c r="S38" s="63"/>
      <c r="T38" s="64"/>
      <c r="U38" s="65" t="s">
        <v>18</v>
      </c>
      <c r="V38" s="66"/>
      <c r="W38" s="66"/>
      <c r="X38" s="66"/>
      <c r="Y38" s="67"/>
    </row>
    <row r="39" spans="1:25" x14ac:dyDescent="0.25">
      <c r="A39" s="9" t="s">
        <v>22</v>
      </c>
      <c r="B39" s="15" t="s">
        <v>13</v>
      </c>
      <c r="C39" s="15" t="s">
        <v>21</v>
      </c>
      <c r="D39" s="102" t="s">
        <v>20</v>
      </c>
      <c r="E39" s="81" t="s">
        <v>19</v>
      </c>
      <c r="F39" s="10" t="s">
        <v>22</v>
      </c>
      <c r="G39" s="17" t="s">
        <v>13</v>
      </c>
      <c r="H39" s="17" t="s">
        <v>21</v>
      </c>
      <c r="I39" s="100" t="s">
        <v>20</v>
      </c>
      <c r="J39" s="85" t="s">
        <v>19</v>
      </c>
      <c r="K39" s="11" t="s">
        <v>22</v>
      </c>
      <c r="L39" s="19" t="s">
        <v>13</v>
      </c>
      <c r="M39" s="19" t="s">
        <v>21</v>
      </c>
      <c r="N39" s="93" t="s">
        <v>20</v>
      </c>
      <c r="O39" s="87" t="s">
        <v>19</v>
      </c>
      <c r="P39" s="12" t="s">
        <v>22</v>
      </c>
      <c r="Q39" s="21" t="s">
        <v>13</v>
      </c>
      <c r="R39" s="21" t="s">
        <v>21</v>
      </c>
      <c r="S39" s="98" t="s">
        <v>20</v>
      </c>
      <c r="T39" s="89" t="s">
        <v>19</v>
      </c>
      <c r="U39" s="13" t="s">
        <v>12</v>
      </c>
      <c r="V39" s="23" t="s">
        <v>13</v>
      </c>
      <c r="W39" s="23" t="s">
        <v>21</v>
      </c>
      <c r="X39" s="96" t="s">
        <v>20</v>
      </c>
      <c r="Y39" s="91" t="s">
        <v>19</v>
      </c>
    </row>
    <row r="40" spans="1:25" x14ac:dyDescent="0.25">
      <c r="A40" s="4">
        <v>0.16419</v>
      </c>
      <c r="B40" s="4">
        <v>56084</v>
      </c>
      <c r="C40" s="4">
        <f t="shared" ref="C40:C84" si="33">(A40)/($AD$11*$AC$5)</f>
        <v>1.0906338252673402</v>
      </c>
      <c r="D40" s="105">
        <f t="shared" ref="D40:D84" si="34">(A40*$AC$6)/($AA$11*$AC$5)</f>
        <v>4122.0189018389365</v>
      </c>
      <c r="E40" s="106">
        <f t="shared" ref="E40:E84" si="35">(B40*$AC$6)/(2*$AC$7*$AD$11*(C40^2))</f>
        <v>0.63830689644333927</v>
      </c>
      <c r="F40" s="4">
        <v>0.17380000000000001</v>
      </c>
      <c r="G40" s="4">
        <v>34035</v>
      </c>
      <c r="H40" s="4">
        <f t="shared" ref="H40" si="36">(F40)/($AD$11*$AD$5)</f>
        <v>1.0721415111643366</v>
      </c>
      <c r="I40" s="95">
        <f t="shared" ref="I40" si="37">(F40*$AD$6)/($AA$11*$AD$5)</f>
        <v>5296.8152472216452</v>
      </c>
      <c r="J40" s="84">
        <f t="shared" ref="J40" si="38">(G40*$AD$6)/(2*$AD$7*$AD$11*(H40^2))</f>
        <v>0.5239643170933842</v>
      </c>
      <c r="K40" s="4">
        <v>0.17598</v>
      </c>
      <c r="L40" s="4">
        <v>25026</v>
      </c>
      <c r="M40" s="4">
        <f t="shared" ref="M40" si="39">(K40)/($AD$11*$AE$5)</f>
        <v>1.0521179654635462</v>
      </c>
      <c r="N40" s="95">
        <f t="shared" ref="N40" si="40">(K40*$AE$6)/($AA$11*$AE$5)</f>
        <v>6068.1576206644431</v>
      </c>
      <c r="O40" s="84">
        <f t="shared" ref="O40" si="41">(L40*$AE$6)/(2*$AE$7*$AD$11*(M40^2))</f>
        <v>0.46705975776048286</v>
      </c>
      <c r="P40" s="4">
        <v>0.17702000000000001</v>
      </c>
      <c r="Q40" s="4">
        <v>17117</v>
      </c>
      <c r="R40" s="4">
        <f t="shared" ref="R40" si="42">(P40)/($AD$11*$AF$5)</f>
        <v>0.9959788801502556</v>
      </c>
      <c r="S40" s="95">
        <f t="shared" ref="S40" si="43">(P40*$AF$6)/($AA$11*$AF$5)</f>
        <v>6817.3182852134523</v>
      </c>
      <c r="T40" s="84">
        <f t="shared" ref="T40" si="44">(Q40*$AF$6)/(2*$AF$7*$AD$11*(R40^2))</f>
        <v>0.42306617056821627</v>
      </c>
      <c r="U40" s="4">
        <v>0.18128</v>
      </c>
      <c r="V40" s="4">
        <v>14207</v>
      </c>
      <c r="W40" s="4">
        <f t="shared" ref="W40" si="45">(U40)/($AD$11*$AG$5)</f>
        <v>1.0104573317871668</v>
      </c>
      <c r="X40" s="95">
        <f t="shared" ref="X40" si="46">(U40*$AG$6)/($AA$11*$AG$5)</f>
        <v>8001.3448933753289</v>
      </c>
      <c r="Y40" s="84">
        <f t="shared" ref="Y40" si="47">(V40*$AG$6)/(2*$AG$7*$AD$11*(W40^2))</f>
        <v>0.39466525912874478</v>
      </c>
    </row>
    <row r="41" spans="1:25" x14ac:dyDescent="0.25">
      <c r="A41" s="4">
        <v>0.16250999999999999</v>
      </c>
      <c r="B41" s="4">
        <v>54279.999999999993</v>
      </c>
      <c r="C41" s="4">
        <f t="shared" si="33"/>
        <v>1.0794744073585203</v>
      </c>
      <c r="D41" s="105">
        <f t="shared" si="34"/>
        <v>4079.8422056023237</v>
      </c>
      <c r="E41" s="106">
        <f t="shared" si="35"/>
        <v>0.63061401748849766</v>
      </c>
      <c r="F41" s="4">
        <v>0.17126</v>
      </c>
      <c r="G41" s="4">
        <v>33005</v>
      </c>
      <c r="H41" s="4">
        <f t="shared" ref="H41:H84" si="48">(F41)/($AD$11*$AD$5)</f>
        <v>1.0564726996663076</v>
      </c>
      <c r="I41" s="95">
        <f t="shared" ref="I41:I84" si="49">(F41*$AD$6)/($AA$11*$AD$5)</f>
        <v>5219.4049438387738</v>
      </c>
      <c r="J41" s="84">
        <f t="shared" ref="J41:J84" si="50">(G41*$AD$6)/(2*$AD$7*$AD$11*(H41^2))</f>
        <v>0.52329111244322246</v>
      </c>
      <c r="K41" s="4">
        <v>0.17355000000000001</v>
      </c>
      <c r="L41" s="4">
        <v>24191</v>
      </c>
      <c r="M41" s="4">
        <f t="shared" ref="M41:M84" si="51">(K41)/($AD$11*$AE$5)</f>
        <v>1.0375899130935247</v>
      </c>
      <c r="N41" s="95">
        <f t="shared" ref="N41:N84" si="52">(K41*$AE$6)/($AA$11*$AE$5)</f>
        <v>5984.3661499392774</v>
      </c>
      <c r="O41" s="84">
        <f t="shared" ref="O41:O84" si="53">(L41*$AE$6)/(2*$AE$7*$AD$11*(M41^2))</f>
        <v>0.4642075735431696</v>
      </c>
      <c r="P41" s="4">
        <v>0.17679999999999998</v>
      </c>
      <c r="Q41" s="4">
        <v>16741</v>
      </c>
      <c r="R41" s="4">
        <f t="shared" ref="R41:R84" si="54">(P41)/($AD$11*$AF$5)</f>
        <v>0.9947410801636265</v>
      </c>
      <c r="S41" s="95">
        <f t="shared" ref="S41:S84" si="55">(P41*$AF$6)/($AA$11*$AF$5)</f>
        <v>6808.8457396098638</v>
      </c>
      <c r="T41" s="84">
        <f t="shared" ref="T41:T84" si="56">(Q41*$AF$6)/(2*$AF$7*$AD$11*(R41^2))</f>
        <v>0.41480329412844935</v>
      </c>
      <c r="U41" s="4">
        <v>0.18031</v>
      </c>
      <c r="V41" s="4">
        <v>13772</v>
      </c>
      <c r="W41" s="4">
        <f t="shared" ref="W41:W84" si="57">(U41)/($AD$11*$AG$5)</f>
        <v>1.0050505378119157</v>
      </c>
      <c r="X41" s="95">
        <f t="shared" ref="X41:X84" si="58">(U41*$AG$6)/($AA$11*$AG$5)</f>
        <v>7958.5309892128498</v>
      </c>
      <c r="Y41" s="84">
        <f t="shared" ref="Y41:Y84" si="59">(V41*$AG$6)/(2*$AG$7*$AD$11*(W41^2))</f>
        <v>0.38670847552386683</v>
      </c>
    </row>
    <row r="42" spans="1:25" x14ac:dyDescent="0.25">
      <c r="A42" s="4">
        <v>0.15989999999999999</v>
      </c>
      <c r="B42" s="4">
        <v>52397.000000000007</v>
      </c>
      <c r="C42" s="4">
        <f t="shared" si="33"/>
        <v>1.0621374545358895</v>
      </c>
      <c r="D42" s="105">
        <f t="shared" si="34"/>
        <v>4014.3176953775865</v>
      </c>
      <c r="E42" s="106">
        <f t="shared" si="35"/>
        <v>0.62877238017006021</v>
      </c>
      <c r="F42" s="4">
        <v>0.16864999999999999</v>
      </c>
      <c r="G42" s="4">
        <v>31898</v>
      </c>
      <c r="H42" s="4">
        <f t="shared" si="48"/>
        <v>1.0403720705285695</v>
      </c>
      <c r="I42" s="95">
        <f t="shared" si="49"/>
        <v>5139.8612856382642</v>
      </c>
      <c r="J42" s="84">
        <f t="shared" si="50"/>
        <v>0.52151435086542031</v>
      </c>
      <c r="K42" s="4">
        <v>0.17069999999999999</v>
      </c>
      <c r="L42" s="4">
        <v>23318</v>
      </c>
      <c r="M42" s="4">
        <f t="shared" si="51"/>
        <v>1.020550839326215</v>
      </c>
      <c r="N42" s="95">
        <f t="shared" si="52"/>
        <v>5886.0922027924789</v>
      </c>
      <c r="O42" s="84">
        <f t="shared" si="53"/>
        <v>0.46252146437177827</v>
      </c>
      <c r="P42" s="4">
        <v>0.17552000000000001</v>
      </c>
      <c r="Q42" s="4">
        <v>16192.999999999998</v>
      </c>
      <c r="R42" s="4">
        <f t="shared" si="54"/>
        <v>0.98753933478687639</v>
      </c>
      <c r="S42" s="95">
        <f t="shared" si="55"/>
        <v>6759.5509288253588</v>
      </c>
      <c r="T42" s="84">
        <f t="shared" si="56"/>
        <v>0.40709842017496989</v>
      </c>
      <c r="U42" s="4">
        <v>0.17929999999999999</v>
      </c>
      <c r="V42" s="4">
        <v>12848.000000000002</v>
      </c>
      <c r="W42" s="4">
        <f t="shared" si="57"/>
        <v>0.99942078326036521</v>
      </c>
      <c r="X42" s="95">
        <f t="shared" si="58"/>
        <v>7913.9515632292378</v>
      </c>
      <c r="Y42" s="84">
        <f t="shared" si="59"/>
        <v>0.36483899622162974</v>
      </c>
    </row>
    <row r="43" spans="1:25" x14ac:dyDescent="0.25">
      <c r="A43" s="4">
        <v>0.15567999999999999</v>
      </c>
      <c r="B43" s="4">
        <v>50771</v>
      </c>
      <c r="C43" s="4">
        <f t="shared" si="33"/>
        <v>1.0341060595506395</v>
      </c>
      <c r="D43" s="105">
        <f t="shared" si="34"/>
        <v>3908.3738512594286</v>
      </c>
      <c r="E43" s="106">
        <f t="shared" si="35"/>
        <v>0.64273808339673588</v>
      </c>
      <c r="F43" s="4">
        <v>0.1666</v>
      </c>
      <c r="G43" s="4">
        <v>30641</v>
      </c>
      <c r="H43" s="4">
        <f t="shared" si="48"/>
        <v>1.0277259825085068</v>
      </c>
      <c r="I43" s="95">
        <f t="shared" si="49"/>
        <v>5077.384465978861</v>
      </c>
      <c r="J43" s="84">
        <f t="shared" si="50"/>
        <v>0.5133675834729472</v>
      </c>
      <c r="K43" s="4">
        <v>0.16578999999999999</v>
      </c>
      <c r="L43" s="4">
        <v>22632</v>
      </c>
      <c r="M43" s="4">
        <f t="shared" si="51"/>
        <v>0.99119580346744696</v>
      </c>
      <c r="N43" s="95">
        <f t="shared" si="52"/>
        <v>5716.7851570062394</v>
      </c>
      <c r="O43" s="84">
        <f t="shared" si="53"/>
        <v>0.47589803062861846</v>
      </c>
      <c r="P43" s="4">
        <v>0.17105000000000001</v>
      </c>
      <c r="Q43" s="4">
        <v>15517</v>
      </c>
      <c r="R43" s="4">
        <f t="shared" si="54"/>
        <v>0.96238948960400639</v>
      </c>
      <c r="S43" s="95">
        <f t="shared" si="55"/>
        <v>6587.4042067888431</v>
      </c>
      <c r="T43" s="84">
        <f t="shared" si="56"/>
        <v>0.41075884564584958</v>
      </c>
      <c r="U43" s="4">
        <v>0.17607999999999999</v>
      </c>
      <c r="V43" s="4">
        <v>12626.000000000002</v>
      </c>
      <c r="W43" s="4">
        <f t="shared" si="57"/>
        <v>0.98147245686829399</v>
      </c>
      <c r="X43" s="95">
        <f t="shared" si="58"/>
        <v>7771.8270566280216</v>
      </c>
      <c r="Y43" s="84">
        <f t="shared" si="59"/>
        <v>0.37176802072467979</v>
      </c>
    </row>
    <row r="44" spans="1:25" x14ac:dyDescent="0.25">
      <c r="A44" s="4">
        <v>0.15375</v>
      </c>
      <c r="B44" s="4">
        <v>49080</v>
      </c>
      <c r="C44" s="4">
        <f t="shared" si="33"/>
        <v>1.0212860139768167</v>
      </c>
      <c r="D44" s="105">
        <f t="shared" si="34"/>
        <v>3859.9208609399871</v>
      </c>
      <c r="E44" s="106">
        <f t="shared" si="35"/>
        <v>0.63702762619455822</v>
      </c>
      <c r="F44" s="4">
        <v>0.16303000000000001</v>
      </c>
      <c r="G44" s="4">
        <v>29681.000000000004</v>
      </c>
      <c r="H44" s="4">
        <f t="shared" si="48"/>
        <v>1.0057032828833246</v>
      </c>
      <c r="I44" s="95">
        <f t="shared" si="49"/>
        <v>4968.5833702793143</v>
      </c>
      <c r="J44" s="84">
        <f t="shared" si="50"/>
        <v>0.51930077755653681</v>
      </c>
      <c r="K44" s="4">
        <v>0.1641</v>
      </c>
      <c r="L44" s="4">
        <v>21960</v>
      </c>
      <c r="M44" s="4">
        <f t="shared" si="51"/>
        <v>0.98109193165455122</v>
      </c>
      <c r="N44" s="95">
        <f t="shared" si="52"/>
        <v>5658.5104304525239</v>
      </c>
      <c r="O44" s="84">
        <f t="shared" si="53"/>
        <v>0.47132753270674521</v>
      </c>
      <c r="P44" s="4">
        <v>0.1681</v>
      </c>
      <c r="Q44" s="4">
        <v>15034</v>
      </c>
      <c r="R44" s="4">
        <f t="shared" si="54"/>
        <v>0.94579171705602727</v>
      </c>
      <c r="S44" s="95">
        <f t="shared" si="55"/>
        <v>6473.795072558928</v>
      </c>
      <c r="T44" s="84">
        <f t="shared" si="56"/>
        <v>0.41206377856435622</v>
      </c>
      <c r="U44" s="4">
        <v>0.17244000000000001</v>
      </c>
      <c r="V44" s="4">
        <v>12231</v>
      </c>
      <c r="W44" s="4">
        <f t="shared" si="57"/>
        <v>0.96118304442508318</v>
      </c>
      <c r="X44" s="95">
        <f t="shared" si="58"/>
        <v>7611.1645709049071</v>
      </c>
      <c r="Y44" s="84">
        <f t="shared" si="59"/>
        <v>0.37550198849756061</v>
      </c>
    </row>
    <row r="45" spans="1:25" x14ac:dyDescent="0.25">
      <c r="A45" s="4">
        <v>0.14974999999999999</v>
      </c>
      <c r="B45" s="4">
        <v>47409</v>
      </c>
      <c r="C45" s="4">
        <f t="shared" si="33"/>
        <v>0.99471597133676948</v>
      </c>
      <c r="D45" s="105">
        <f t="shared" si="34"/>
        <v>3759.5001556147195</v>
      </c>
      <c r="E45" s="106">
        <f t="shared" si="35"/>
        <v>0.64865100376813511</v>
      </c>
      <c r="F45" s="4">
        <v>0.15964999999999999</v>
      </c>
      <c r="G45" s="4">
        <v>28734</v>
      </c>
      <c r="H45" s="4">
        <f t="shared" si="48"/>
        <v>0.98485265970878211</v>
      </c>
      <c r="I45" s="95">
        <f t="shared" si="49"/>
        <v>4865.5728090847833</v>
      </c>
      <c r="J45" s="84">
        <f t="shared" si="50"/>
        <v>0.52424433084351518</v>
      </c>
      <c r="K45" s="4">
        <v>0.16197999999999999</v>
      </c>
      <c r="L45" s="4">
        <v>20923</v>
      </c>
      <c r="M45" s="4">
        <f t="shared" si="51"/>
        <v>0.9684172522206228</v>
      </c>
      <c r="N45" s="95">
        <f t="shared" si="52"/>
        <v>5585.4084066099922</v>
      </c>
      <c r="O45" s="84">
        <f t="shared" si="53"/>
        <v>0.46090222219172455</v>
      </c>
      <c r="P45" s="4">
        <v>0.16630999999999999</v>
      </c>
      <c r="Q45" s="4">
        <v>14592</v>
      </c>
      <c r="R45" s="4">
        <f t="shared" si="54"/>
        <v>0.93572052625572799</v>
      </c>
      <c r="S45" s="95">
        <f t="shared" si="55"/>
        <v>6404.8593606024697</v>
      </c>
      <c r="T45" s="84">
        <f t="shared" si="56"/>
        <v>0.40860475423892972</v>
      </c>
      <c r="U45" s="4">
        <v>0.16844999999999999</v>
      </c>
      <c r="V45" s="4">
        <v>11686</v>
      </c>
      <c r="W45" s="4">
        <f t="shared" si="57"/>
        <v>0.93894272693925562</v>
      </c>
      <c r="X45" s="95">
        <f t="shared" si="58"/>
        <v>7435.053769246877</v>
      </c>
      <c r="Y45" s="84">
        <f t="shared" si="59"/>
        <v>0.37596737028575827</v>
      </c>
    </row>
    <row r="46" spans="1:25" x14ac:dyDescent="0.25">
      <c r="A46" s="4">
        <v>0.14715999999999999</v>
      </c>
      <c r="B46" s="4">
        <v>45529</v>
      </c>
      <c r="C46" s="4">
        <f t="shared" si="33"/>
        <v>0.97751186872733886</v>
      </c>
      <c r="D46" s="105">
        <f t="shared" si="34"/>
        <v>3694.4777489166081</v>
      </c>
      <c r="E46" s="106">
        <f t="shared" si="35"/>
        <v>0.64504871590359047</v>
      </c>
      <c r="F46" s="4">
        <v>0.15656</v>
      </c>
      <c r="G46" s="4">
        <v>27724</v>
      </c>
      <c r="H46" s="4">
        <f t="shared" si="48"/>
        <v>0.96579099532732193</v>
      </c>
      <c r="I46" s="95">
        <f t="shared" si="49"/>
        <v>4771.4004321347566</v>
      </c>
      <c r="J46" s="84">
        <f t="shared" si="50"/>
        <v>0.5259806481623579</v>
      </c>
      <c r="K46" s="4">
        <v>0.15931000000000001</v>
      </c>
      <c r="L46" s="4">
        <v>20103</v>
      </c>
      <c r="M46" s="4">
        <f t="shared" si="51"/>
        <v>0.95245433048072259</v>
      </c>
      <c r="N46" s="95">
        <f t="shared" si="52"/>
        <v>5493.3412350724657</v>
      </c>
      <c r="O46" s="84">
        <f t="shared" si="53"/>
        <v>0.45780700502940791</v>
      </c>
      <c r="P46" s="4">
        <v>0.16303000000000001</v>
      </c>
      <c r="Q46" s="4">
        <v>14147.000000000002</v>
      </c>
      <c r="R46" s="4">
        <f t="shared" si="54"/>
        <v>0.91726605372780567</v>
      </c>
      <c r="S46" s="95">
        <f t="shared" si="55"/>
        <v>6278.5414079671737</v>
      </c>
      <c r="T46" s="84">
        <f t="shared" si="56"/>
        <v>0.41224426066139036</v>
      </c>
      <c r="U46" s="4">
        <v>0.1656</v>
      </c>
      <c r="V46" s="4">
        <v>11085</v>
      </c>
      <c r="W46" s="4">
        <f t="shared" si="57"/>
        <v>0.92305678587795037</v>
      </c>
      <c r="X46" s="95">
        <f t="shared" si="58"/>
        <v>7309.260339491143</v>
      </c>
      <c r="Y46" s="84">
        <f t="shared" si="59"/>
        <v>0.36901271934205615</v>
      </c>
    </row>
    <row r="47" spans="1:25" x14ac:dyDescent="0.25">
      <c r="A47" s="4">
        <v>0.14438999999999999</v>
      </c>
      <c r="B47" s="4">
        <v>44038</v>
      </c>
      <c r="C47" s="4">
        <f t="shared" si="33"/>
        <v>0.95911211419910614</v>
      </c>
      <c r="D47" s="105">
        <f t="shared" si="34"/>
        <v>3624.9364104788601</v>
      </c>
      <c r="E47" s="106">
        <f t="shared" si="35"/>
        <v>0.64809297822916856</v>
      </c>
      <c r="F47" s="4">
        <v>0.15326000000000001</v>
      </c>
      <c r="G47" s="4">
        <v>26758</v>
      </c>
      <c r="H47" s="4">
        <f t="shared" si="48"/>
        <v>0.94543387802673329</v>
      </c>
      <c r="I47" s="95">
        <f t="shared" si="49"/>
        <v>4670.8279907318138</v>
      </c>
      <c r="J47" s="84">
        <f t="shared" si="50"/>
        <v>0.52975066188779252</v>
      </c>
      <c r="K47" s="4">
        <v>0.15659000000000001</v>
      </c>
      <c r="L47" s="4">
        <v>19544</v>
      </c>
      <c r="M47" s="4">
        <f t="shared" si="51"/>
        <v>0.93619247762209745</v>
      </c>
      <c r="N47" s="95">
        <f t="shared" si="52"/>
        <v>5399.5499591990292</v>
      </c>
      <c r="O47" s="84">
        <f t="shared" si="53"/>
        <v>0.46067330012970292</v>
      </c>
      <c r="P47" s="4">
        <v>0.15992999999999999</v>
      </c>
      <c r="Q47" s="4">
        <v>13644</v>
      </c>
      <c r="R47" s="4">
        <f t="shared" si="54"/>
        <v>0.89982432664348855</v>
      </c>
      <c r="S47" s="95">
        <f t="shared" si="55"/>
        <v>6159.1555380984482</v>
      </c>
      <c r="T47" s="84">
        <f t="shared" si="56"/>
        <v>0.41314942993067755</v>
      </c>
      <c r="U47" s="4">
        <v>0.16186999999999999</v>
      </c>
      <c r="V47" s="4">
        <v>11083</v>
      </c>
      <c r="W47" s="4">
        <f t="shared" si="57"/>
        <v>0.9022657121380665</v>
      </c>
      <c r="X47" s="95">
        <f t="shared" si="58"/>
        <v>7144.6254296704774</v>
      </c>
      <c r="Y47" s="84">
        <f t="shared" si="59"/>
        <v>0.38614543338956131</v>
      </c>
    </row>
    <row r="48" spans="1:25" x14ac:dyDescent="0.25">
      <c r="A48" s="4">
        <v>0.14158999999999999</v>
      </c>
      <c r="B48" s="4">
        <v>42435</v>
      </c>
      <c r="C48" s="4">
        <f t="shared" si="33"/>
        <v>0.94051308435107306</v>
      </c>
      <c r="D48" s="105">
        <f t="shared" si="34"/>
        <v>3554.6419167511726</v>
      </c>
      <c r="E48" s="106">
        <f t="shared" si="35"/>
        <v>0.64944593793617367</v>
      </c>
      <c r="F48" s="4">
        <v>0.15026</v>
      </c>
      <c r="G48" s="4">
        <v>25718.000000000004</v>
      </c>
      <c r="H48" s="4">
        <f t="shared" si="48"/>
        <v>0.92692740775347082</v>
      </c>
      <c r="I48" s="95">
        <f t="shared" si="49"/>
        <v>4579.3984985473207</v>
      </c>
      <c r="J48" s="84">
        <f t="shared" si="50"/>
        <v>0.52969506164618274</v>
      </c>
      <c r="K48" s="4">
        <v>0.15243999999999999</v>
      </c>
      <c r="L48" s="4">
        <v>18847</v>
      </c>
      <c r="M48" s="4">
        <f t="shared" si="51"/>
        <v>0.9113811947679451</v>
      </c>
      <c r="N48" s="95">
        <f t="shared" si="52"/>
        <v>5256.4492993186022</v>
      </c>
      <c r="O48" s="84">
        <f t="shared" si="53"/>
        <v>0.46876155537195557</v>
      </c>
      <c r="P48" s="4">
        <v>0.15661</v>
      </c>
      <c r="Q48" s="4">
        <v>13067</v>
      </c>
      <c r="R48" s="4">
        <f t="shared" si="54"/>
        <v>0.88114479957254277</v>
      </c>
      <c r="S48" s="95">
        <f t="shared" si="55"/>
        <v>6031.2971226261361</v>
      </c>
      <c r="T48" s="84">
        <f t="shared" si="56"/>
        <v>0.41263136217378743</v>
      </c>
      <c r="U48" s="4">
        <v>0.15928</v>
      </c>
      <c r="V48" s="4">
        <v>10151</v>
      </c>
      <c r="W48" s="4">
        <f t="shared" si="57"/>
        <v>0.88782901482270493</v>
      </c>
      <c r="X48" s="95">
        <f t="shared" si="58"/>
        <v>7030.3078917521088</v>
      </c>
      <c r="Y48" s="84">
        <f t="shared" si="59"/>
        <v>0.36526884983420832</v>
      </c>
    </row>
    <row r="49" spans="1:25" x14ac:dyDescent="0.25">
      <c r="A49" s="4">
        <v>0.13786000000000001</v>
      </c>
      <c r="B49" s="4">
        <v>40700</v>
      </c>
      <c r="C49" s="4">
        <f t="shared" si="33"/>
        <v>0.91573651958922908</v>
      </c>
      <c r="D49" s="105">
        <f t="shared" si="34"/>
        <v>3460.9996090353607</v>
      </c>
      <c r="E49" s="106">
        <f t="shared" si="35"/>
        <v>0.65705514855122615</v>
      </c>
      <c r="F49" s="4">
        <v>0.14771000000000001</v>
      </c>
      <c r="G49" s="4">
        <v>24790</v>
      </c>
      <c r="H49" s="4">
        <f t="shared" si="48"/>
        <v>0.91119690802119779</v>
      </c>
      <c r="I49" s="95">
        <f t="shared" si="49"/>
        <v>4501.6834301905019</v>
      </c>
      <c r="J49" s="84">
        <f t="shared" si="50"/>
        <v>0.52836279820270071</v>
      </c>
      <c r="K49" s="4">
        <v>0.15006</v>
      </c>
      <c r="L49" s="4">
        <v>18087</v>
      </c>
      <c r="M49" s="4">
        <f t="shared" si="51"/>
        <v>0.89715207351664816</v>
      </c>
      <c r="N49" s="95">
        <f t="shared" si="52"/>
        <v>5174.3819329293465</v>
      </c>
      <c r="O49" s="84">
        <f t="shared" si="53"/>
        <v>0.46424185254210659</v>
      </c>
      <c r="P49" s="4">
        <v>0.15417999999999998</v>
      </c>
      <c r="Q49" s="4">
        <v>12835</v>
      </c>
      <c r="R49" s="4">
        <f t="shared" si="54"/>
        <v>0.86747273608386832</v>
      </c>
      <c r="S49" s="95">
        <f t="shared" si="55"/>
        <v>5937.7140052774257</v>
      </c>
      <c r="T49" s="84">
        <f t="shared" si="56"/>
        <v>0.41818178488010671</v>
      </c>
      <c r="U49" s="4">
        <v>0.15642999999999999</v>
      </c>
      <c r="V49" s="4">
        <v>10019</v>
      </c>
      <c r="W49" s="4">
        <f t="shared" si="57"/>
        <v>0.87194307376139946</v>
      </c>
      <c r="X49" s="95">
        <f t="shared" si="58"/>
        <v>6904.514461996373</v>
      </c>
      <c r="Y49" s="84">
        <f t="shared" si="59"/>
        <v>0.37377529194528175</v>
      </c>
    </row>
    <row r="50" spans="1:25" x14ac:dyDescent="0.25">
      <c r="A50" s="4">
        <v>0.13541999999999998</v>
      </c>
      <c r="B50" s="4">
        <v>39173</v>
      </c>
      <c r="C50" s="4">
        <f t="shared" si="33"/>
        <v>0.89952879357880011</v>
      </c>
      <c r="D50" s="105">
        <f t="shared" si="34"/>
        <v>3399.7429787869469</v>
      </c>
      <c r="E50" s="106">
        <f t="shared" si="35"/>
        <v>0.65539809605015842</v>
      </c>
      <c r="F50" s="4">
        <v>0.14585999999999999</v>
      </c>
      <c r="G50" s="4">
        <v>23692</v>
      </c>
      <c r="H50" s="4">
        <f t="shared" si="48"/>
        <v>0.89978458468601918</v>
      </c>
      <c r="I50" s="95">
        <f t="shared" si="49"/>
        <v>4445.3019100100628</v>
      </c>
      <c r="J50" s="84">
        <f t="shared" si="50"/>
        <v>0.51785098489085213</v>
      </c>
      <c r="K50" s="4">
        <v>0.14602000000000001</v>
      </c>
      <c r="L50" s="4">
        <v>17433</v>
      </c>
      <c r="M50" s="4">
        <f t="shared" si="51"/>
        <v>0.87299843912369035</v>
      </c>
      <c r="N50" s="95">
        <f t="shared" si="52"/>
        <v>5035.0743025879192</v>
      </c>
      <c r="O50" s="84">
        <f t="shared" si="53"/>
        <v>0.47255795472883017</v>
      </c>
      <c r="P50" s="4">
        <v>0.15076999999999999</v>
      </c>
      <c r="Q50" s="4">
        <v>12217</v>
      </c>
      <c r="R50" s="4">
        <f t="shared" si="54"/>
        <v>0.84828683629111967</v>
      </c>
      <c r="S50" s="95">
        <f t="shared" si="55"/>
        <v>5806.3895484218283</v>
      </c>
      <c r="T50" s="84">
        <f t="shared" si="56"/>
        <v>0.4162555392125642</v>
      </c>
      <c r="U50" s="4">
        <v>0.15301000000000001</v>
      </c>
      <c r="V50" s="4">
        <v>9863</v>
      </c>
      <c r="W50" s="4">
        <f t="shared" si="57"/>
        <v>0.85287994448783322</v>
      </c>
      <c r="X50" s="95">
        <f t="shared" si="58"/>
        <v>6753.562346289491</v>
      </c>
      <c r="Y50" s="84">
        <f t="shared" si="59"/>
        <v>0.38458797966557312</v>
      </c>
    </row>
    <row r="51" spans="1:25" x14ac:dyDescent="0.25">
      <c r="A51" s="4">
        <v>0.13178000000000001</v>
      </c>
      <c r="B51" s="4">
        <v>37709</v>
      </c>
      <c r="C51" s="4">
        <f t="shared" si="33"/>
        <v>0.8753500547763573</v>
      </c>
      <c r="D51" s="105">
        <f t="shared" si="34"/>
        <v>3308.360136940953</v>
      </c>
      <c r="E51" s="106">
        <f t="shared" si="35"/>
        <v>0.66623887617420996</v>
      </c>
      <c r="F51" s="4">
        <v>0.14160999999999999</v>
      </c>
      <c r="G51" s="4">
        <v>22948</v>
      </c>
      <c r="H51" s="4">
        <f t="shared" si="48"/>
        <v>0.87356708513223069</v>
      </c>
      <c r="I51" s="95">
        <f t="shared" si="49"/>
        <v>4315.7767960820311</v>
      </c>
      <c r="J51" s="84">
        <f t="shared" si="50"/>
        <v>0.53214807649280971</v>
      </c>
      <c r="K51" s="4">
        <v>0.1431</v>
      </c>
      <c r="L51" s="4">
        <v>16748</v>
      </c>
      <c r="M51" s="4">
        <f t="shared" si="51"/>
        <v>0.85554086179016631</v>
      </c>
      <c r="N51" s="95">
        <f t="shared" si="52"/>
        <v>4934.3866093708475</v>
      </c>
      <c r="O51" s="84">
        <f t="shared" si="53"/>
        <v>0.47270622438945381</v>
      </c>
      <c r="P51" s="4">
        <v>0.14717</v>
      </c>
      <c r="Q51" s="4">
        <v>11716</v>
      </c>
      <c r="R51" s="4">
        <f t="shared" si="54"/>
        <v>0.82803192741900966</v>
      </c>
      <c r="S51" s="95">
        <f t="shared" si="55"/>
        <v>5667.7478930904063</v>
      </c>
      <c r="T51" s="84">
        <f t="shared" si="56"/>
        <v>0.4189537719652518</v>
      </c>
      <c r="U51" s="4">
        <v>0.15048</v>
      </c>
      <c r="V51" s="4">
        <v>9292</v>
      </c>
      <c r="W51" s="4">
        <f t="shared" si="57"/>
        <v>0.8387776880369201</v>
      </c>
      <c r="X51" s="95">
        <f t="shared" si="58"/>
        <v>6641.8930911028219</v>
      </c>
      <c r="Y51" s="84">
        <f t="shared" si="59"/>
        <v>0.37460876909710428</v>
      </c>
    </row>
    <row r="52" spans="1:25" x14ac:dyDescent="0.25">
      <c r="A52" s="4">
        <v>0.13056999999999999</v>
      </c>
      <c r="B52" s="4">
        <v>36086</v>
      </c>
      <c r="C52" s="4">
        <f t="shared" si="33"/>
        <v>0.86731261687774286</v>
      </c>
      <c r="D52" s="105">
        <f t="shared" si="34"/>
        <v>3277.9828735800593</v>
      </c>
      <c r="E52" s="106">
        <f t="shared" si="35"/>
        <v>0.6494353110212524</v>
      </c>
      <c r="F52" s="4">
        <v>0.13799</v>
      </c>
      <c r="G52" s="4">
        <v>22029</v>
      </c>
      <c r="H52" s="4">
        <f t="shared" si="48"/>
        <v>0.8512359443358275</v>
      </c>
      <c r="I52" s="95">
        <f t="shared" si="49"/>
        <v>4205.4518755127428</v>
      </c>
      <c r="J52" s="84">
        <f t="shared" si="50"/>
        <v>0.53799105478271014</v>
      </c>
      <c r="K52" s="4">
        <v>0.13993</v>
      </c>
      <c r="L52" s="4">
        <v>16008</v>
      </c>
      <c r="M52" s="4">
        <f t="shared" si="51"/>
        <v>0.83658862886301866</v>
      </c>
      <c r="N52" s="95">
        <f t="shared" si="52"/>
        <v>4825.0783944742325</v>
      </c>
      <c r="O52" s="84">
        <f t="shared" si="53"/>
        <v>0.47252309902485545</v>
      </c>
      <c r="P52" s="4">
        <v>0.14457</v>
      </c>
      <c r="Q52" s="4">
        <v>11446</v>
      </c>
      <c r="R52" s="4">
        <f t="shared" si="54"/>
        <v>0.81340338212248586</v>
      </c>
      <c r="S52" s="95">
        <f t="shared" si="55"/>
        <v>5567.6178086843793</v>
      </c>
      <c r="T52" s="84">
        <f t="shared" si="56"/>
        <v>0.42415315436263301</v>
      </c>
      <c r="U52" s="4">
        <v>0.14718000000000001</v>
      </c>
      <c r="V52" s="4">
        <v>8924</v>
      </c>
      <c r="W52" s="4">
        <f t="shared" si="57"/>
        <v>0.82038344049225087</v>
      </c>
      <c r="X52" s="95">
        <f t="shared" si="58"/>
        <v>6496.2375408593389</v>
      </c>
      <c r="Y52" s="84">
        <f t="shared" si="59"/>
        <v>0.37608695336967046</v>
      </c>
    </row>
    <row r="53" spans="1:25" x14ac:dyDescent="0.25">
      <c r="A53" s="4">
        <v>0.12676999999999999</v>
      </c>
      <c r="B53" s="4">
        <v>34633</v>
      </c>
      <c r="C53" s="4">
        <f t="shared" si="33"/>
        <v>0.84207107636969791</v>
      </c>
      <c r="D53" s="105">
        <f t="shared" si="34"/>
        <v>3182.5832035210551</v>
      </c>
      <c r="E53" s="106">
        <f t="shared" si="35"/>
        <v>0.66121255914253774</v>
      </c>
      <c r="F53" s="4">
        <v>0.13447999999999999</v>
      </c>
      <c r="G53" s="4">
        <v>21149</v>
      </c>
      <c r="H53" s="4">
        <f t="shared" si="48"/>
        <v>0.82958337411611038</v>
      </c>
      <c r="I53" s="95">
        <f t="shared" si="49"/>
        <v>4098.479369656885</v>
      </c>
      <c r="J53" s="84">
        <f t="shared" si="50"/>
        <v>0.54381344087181882</v>
      </c>
      <c r="K53" s="4">
        <v>0.13602</v>
      </c>
      <c r="L53" s="4">
        <v>15409.999999999998</v>
      </c>
      <c r="M53" s="4">
        <f t="shared" si="51"/>
        <v>0.81321221537874511</v>
      </c>
      <c r="N53" s="95">
        <f t="shared" si="52"/>
        <v>4690.2534354061681</v>
      </c>
      <c r="O53" s="84">
        <f t="shared" si="53"/>
        <v>0.4813985013588068</v>
      </c>
      <c r="P53" s="4">
        <v>0.14074999999999999</v>
      </c>
      <c r="Q53" s="4">
        <v>10906</v>
      </c>
      <c r="R53" s="4">
        <f t="shared" si="54"/>
        <v>0.79191067326374676</v>
      </c>
      <c r="S53" s="95">
        <f t="shared" si="55"/>
        <v>5420.5036077493687</v>
      </c>
      <c r="T53" s="84">
        <f t="shared" si="56"/>
        <v>0.42637723400144878</v>
      </c>
      <c r="U53" s="4">
        <v>0.14374999999999999</v>
      </c>
      <c r="V53" s="4">
        <v>8575</v>
      </c>
      <c r="W53" s="4">
        <f t="shared" si="57"/>
        <v>0.80126457107460958</v>
      </c>
      <c r="X53" s="95">
        <f t="shared" si="58"/>
        <v>6344.8440446971717</v>
      </c>
      <c r="Y53" s="84">
        <f t="shared" si="59"/>
        <v>0.37883031522366722</v>
      </c>
    </row>
    <row r="54" spans="1:25" x14ac:dyDescent="0.25">
      <c r="A54" s="4">
        <v>0.12428</v>
      </c>
      <c r="B54" s="4">
        <v>33232</v>
      </c>
      <c r="C54" s="4">
        <f t="shared" si="33"/>
        <v>0.82553122482626862</v>
      </c>
      <c r="D54" s="105">
        <f t="shared" si="34"/>
        <v>3120.0713144560755</v>
      </c>
      <c r="E54" s="106">
        <f t="shared" si="35"/>
        <v>0.66014289256191605</v>
      </c>
      <c r="F54" s="4">
        <v>0.13225000000000001</v>
      </c>
      <c r="G54" s="4">
        <v>20307</v>
      </c>
      <c r="H54" s="4">
        <f t="shared" si="48"/>
        <v>0.81582689787965201</v>
      </c>
      <c r="I54" s="95">
        <f t="shared" si="49"/>
        <v>4030.516780466412</v>
      </c>
      <c r="J54" s="84">
        <f t="shared" si="50"/>
        <v>0.53992061329416752</v>
      </c>
      <c r="K54" s="4">
        <v>0.13397999999999999</v>
      </c>
      <c r="L54" s="4">
        <v>14791.000000000002</v>
      </c>
      <c r="M54" s="4">
        <f t="shared" si="51"/>
        <v>0.80101582573477614</v>
      </c>
      <c r="N54" s="95">
        <f t="shared" si="52"/>
        <v>4619.9099785010912</v>
      </c>
      <c r="O54" s="84">
        <f t="shared" si="53"/>
        <v>0.47623929473748433</v>
      </c>
      <c r="P54" s="4">
        <v>0.13816999999999999</v>
      </c>
      <c r="Q54" s="4">
        <v>10625</v>
      </c>
      <c r="R54" s="4">
        <f t="shared" si="54"/>
        <v>0.77739465523873452</v>
      </c>
      <c r="S54" s="95">
        <f t="shared" si="55"/>
        <v>5321.1437547618498</v>
      </c>
      <c r="T54" s="84">
        <f t="shared" si="56"/>
        <v>0.43104910246897099</v>
      </c>
      <c r="U54" s="4">
        <v>0.14074</v>
      </c>
      <c r="V54" s="4">
        <v>8219</v>
      </c>
      <c r="W54" s="4">
        <f t="shared" si="57"/>
        <v>0.78448678770810831</v>
      </c>
      <c r="X54" s="95">
        <f t="shared" si="58"/>
        <v>6211.9885276569048</v>
      </c>
      <c r="Y54" s="84">
        <f t="shared" si="59"/>
        <v>0.37880019198339121</v>
      </c>
    </row>
    <row r="55" spans="1:25" x14ac:dyDescent="0.25">
      <c r="A55" s="4">
        <v>0.12234</v>
      </c>
      <c r="B55" s="4">
        <v>31682</v>
      </c>
      <c r="C55" s="4">
        <f t="shared" si="33"/>
        <v>0.81264475414584569</v>
      </c>
      <c r="D55" s="105">
        <f t="shared" si="34"/>
        <v>3071.3672723733212</v>
      </c>
      <c r="E55" s="106">
        <f t="shared" si="35"/>
        <v>0.64947075361612661</v>
      </c>
      <c r="F55" s="4">
        <v>0.12870999999999999</v>
      </c>
      <c r="G55" s="4">
        <v>19397</v>
      </c>
      <c r="H55" s="4">
        <f t="shared" si="48"/>
        <v>0.79398926295720229</v>
      </c>
      <c r="I55" s="95">
        <f t="shared" si="49"/>
        <v>3922.6299796887101</v>
      </c>
      <c r="J55" s="84">
        <f t="shared" si="50"/>
        <v>0.54448445630170206</v>
      </c>
      <c r="K55" s="4">
        <v>0.12992000000000001</v>
      </c>
      <c r="L55" s="4">
        <v>14124</v>
      </c>
      <c r="M55" s="4">
        <f t="shared" si="51"/>
        <v>0.7767426188943285</v>
      </c>
      <c r="N55" s="95">
        <f t="shared" si="52"/>
        <v>4479.9127064253007</v>
      </c>
      <c r="O55" s="84">
        <f t="shared" si="53"/>
        <v>0.48363009870945678</v>
      </c>
      <c r="P55" s="4">
        <v>0.13535</v>
      </c>
      <c r="Q55" s="4">
        <v>10088</v>
      </c>
      <c r="R55" s="4">
        <f t="shared" si="54"/>
        <v>0.76152830995558174</v>
      </c>
      <c r="S55" s="95">
        <f t="shared" si="55"/>
        <v>5212.5411247522352</v>
      </c>
      <c r="T55" s="84">
        <f t="shared" si="56"/>
        <v>0.42649493209851358</v>
      </c>
      <c r="U55" s="4">
        <v>0.13791999999999999</v>
      </c>
      <c r="V55" s="4">
        <v>7729.9999999999991</v>
      </c>
      <c r="W55" s="4">
        <f t="shared" si="57"/>
        <v>0.76876806707902712</v>
      </c>
      <c r="X55" s="95">
        <f t="shared" si="58"/>
        <v>6087.5192392670187</v>
      </c>
      <c r="Y55" s="84">
        <f t="shared" si="59"/>
        <v>0.37098068631816261</v>
      </c>
    </row>
    <row r="56" spans="1:25" x14ac:dyDescent="0.25">
      <c r="A56" s="4">
        <v>0.11875999999999999</v>
      </c>
      <c r="B56" s="4">
        <v>30397</v>
      </c>
      <c r="C56" s="4">
        <f t="shared" si="33"/>
        <v>0.78886456598300325</v>
      </c>
      <c r="D56" s="105">
        <f t="shared" si="34"/>
        <v>2981.4907411072058</v>
      </c>
      <c r="E56" s="106">
        <f t="shared" si="35"/>
        <v>0.6612631284244499</v>
      </c>
      <c r="F56" s="4">
        <v>0.12694</v>
      </c>
      <c r="G56" s="4">
        <v>18670</v>
      </c>
      <c r="H56" s="4">
        <f t="shared" si="48"/>
        <v>0.78307044549597749</v>
      </c>
      <c r="I56" s="95">
        <f t="shared" si="49"/>
        <v>3868.6865792998592</v>
      </c>
      <c r="J56" s="84">
        <f t="shared" si="50"/>
        <v>0.53879409956655622</v>
      </c>
      <c r="K56" s="4">
        <v>0.12778999999999999</v>
      </c>
      <c r="L56" s="4">
        <v>13489.000000000002</v>
      </c>
      <c r="M56" s="4">
        <f t="shared" si="51"/>
        <v>0.76400815323665505</v>
      </c>
      <c r="N56" s="95">
        <f t="shared" si="52"/>
        <v>4406.4658617155874</v>
      </c>
      <c r="O56" s="84">
        <f t="shared" si="53"/>
        <v>0.47741235133769683</v>
      </c>
      <c r="P56" s="4">
        <v>0.13222999999999999</v>
      </c>
      <c r="Q56" s="4">
        <v>9761</v>
      </c>
      <c r="R56" s="4">
        <f t="shared" si="54"/>
        <v>0.74397405559975294</v>
      </c>
      <c r="S56" s="95">
        <f t="shared" si="55"/>
        <v>5092.3850234650017</v>
      </c>
      <c r="T56" s="84">
        <f t="shared" si="56"/>
        <v>0.43237406761953306</v>
      </c>
      <c r="U56" s="4">
        <v>0.13563</v>
      </c>
      <c r="V56" s="4">
        <v>7481</v>
      </c>
      <c r="W56" s="4">
        <f t="shared" si="57"/>
        <v>0.75600357408590824</v>
      </c>
      <c r="X56" s="95">
        <f t="shared" si="58"/>
        <v>5986.4431150071478</v>
      </c>
      <c r="Y56" s="84">
        <f t="shared" si="59"/>
        <v>0.37125681504915914</v>
      </c>
    </row>
    <row r="57" spans="1:25" x14ac:dyDescent="0.25">
      <c r="A57" s="4">
        <v>0.11517999999999999</v>
      </c>
      <c r="B57" s="4">
        <v>29004.999999999996</v>
      </c>
      <c r="C57" s="4">
        <f t="shared" si="33"/>
        <v>0.76508437782016103</v>
      </c>
      <c r="D57" s="105">
        <f t="shared" si="34"/>
        <v>2891.614209841091</v>
      </c>
      <c r="E57" s="106">
        <f t="shared" si="35"/>
        <v>0.67081487327425582</v>
      </c>
      <c r="F57" s="4">
        <v>0.12337000000000001</v>
      </c>
      <c r="G57" s="4">
        <v>17821</v>
      </c>
      <c r="H57" s="4">
        <f t="shared" si="48"/>
        <v>0.76104774587079527</v>
      </c>
      <c r="I57" s="95">
        <f t="shared" si="49"/>
        <v>3759.8854836003125</v>
      </c>
      <c r="J57" s="84">
        <f t="shared" si="50"/>
        <v>0.54448816175461934</v>
      </c>
      <c r="K57" s="4">
        <v>0.12458</v>
      </c>
      <c r="L57" s="4">
        <v>12947</v>
      </c>
      <c r="M57" s="4">
        <f t="shared" si="51"/>
        <v>0.74481677541452773</v>
      </c>
      <c r="N57" s="95">
        <f t="shared" si="52"/>
        <v>4295.7783633502468</v>
      </c>
      <c r="O57" s="84">
        <f t="shared" si="53"/>
        <v>0.48214773529175359</v>
      </c>
      <c r="P57" s="4">
        <v>0.12864</v>
      </c>
      <c r="Q57" s="4">
        <v>9269</v>
      </c>
      <c r="R57" s="4">
        <f t="shared" si="54"/>
        <v>0.72377541036339887</v>
      </c>
      <c r="S57" s="95">
        <f t="shared" si="55"/>
        <v>4954.1284838428346</v>
      </c>
      <c r="T57" s="84">
        <f t="shared" si="56"/>
        <v>0.43381657469674345</v>
      </c>
      <c r="U57" s="4">
        <v>0.13122</v>
      </c>
      <c r="V57" s="4">
        <v>7198</v>
      </c>
      <c r="W57" s="4">
        <f t="shared" si="57"/>
        <v>0.7314221705489411</v>
      </c>
      <c r="X57" s="95">
        <f t="shared" si="58"/>
        <v>5791.794334227221</v>
      </c>
      <c r="Y57" s="84">
        <f t="shared" si="59"/>
        <v>0.38162610854991952</v>
      </c>
    </row>
    <row r="58" spans="1:25" x14ac:dyDescent="0.25">
      <c r="A58" s="4">
        <v>0.11241</v>
      </c>
      <c r="B58" s="4">
        <v>27582</v>
      </c>
      <c r="C58" s="4">
        <f t="shared" si="33"/>
        <v>0.74668462329192831</v>
      </c>
      <c r="D58" s="105">
        <f t="shared" si="34"/>
        <v>2822.072871403343</v>
      </c>
      <c r="E58" s="106">
        <f t="shared" si="35"/>
        <v>0.66973010340576544</v>
      </c>
      <c r="F58" s="4">
        <v>0.12068999999999999</v>
      </c>
      <c r="G58" s="4">
        <v>16971</v>
      </c>
      <c r="H58" s="4">
        <f t="shared" si="48"/>
        <v>0.74451529909334735</v>
      </c>
      <c r="I58" s="95">
        <f t="shared" si="49"/>
        <v>3678.2084705821649</v>
      </c>
      <c r="J58" s="84">
        <f t="shared" si="50"/>
        <v>0.54180169569225578</v>
      </c>
      <c r="K58" s="4">
        <v>0.12128</v>
      </c>
      <c r="L58" s="4">
        <v>12337</v>
      </c>
      <c r="M58" s="4">
        <f t="shared" si="51"/>
        <v>0.72508732157869582</v>
      </c>
      <c r="N58" s="95">
        <f t="shared" si="52"/>
        <v>4181.9874771802688</v>
      </c>
      <c r="O58" s="84">
        <f t="shared" si="53"/>
        <v>0.48477344772884234</v>
      </c>
      <c r="P58" s="4">
        <v>0.12537000000000001</v>
      </c>
      <c r="Q58" s="4">
        <v>8971</v>
      </c>
      <c r="R58" s="4">
        <f t="shared" si="54"/>
        <v>0.70537720147123228</v>
      </c>
      <c r="S58" s="95">
        <f t="shared" si="55"/>
        <v>4828.1956469167917</v>
      </c>
      <c r="T58" s="84">
        <f t="shared" si="56"/>
        <v>0.4420576662093596</v>
      </c>
      <c r="U58" s="4">
        <v>0.12755</v>
      </c>
      <c r="V58" s="4">
        <v>6826</v>
      </c>
      <c r="W58" s="4">
        <f t="shared" si="57"/>
        <v>0.71096553767350579</v>
      </c>
      <c r="X58" s="95">
        <f t="shared" si="58"/>
        <v>5629.8077071382559</v>
      </c>
      <c r="Y58" s="84">
        <f t="shared" si="59"/>
        <v>0.38302900422143898</v>
      </c>
    </row>
    <row r="59" spans="1:25" x14ac:dyDescent="0.25">
      <c r="A59" s="4">
        <v>0.11065999999999999</v>
      </c>
      <c r="B59" s="4">
        <v>26326</v>
      </c>
      <c r="C59" s="4">
        <f t="shared" si="33"/>
        <v>0.73506022963690765</v>
      </c>
      <c r="D59" s="105">
        <f t="shared" si="34"/>
        <v>2778.138812823538</v>
      </c>
      <c r="E59" s="106">
        <f t="shared" si="35"/>
        <v>0.65961041896714068</v>
      </c>
      <c r="F59" s="4">
        <v>0.11823</v>
      </c>
      <c r="G59" s="4">
        <v>16299</v>
      </c>
      <c r="H59" s="4">
        <f t="shared" si="48"/>
        <v>0.72933999346927225</v>
      </c>
      <c r="I59" s="95">
        <f t="shared" si="49"/>
        <v>3603.2362869908802</v>
      </c>
      <c r="J59" s="84">
        <f t="shared" si="50"/>
        <v>0.54222692796777949</v>
      </c>
      <c r="K59" s="4">
        <v>0.1183</v>
      </c>
      <c r="L59" s="4">
        <v>11751</v>
      </c>
      <c r="M59" s="4">
        <f t="shared" si="51"/>
        <v>0.70727102690270216</v>
      </c>
      <c r="N59" s="95">
        <f t="shared" si="52"/>
        <v>4079.2308587601074</v>
      </c>
      <c r="O59" s="84">
        <f t="shared" si="53"/>
        <v>0.4853029969258893</v>
      </c>
      <c r="P59" s="4">
        <v>0.12220999999999999</v>
      </c>
      <c r="Q59" s="4">
        <v>8416</v>
      </c>
      <c r="R59" s="4">
        <f t="shared" si="54"/>
        <v>0.68759789257238002</v>
      </c>
      <c r="S59" s="95">
        <f t="shared" si="55"/>
        <v>4706.499082792543</v>
      </c>
      <c r="T59" s="84">
        <f t="shared" si="56"/>
        <v>0.43643297864993447</v>
      </c>
      <c r="U59" s="4">
        <v>0.12567999999999999</v>
      </c>
      <c r="V59" s="4">
        <v>6518</v>
      </c>
      <c r="W59" s="4">
        <f t="shared" si="57"/>
        <v>0.70054213073152649</v>
      </c>
      <c r="X59" s="95">
        <f t="shared" si="58"/>
        <v>5547.2695620002823</v>
      </c>
      <c r="Y59" s="84">
        <f t="shared" si="59"/>
        <v>0.37671101180442301</v>
      </c>
    </row>
    <row r="60" spans="1:25" x14ac:dyDescent="0.25">
      <c r="A60" s="4">
        <v>0.10697</v>
      </c>
      <c r="B60" s="4">
        <v>25084</v>
      </c>
      <c r="C60" s="4">
        <f t="shared" si="33"/>
        <v>0.71054936530146395</v>
      </c>
      <c r="D60" s="105">
        <f t="shared" si="34"/>
        <v>2685.5007121609788</v>
      </c>
      <c r="E60" s="106">
        <f t="shared" si="35"/>
        <v>0.6725998440395764</v>
      </c>
      <c r="F60" s="4">
        <v>0.11541</v>
      </c>
      <c r="G60" s="4">
        <v>15362.999999999998</v>
      </c>
      <c r="H60" s="4">
        <f t="shared" si="48"/>
        <v>0.71194391141240554</v>
      </c>
      <c r="I60" s="95">
        <f t="shared" si="49"/>
        <v>3517.2925643374565</v>
      </c>
      <c r="J60" s="84">
        <f t="shared" si="50"/>
        <v>0.53637021050757783</v>
      </c>
      <c r="K60" s="4">
        <v>0.11438999999999999</v>
      </c>
      <c r="L60" s="4">
        <v>11100</v>
      </c>
      <c r="M60" s="4">
        <f t="shared" si="51"/>
        <v>0.6838946134184285</v>
      </c>
      <c r="N60" s="95">
        <f t="shared" si="52"/>
        <v>3944.4058996920421</v>
      </c>
      <c r="O60" s="84">
        <f t="shared" si="53"/>
        <v>0.49029164781246143</v>
      </c>
      <c r="P60" s="4">
        <v>0.11978999999999999</v>
      </c>
      <c r="Q60" s="4">
        <v>8130</v>
      </c>
      <c r="R60" s="4">
        <f t="shared" si="54"/>
        <v>0.67398209271946163</v>
      </c>
      <c r="S60" s="95">
        <f t="shared" si="55"/>
        <v>4613.3010811530867</v>
      </c>
      <c r="T60" s="84">
        <f t="shared" si="56"/>
        <v>0.43880820276497656</v>
      </c>
      <c r="U60" s="4">
        <v>0.12142</v>
      </c>
      <c r="V60" s="4">
        <v>6229</v>
      </c>
      <c r="W60" s="4">
        <f t="shared" si="57"/>
        <v>0.67679682935568075</v>
      </c>
      <c r="X60" s="95">
        <f t="shared" si="58"/>
        <v>5359.2414880496053</v>
      </c>
      <c r="Y60" s="84">
        <f t="shared" si="59"/>
        <v>0.38571291179183886</v>
      </c>
    </row>
    <row r="61" spans="1:25" x14ac:dyDescent="0.25">
      <c r="A61" s="4">
        <v>0.10396</v>
      </c>
      <c r="B61" s="4">
        <v>23757</v>
      </c>
      <c r="C61" s="4">
        <f t="shared" si="33"/>
        <v>0.69055540821482841</v>
      </c>
      <c r="D61" s="105">
        <f t="shared" si="34"/>
        <v>2609.9341314037142</v>
      </c>
      <c r="E61" s="106">
        <f t="shared" si="35"/>
        <v>0.67443953114602728</v>
      </c>
      <c r="F61" s="4">
        <v>0.11097</v>
      </c>
      <c r="G61" s="4">
        <v>14643</v>
      </c>
      <c r="H61" s="4">
        <f t="shared" si="48"/>
        <v>0.68455433540797717</v>
      </c>
      <c r="I61" s="95">
        <f t="shared" si="49"/>
        <v>3381.9769159044067</v>
      </c>
      <c r="J61" s="84">
        <f t="shared" si="50"/>
        <v>0.55296085929359784</v>
      </c>
      <c r="K61" s="4">
        <v>0.11237999999999999</v>
      </c>
      <c r="L61" s="4">
        <v>10647</v>
      </c>
      <c r="M61" s="4">
        <f t="shared" si="51"/>
        <v>0.67187758244569451</v>
      </c>
      <c r="N61" s="95">
        <f t="shared" si="52"/>
        <v>3875.0969053885101</v>
      </c>
      <c r="O61" s="84">
        <f t="shared" si="53"/>
        <v>0.48725559512118122</v>
      </c>
      <c r="P61" s="4">
        <v>0.11688</v>
      </c>
      <c r="Q61" s="4">
        <v>7761.9999999999991</v>
      </c>
      <c r="R61" s="4">
        <f t="shared" si="54"/>
        <v>0.65760937471450609</v>
      </c>
      <c r="S61" s="95">
        <f t="shared" si="55"/>
        <v>4501.2324097601868</v>
      </c>
      <c r="T61" s="84">
        <f t="shared" si="56"/>
        <v>0.44006674819284358</v>
      </c>
      <c r="U61" s="4">
        <v>0.11867999999999999</v>
      </c>
      <c r="V61" s="4">
        <v>5973</v>
      </c>
      <c r="W61" s="4">
        <f t="shared" si="57"/>
        <v>0.66152402987919767</v>
      </c>
      <c r="X61" s="95">
        <f t="shared" si="58"/>
        <v>5238.3032433019853</v>
      </c>
      <c r="Y61" s="84">
        <f t="shared" si="59"/>
        <v>0.38713616432480741</v>
      </c>
    </row>
    <row r="62" spans="1:25" x14ac:dyDescent="0.25">
      <c r="A62" s="4">
        <v>0.10031999999999999</v>
      </c>
      <c r="B62" s="4">
        <v>22514</v>
      </c>
      <c r="C62" s="4">
        <f t="shared" si="33"/>
        <v>0.66637666941238538</v>
      </c>
      <c r="D62" s="105">
        <f t="shared" si="34"/>
        <v>2518.5512895577203</v>
      </c>
      <c r="E62" s="106">
        <f t="shared" si="35"/>
        <v>0.68637518940443221</v>
      </c>
      <c r="F62" s="4">
        <v>0.10838</v>
      </c>
      <c r="G62" s="4">
        <v>13913</v>
      </c>
      <c r="H62" s="4">
        <f t="shared" si="48"/>
        <v>0.66857708273872729</v>
      </c>
      <c r="I62" s="95">
        <f t="shared" si="49"/>
        <v>3303.0427876517942</v>
      </c>
      <c r="J62" s="84">
        <f t="shared" si="50"/>
        <v>0.55080515074450598</v>
      </c>
      <c r="K62" s="4">
        <v>0.10919</v>
      </c>
      <c r="L62" s="4">
        <v>10067</v>
      </c>
      <c r="M62" s="4">
        <f t="shared" si="51"/>
        <v>0.65280577707105703</v>
      </c>
      <c r="N62" s="95">
        <f t="shared" si="52"/>
        <v>3765.0990487575323</v>
      </c>
      <c r="O62" s="84">
        <f t="shared" si="53"/>
        <v>0.48802489071362498</v>
      </c>
      <c r="P62" s="4">
        <v>0.11355999999999999</v>
      </c>
      <c r="Q62" s="4">
        <v>7360</v>
      </c>
      <c r="R62" s="4">
        <f t="shared" si="54"/>
        <v>0.63892984764356009</v>
      </c>
      <c r="S62" s="95">
        <f t="shared" si="55"/>
        <v>4373.3739942878747</v>
      </c>
      <c r="T62" s="84">
        <f t="shared" si="56"/>
        <v>0.44203063397627129</v>
      </c>
      <c r="U62" s="4">
        <v>0.11605</v>
      </c>
      <c r="V62" s="4">
        <v>5804</v>
      </c>
      <c r="W62" s="4">
        <f t="shared" si="57"/>
        <v>0.6468643719875371</v>
      </c>
      <c r="X62" s="95">
        <f t="shared" si="58"/>
        <v>5122.2201835624828</v>
      </c>
      <c r="Y62" s="84">
        <f t="shared" si="59"/>
        <v>0.39342632629153174</v>
      </c>
    </row>
    <row r="63" spans="1:25" x14ac:dyDescent="0.25">
      <c r="A63" s="4">
        <v>9.7379999999999994E-2</v>
      </c>
      <c r="B63" s="4">
        <v>21366</v>
      </c>
      <c r="C63" s="4">
        <f t="shared" si="33"/>
        <v>0.6468476880719507</v>
      </c>
      <c r="D63" s="105">
        <f t="shared" si="34"/>
        <v>2444.7420711436484</v>
      </c>
      <c r="E63" s="106">
        <f t="shared" si="35"/>
        <v>0.69130173270959272</v>
      </c>
      <c r="F63" s="4">
        <v>0.10559</v>
      </c>
      <c r="G63" s="4">
        <v>13275</v>
      </c>
      <c r="H63" s="4">
        <f t="shared" si="48"/>
        <v>0.6513660653845933</v>
      </c>
      <c r="I63" s="95">
        <f t="shared" si="49"/>
        <v>3218.0133599202154</v>
      </c>
      <c r="J63" s="84">
        <f t="shared" si="50"/>
        <v>0.5536871583383024</v>
      </c>
      <c r="K63" s="4">
        <v>0.10695</v>
      </c>
      <c r="L63" s="4">
        <v>9678</v>
      </c>
      <c r="M63" s="4">
        <f t="shared" si="51"/>
        <v>0.63941366295218927</v>
      </c>
      <c r="N63" s="95">
        <f t="shared" si="52"/>
        <v>3687.8591745088206</v>
      </c>
      <c r="O63" s="84">
        <f t="shared" si="53"/>
        <v>0.48902569188267014</v>
      </c>
      <c r="P63" s="4">
        <v>0.11035</v>
      </c>
      <c r="Q63" s="4">
        <v>6918.0000000000009</v>
      </c>
      <c r="R63" s="4">
        <f t="shared" si="54"/>
        <v>0.62086922056592875</v>
      </c>
      <c r="S63" s="95">
        <f t="shared" si="55"/>
        <v>4249.7518516173559</v>
      </c>
      <c r="T63" s="84">
        <f t="shared" si="56"/>
        <v>0.44000863991628714</v>
      </c>
      <c r="U63" s="4">
        <v>0.11313999999999999</v>
      </c>
      <c r="V63" s="4">
        <v>5492</v>
      </c>
      <c r="W63" s="4">
        <f t="shared" si="57"/>
        <v>0.63064399006178318</v>
      </c>
      <c r="X63" s="95">
        <f t="shared" si="58"/>
        <v>4993.7784710750475</v>
      </c>
      <c r="Y63" s="84">
        <f t="shared" si="59"/>
        <v>0.39167376537902249</v>
      </c>
    </row>
    <row r="64" spans="1:25" x14ac:dyDescent="0.25">
      <c r="A64" s="4">
        <v>9.4909999999999994E-2</v>
      </c>
      <c r="B64" s="4">
        <v>20286</v>
      </c>
      <c r="C64" s="4">
        <f t="shared" si="33"/>
        <v>0.63044068674172149</v>
      </c>
      <c r="D64" s="105">
        <f t="shared" si="34"/>
        <v>2382.7322856052956</v>
      </c>
      <c r="E64" s="106">
        <f t="shared" si="35"/>
        <v>0.69096561551104385</v>
      </c>
      <c r="F64" s="4">
        <v>0.10120999999999999</v>
      </c>
      <c r="G64" s="4">
        <v>12516</v>
      </c>
      <c r="H64" s="4">
        <f t="shared" si="48"/>
        <v>0.62434661878563003</v>
      </c>
      <c r="I64" s="95">
        <f t="shared" si="49"/>
        <v>3084.5263013308549</v>
      </c>
      <c r="J64" s="84">
        <f t="shared" si="50"/>
        <v>0.5681908109165642</v>
      </c>
      <c r="K64" s="4">
        <v>0.10324</v>
      </c>
      <c r="L64" s="4">
        <v>9073</v>
      </c>
      <c r="M64" s="4">
        <f t="shared" si="51"/>
        <v>0.61723297394281462</v>
      </c>
      <c r="N64" s="95">
        <f t="shared" si="52"/>
        <v>3559.930632784391</v>
      </c>
      <c r="O64" s="84">
        <f t="shared" si="53"/>
        <v>0.49199711413923447</v>
      </c>
      <c r="P64" s="4">
        <v>0.10742</v>
      </c>
      <c r="Q64" s="4">
        <v>6610.0000000000009</v>
      </c>
      <c r="R64" s="4">
        <f t="shared" si="54"/>
        <v>0.60438397528946131</v>
      </c>
      <c r="S64" s="95">
        <f t="shared" si="55"/>
        <v>4136.9129488059489</v>
      </c>
      <c r="T64" s="84">
        <f t="shared" si="56"/>
        <v>0.44366634410575756</v>
      </c>
      <c r="U64" s="4">
        <v>0.10947</v>
      </c>
      <c r="V64" s="4">
        <v>5203</v>
      </c>
      <c r="W64" s="4">
        <f t="shared" si="57"/>
        <v>0.61018735718634798</v>
      </c>
      <c r="X64" s="95">
        <f t="shared" si="58"/>
        <v>4831.7918439860832</v>
      </c>
      <c r="Y64" s="84">
        <f t="shared" si="59"/>
        <v>0.39636006695579568</v>
      </c>
    </row>
    <row r="65" spans="1:25" x14ac:dyDescent="0.25">
      <c r="A65" s="4">
        <v>9.2689999999999995E-2</v>
      </c>
      <c r="B65" s="4">
        <v>19032</v>
      </c>
      <c r="C65" s="4">
        <f t="shared" si="33"/>
        <v>0.61569431307649525</v>
      </c>
      <c r="D65" s="105">
        <f t="shared" si="34"/>
        <v>2326.998794149772</v>
      </c>
      <c r="E65" s="106">
        <f t="shared" si="35"/>
        <v>0.67967708243651559</v>
      </c>
      <c r="F65" s="4">
        <v>9.8639999999999992E-2</v>
      </c>
      <c r="G65" s="4">
        <v>11850</v>
      </c>
      <c r="H65" s="4">
        <f t="shared" si="48"/>
        <v>0.60849274258486852</v>
      </c>
      <c r="I65" s="95">
        <f t="shared" si="49"/>
        <v>3006.2017030261391</v>
      </c>
      <c r="J65" s="84">
        <f t="shared" si="50"/>
        <v>0.56635367666393499</v>
      </c>
      <c r="K65" s="4">
        <v>0.10077</v>
      </c>
      <c r="L65" s="4">
        <v>8548</v>
      </c>
      <c r="M65" s="4">
        <f t="shared" si="51"/>
        <v>0.60246577667781309</v>
      </c>
      <c r="N65" s="95">
        <f t="shared" si="52"/>
        <v>3474.7598785904984</v>
      </c>
      <c r="O65" s="84">
        <f t="shared" si="53"/>
        <v>0.48653000905502958</v>
      </c>
      <c r="P65" s="4">
        <v>0.10431</v>
      </c>
      <c r="Q65" s="4">
        <v>6327.0000000000009</v>
      </c>
      <c r="R65" s="4">
        <f t="shared" si="54"/>
        <v>0.58688598456938845</v>
      </c>
      <c r="S65" s="95">
        <f t="shared" si="55"/>
        <v>4017.1419632279699</v>
      </c>
      <c r="T65" s="84">
        <f t="shared" si="56"/>
        <v>0.45037187868874506</v>
      </c>
      <c r="U65" s="4">
        <v>0.10781</v>
      </c>
      <c r="V65" s="4">
        <v>5007</v>
      </c>
      <c r="W65" s="4">
        <f t="shared" si="57"/>
        <v>0.60093449326993853</v>
      </c>
      <c r="X65" s="95">
        <f t="shared" si="58"/>
        <v>4758.5226884090589</v>
      </c>
      <c r="Y65" s="84">
        <f t="shared" si="59"/>
        <v>0.39326545831227483</v>
      </c>
    </row>
    <row r="66" spans="1:25" x14ac:dyDescent="0.25">
      <c r="A66" s="4">
        <v>9.0139999999999998E-2</v>
      </c>
      <c r="B66" s="4">
        <v>18041</v>
      </c>
      <c r="C66" s="4">
        <f t="shared" si="33"/>
        <v>0.59875591089346514</v>
      </c>
      <c r="D66" s="105">
        <f t="shared" si="34"/>
        <v>2262.9805945049134</v>
      </c>
      <c r="E66" s="106">
        <f t="shared" si="35"/>
        <v>0.68125462049346186</v>
      </c>
      <c r="F66" s="4">
        <v>9.6509999999999999E-2</v>
      </c>
      <c r="G66" s="4">
        <v>11254</v>
      </c>
      <c r="H66" s="4">
        <f t="shared" si="48"/>
        <v>0.59535314869085232</v>
      </c>
      <c r="I66" s="95">
        <f t="shared" si="49"/>
        <v>2941.2867635751491</v>
      </c>
      <c r="J66" s="84">
        <f t="shared" si="50"/>
        <v>0.56187250503448161</v>
      </c>
      <c r="K66" s="4">
        <v>9.8479999999999998E-2</v>
      </c>
      <c r="L66" s="4">
        <v>8155.9999999999991</v>
      </c>
      <c r="M66" s="4">
        <f t="shared" si="51"/>
        <v>0.58877473144022063</v>
      </c>
      <c r="N66" s="95">
        <f t="shared" si="52"/>
        <v>3395.7959000058777</v>
      </c>
      <c r="O66" s="84">
        <f t="shared" si="53"/>
        <v>0.48605875875363141</v>
      </c>
      <c r="P66" s="4">
        <v>9.9629999999999996E-2</v>
      </c>
      <c r="Q66" s="4">
        <v>5888</v>
      </c>
      <c r="R66" s="4">
        <f t="shared" si="54"/>
        <v>0.56055460303564542</v>
      </c>
      <c r="S66" s="95">
        <f t="shared" si="55"/>
        <v>3836.9078112971201</v>
      </c>
      <c r="T66" s="84">
        <f t="shared" si="56"/>
        <v>0.45942313635314536</v>
      </c>
      <c r="U66" s="4">
        <v>0.10391</v>
      </c>
      <c r="V66" s="4">
        <v>4632</v>
      </c>
      <c r="W66" s="4">
        <f t="shared" si="57"/>
        <v>0.57919583708078393</v>
      </c>
      <c r="X66" s="95">
        <f t="shared" si="58"/>
        <v>4586.3843108485789</v>
      </c>
      <c r="Y66" s="84">
        <f t="shared" si="59"/>
        <v>0.39163379807640236</v>
      </c>
    </row>
    <row r="67" spans="1:25" x14ac:dyDescent="0.25">
      <c r="A67" s="4">
        <v>8.7179999999999994E-2</v>
      </c>
      <c r="B67" s="4">
        <v>16977</v>
      </c>
      <c r="C67" s="4">
        <f t="shared" si="33"/>
        <v>0.57909407933983015</v>
      </c>
      <c r="D67" s="105">
        <f t="shared" si="34"/>
        <v>2188.6692725642151</v>
      </c>
      <c r="E67" s="106">
        <f t="shared" si="35"/>
        <v>0.68534804943850947</v>
      </c>
      <c r="F67" s="4">
        <v>9.3490000000000004E-2</v>
      </c>
      <c r="G67" s="4">
        <v>10567</v>
      </c>
      <c r="H67" s="4">
        <f t="shared" si="48"/>
        <v>0.57672330194910149</v>
      </c>
      <c r="I67" s="95">
        <f t="shared" si="49"/>
        <v>2849.247741442759</v>
      </c>
      <c r="J67" s="84">
        <f t="shared" si="50"/>
        <v>0.56220782879912512</v>
      </c>
      <c r="K67" s="4">
        <v>9.4070000000000001E-2</v>
      </c>
      <c r="L67" s="4">
        <v>7571</v>
      </c>
      <c r="M67" s="4">
        <f t="shared" si="51"/>
        <v>0.56240900676869987</v>
      </c>
      <c r="N67" s="95">
        <f t="shared" si="52"/>
        <v>3243.7298975787257</v>
      </c>
      <c r="O67" s="84">
        <f t="shared" si="53"/>
        <v>0.49449123086618763</v>
      </c>
      <c r="P67" s="4">
        <v>9.7610000000000002E-2</v>
      </c>
      <c r="Q67" s="4">
        <v>5613</v>
      </c>
      <c r="R67" s="4">
        <f t="shared" si="54"/>
        <v>0.54918934861296143</v>
      </c>
      <c r="S67" s="95">
        <f t="shared" si="55"/>
        <v>3759.1144380278224</v>
      </c>
      <c r="T67" s="84">
        <f t="shared" si="56"/>
        <v>0.4562803208607859</v>
      </c>
      <c r="U67" s="4">
        <v>0.1007</v>
      </c>
      <c r="V67" s="4">
        <v>4406</v>
      </c>
      <c r="W67" s="4">
        <f t="shared" si="57"/>
        <v>0.56130325083278743</v>
      </c>
      <c r="X67" s="95">
        <f t="shared" si="58"/>
        <v>4444.7011847026452</v>
      </c>
      <c r="Y67" s="84">
        <f t="shared" si="59"/>
        <v>0.39665401539763112</v>
      </c>
    </row>
    <row r="68" spans="1:25" x14ac:dyDescent="0.25">
      <c r="A68" s="4">
        <v>8.5379999999999998E-2</v>
      </c>
      <c r="B68" s="4">
        <v>15989.999999999998</v>
      </c>
      <c r="C68" s="4">
        <f t="shared" si="33"/>
        <v>0.56713756015180894</v>
      </c>
      <c r="D68" s="105">
        <f t="shared" si="34"/>
        <v>2143.4799551678448</v>
      </c>
      <c r="E68" s="106">
        <f t="shared" si="35"/>
        <v>0.67300784179189654</v>
      </c>
      <c r="F68" s="4">
        <v>8.9950000000000002E-2</v>
      </c>
      <c r="G68" s="4">
        <v>9942</v>
      </c>
      <c r="H68" s="4">
        <f t="shared" si="48"/>
        <v>0.55488566702665176</v>
      </c>
      <c r="I68" s="95">
        <f t="shared" si="49"/>
        <v>2741.3609406650571</v>
      </c>
      <c r="J68" s="84">
        <f t="shared" si="50"/>
        <v>0.57140880002642225</v>
      </c>
      <c r="K68" s="4">
        <v>9.1619999999999993E-2</v>
      </c>
      <c r="L68" s="4">
        <v>7187</v>
      </c>
      <c r="M68" s="4">
        <f t="shared" si="51"/>
        <v>0.54776138195118818</v>
      </c>
      <c r="N68" s="95">
        <f t="shared" si="52"/>
        <v>3159.2487851191968</v>
      </c>
      <c r="O68" s="84">
        <f t="shared" si="53"/>
        <v>0.49485128940470813</v>
      </c>
      <c r="P68" s="4">
        <v>9.5500000000000002E-2</v>
      </c>
      <c r="Q68" s="4">
        <v>5296</v>
      </c>
      <c r="R68" s="4">
        <f t="shared" si="54"/>
        <v>0.53731772146847478</v>
      </c>
      <c r="S68" s="95">
        <f t="shared" si="55"/>
        <v>3677.855023375238</v>
      </c>
      <c r="T68" s="84">
        <f t="shared" si="56"/>
        <v>0.44974521855961219</v>
      </c>
      <c r="U68" s="4">
        <v>9.8199999999999996E-2</v>
      </c>
      <c r="V68" s="4">
        <v>4140</v>
      </c>
      <c r="W68" s="4">
        <f t="shared" si="57"/>
        <v>0.54736821481409859</v>
      </c>
      <c r="X68" s="95">
        <f t="shared" si="58"/>
        <v>4334.356070881825</v>
      </c>
      <c r="Y68" s="84">
        <f t="shared" si="59"/>
        <v>0.39192563343124898</v>
      </c>
    </row>
    <row r="69" spans="1:25" x14ac:dyDescent="0.25">
      <c r="A69" s="4">
        <v>8.1970000000000001E-2</v>
      </c>
      <c r="B69" s="4">
        <v>14877.000000000002</v>
      </c>
      <c r="C69" s="4">
        <f t="shared" si="33"/>
        <v>0.54448659880116868</v>
      </c>
      <c r="D69" s="105">
        <f t="shared" si="34"/>
        <v>2057.8713038780538</v>
      </c>
      <c r="E69" s="106">
        <f t="shared" si="35"/>
        <v>0.67934354726503154</v>
      </c>
      <c r="F69" s="4">
        <v>8.7190000000000004E-2</v>
      </c>
      <c r="G69" s="4">
        <v>9304</v>
      </c>
      <c r="H69" s="4">
        <f t="shared" si="48"/>
        <v>0.53785971437525038</v>
      </c>
      <c r="I69" s="95">
        <f t="shared" si="49"/>
        <v>2657.2458078553232</v>
      </c>
      <c r="J69" s="84">
        <f t="shared" si="50"/>
        <v>0.56913048314565573</v>
      </c>
      <c r="K69" s="4">
        <v>8.8359999999999994E-2</v>
      </c>
      <c r="L69" s="4">
        <v>6669</v>
      </c>
      <c r="M69" s="4">
        <f t="shared" si="51"/>
        <v>0.52827107301033605</v>
      </c>
      <c r="N69" s="95">
        <f t="shared" si="52"/>
        <v>3046.8371824179462</v>
      </c>
      <c r="O69" s="84">
        <f t="shared" si="53"/>
        <v>0.49369296566405696</v>
      </c>
      <c r="P69" s="4">
        <v>9.2429999999999998E-2</v>
      </c>
      <c r="Q69" s="4">
        <v>5033</v>
      </c>
      <c r="R69" s="4">
        <f t="shared" si="54"/>
        <v>0.52004478529142539</v>
      </c>
      <c r="S69" s="95">
        <f t="shared" si="55"/>
        <v>3559.6245006342747</v>
      </c>
      <c r="T69" s="84">
        <f t="shared" si="56"/>
        <v>0.45627465556186453</v>
      </c>
      <c r="U69" s="4">
        <v>9.5759999999999998E-2</v>
      </c>
      <c r="V69" s="4">
        <v>3923.9999999999995</v>
      </c>
      <c r="W69" s="4">
        <f t="shared" si="57"/>
        <v>0.53376761965985819</v>
      </c>
      <c r="X69" s="95">
        <f t="shared" si="58"/>
        <v>4226.6592397927043</v>
      </c>
      <c r="Y69" s="84">
        <f t="shared" si="59"/>
        <v>0.39064927917449616</v>
      </c>
    </row>
    <row r="70" spans="1:25" x14ac:dyDescent="0.25">
      <c r="A70" s="4">
        <v>7.8079999999999997E-2</v>
      </c>
      <c r="B70" s="4">
        <v>13993</v>
      </c>
      <c r="C70" s="4">
        <f t="shared" si="33"/>
        <v>0.51864723233372267</v>
      </c>
      <c r="D70" s="105">
        <f t="shared" si="34"/>
        <v>1960.2121679492307</v>
      </c>
      <c r="E70" s="106">
        <f t="shared" si="35"/>
        <v>0.70423107775528304</v>
      </c>
      <c r="F70" s="4">
        <v>8.4220000000000003E-2</v>
      </c>
      <c r="G70" s="4">
        <v>8815</v>
      </c>
      <c r="H70" s="4">
        <f t="shared" si="48"/>
        <v>0.51953830880472052</v>
      </c>
      <c r="I70" s="95">
        <f t="shared" si="49"/>
        <v>2566.730610592675</v>
      </c>
      <c r="J70" s="84">
        <f t="shared" si="50"/>
        <v>0.57791949328497605</v>
      </c>
      <c r="K70" s="4">
        <v>8.5150000000000003E-2</v>
      </c>
      <c r="L70" s="4">
        <v>6279</v>
      </c>
      <c r="M70" s="4">
        <f t="shared" si="51"/>
        <v>0.50907969518820873</v>
      </c>
      <c r="N70" s="95">
        <f t="shared" si="52"/>
        <v>2936.1496840526042</v>
      </c>
      <c r="O70" s="84">
        <f t="shared" si="53"/>
        <v>0.50052850407496863</v>
      </c>
      <c r="P70" s="4">
        <v>8.9179999999999995E-2</v>
      </c>
      <c r="Q70" s="4">
        <v>4677</v>
      </c>
      <c r="R70" s="4">
        <f t="shared" si="54"/>
        <v>0.50175910367077048</v>
      </c>
      <c r="S70" s="95">
        <f t="shared" si="55"/>
        <v>3434.4618951267407</v>
      </c>
      <c r="T70" s="84">
        <f t="shared" si="56"/>
        <v>0.4554678799232208</v>
      </c>
      <c r="U70" s="4">
        <v>9.0829999999999994E-2</v>
      </c>
      <c r="V70" s="4">
        <v>3638.0000000000005</v>
      </c>
      <c r="W70" s="4">
        <f t="shared" si="57"/>
        <v>0.5062877286310038</v>
      </c>
      <c r="X70" s="95">
        <f t="shared" si="58"/>
        <v>4009.0586753380462</v>
      </c>
      <c r="Y70" s="84">
        <f t="shared" si="59"/>
        <v>0.4025597685432985</v>
      </c>
    </row>
    <row r="71" spans="1:25" x14ac:dyDescent="0.25">
      <c r="A71" s="4">
        <v>7.5700000000000003E-2</v>
      </c>
      <c r="B71" s="4">
        <v>13070.000000000002</v>
      </c>
      <c r="C71" s="4">
        <f t="shared" si="33"/>
        <v>0.50283805696289452</v>
      </c>
      <c r="D71" s="105">
        <f t="shared" si="34"/>
        <v>1900.4618482806966</v>
      </c>
      <c r="E71" s="106">
        <f t="shared" si="35"/>
        <v>0.69979009384145197</v>
      </c>
      <c r="F71" s="4">
        <v>8.2739999999999994E-2</v>
      </c>
      <c r="G71" s="4">
        <v>8220</v>
      </c>
      <c r="H71" s="4">
        <f t="shared" si="48"/>
        <v>0.51040845013657765</v>
      </c>
      <c r="I71" s="95">
        <f t="shared" si="49"/>
        <v>2521.6253944483246</v>
      </c>
      <c r="J71" s="84">
        <f t="shared" si="50"/>
        <v>0.55836255448718974</v>
      </c>
      <c r="K71" s="4">
        <v>8.3180000000000004E-2</v>
      </c>
      <c r="L71" s="4">
        <v>5959</v>
      </c>
      <c r="M71" s="4">
        <f t="shared" si="51"/>
        <v>0.49730180911045446</v>
      </c>
      <c r="N71" s="95">
        <f t="shared" si="52"/>
        <v>2868.2199732177996</v>
      </c>
      <c r="O71" s="84">
        <f t="shared" si="53"/>
        <v>0.497786586272562</v>
      </c>
      <c r="P71" s="4">
        <v>8.5739999999999997E-2</v>
      </c>
      <c r="Q71" s="4">
        <v>4388</v>
      </c>
      <c r="R71" s="4">
        <f t="shared" si="54"/>
        <v>0.48240441297075415</v>
      </c>
      <c r="S71" s="95">
        <f t="shared" si="55"/>
        <v>3301.9820911433817</v>
      </c>
      <c r="T71" s="84">
        <f t="shared" si="56"/>
        <v>0.46230115892401208</v>
      </c>
      <c r="U71" s="4">
        <v>8.8529999999999998E-2</v>
      </c>
      <c r="V71" s="4">
        <v>3332.0000000000005</v>
      </c>
      <c r="W71" s="4">
        <f t="shared" si="57"/>
        <v>0.49346749549381003</v>
      </c>
      <c r="X71" s="95">
        <f t="shared" si="58"/>
        <v>3907.5411706228915</v>
      </c>
      <c r="Y71" s="84">
        <f t="shared" si="59"/>
        <v>0.38810600966868664</v>
      </c>
    </row>
    <row r="72" spans="1:25" x14ac:dyDescent="0.25">
      <c r="A72" s="4">
        <v>7.3369999999999991E-2</v>
      </c>
      <c r="B72" s="4">
        <v>12124</v>
      </c>
      <c r="C72" s="4">
        <f t="shared" si="33"/>
        <v>0.48736100712506691</v>
      </c>
      <c r="D72" s="105">
        <f t="shared" si="34"/>
        <v>1841.9667874287275</v>
      </c>
      <c r="E72" s="106">
        <f t="shared" si="35"/>
        <v>0.69102355476763033</v>
      </c>
      <c r="F72" s="4">
        <v>7.986E-2</v>
      </c>
      <c r="G72" s="4">
        <v>7681</v>
      </c>
      <c r="H72" s="4">
        <f t="shared" si="48"/>
        <v>0.49264223867424584</v>
      </c>
      <c r="I72" s="95">
        <f t="shared" si="49"/>
        <v>2433.8530819512112</v>
      </c>
      <c r="J72" s="84">
        <f t="shared" si="50"/>
        <v>0.56006012686167317</v>
      </c>
      <c r="K72" s="4">
        <v>7.9320000000000002E-2</v>
      </c>
      <c r="L72" s="4">
        <v>5477</v>
      </c>
      <c r="M72" s="4">
        <f t="shared" si="51"/>
        <v>0.47422432674490561</v>
      </c>
      <c r="N72" s="95">
        <f t="shared" si="52"/>
        <v>2735.1191184856443</v>
      </c>
      <c r="O72" s="84">
        <f t="shared" si="53"/>
        <v>0.50313550573367838</v>
      </c>
      <c r="P72" s="4">
        <v>8.3080000000000001E-2</v>
      </c>
      <c r="Q72" s="4">
        <v>4113</v>
      </c>
      <c r="R72" s="4">
        <f t="shared" si="54"/>
        <v>0.4674382858596951</v>
      </c>
      <c r="S72" s="95">
        <f t="shared" si="55"/>
        <v>3199.5413124818301</v>
      </c>
      <c r="T72" s="84">
        <f t="shared" si="56"/>
        <v>0.46152056262425717</v>
      </c>
      <c r="U72" s="4">
        <v>8.5589999999999999E-2</v>
      </c>
      <c r="V72" s="4">
        <v>3250</v>
      </c>
      <c r="W72" s="4">
        <f t="shared" si="57"/>
        <v>0.47707989313583193</v>
      </c>
      <c r="X72" s="95">
        <f t="shared" si="58"/>
        <v>3777.7753167696069</v>
      </c>
      <c r="Y72" s="84">
        <f t="shared" si="59"/>
        <v>0.40500800915274049</v>
      </c>
    </row>
    <row r="73" spans="1:25" x14ac:dyDescent="0.25">
      <c r="A73" s="4">
        <v>7.0889999999999995E-2</v>
      </c>
      <c r="B73" s="4">
        <v>11243</v>
      </c>
      <c r="C73" s="4">
        <f t="shared" si="33"/>
        <v>0.47088758068823766</v>
      </c>
      <c r="D73" s="105">
        <f t="shared" si="34"/>
        <v>1779.7059501270612</v>
      </c>
      <c r="E73" s="106">
        <f t="shared" si="35"/>
        <v>0.68642994296173288</v>
      </c>
      <c r="F73" s="4">
        <v>7.5979999999999992E-2</v>
      </c>
      <c r="G73" s="4">
        <v>7101</v>
      </c>
      <c r="H73" s="4">
        <f t="shared" si="48"/>
        <v>0.46870720378749303</v>
      </c>
      <c r="I73" s="95">
        <f t="shared" si="49"/>
        <v>2315.6042720592663</v>
      </c>
      <c r="J73" s="84">
        <f t="shared" si="50"/>
        <v>0.57200053534429651</v>
      </c>
      <c r="K73" s="4">
        <v>7.5380000000000003E-2</v>
      </c>
      <c r="L73" s="4">
        <v>5100</v>
      </c>
      <c r="M73" s="4">
        <f t="shared" si="51"/>
        <v>0.4506685545893972</v>
      </c>
      <c r="N73" s="95">
        <f t="shared" si="52"/>
        <v>2599.2596968160346</v>
      </c>
      <c r="O73" s="84">
        <f t="shared" si="53"/>
        <v>0.51875888259348046</v>
      </c>
      <c r="P73" s="4">
        <v>8.0849999999999991E-2</v>
      </c>
      <c r="Q73" s="4">
        <v>3889.9999999999995</v>
      </c>
      <c r="R73" s="4">
        <f t="shared" si="54"/>
        <v>0.45489149508613802</v>
      </c>
      <c r="S73" s="95">
        <f t="shared" si="55"/>
        <v>3113.6605093181988</v>
      </c>
      <c r="T73" s="84">
        <f t="shared" si="56"/>
        <v>0.46090866667965336</v>
      </c>
      <c r="U73" s="4">
        <v>8.2369999999999999E-2</v>
      </c>
      <c r="V73" s="4">
        <v>3035</v>
      </c>
      <c r="W73" s="4">
        <f t="shared" si="57"/>
        <v>0.45913156674376066</v>
      </c>
      <c r="X73" s="95">
        <f t="shared" si="58"/>
        <v>3635.6508101683903</v>
      </c>
      <c r="Y73" s="84">
        <f t="shared" si="59"/>
        <v>0.4083634524315326</v>
      </c>
    </row>
    <row r="74" spans="1:25" x14ac:dyDescent="0.25">
      <c r="A74" s="4">
        <v>6.7369999999999999E-2</v>
      </c>
      <c r="B74" s="4">
        <v>10445</v>
      </c>
      <c r="C74" s="4">
        <f t="shared" si="33"/>
        <v>0.44750594316499609</v>
      </c>
      <c r="D74" s="105">
        <f t="shared" si="34"/>
        <v>1691.3357294408256</v>
      </c>
      <c r="E74" s="106">
        <f t="shared" si="35"/>
        <v>0.70608878151979126</v>
      </c>
      <c r="F74" s="4">
        <v>7.3230000000000003E-2</v>
      </c>
      <c r="G74" s="4">
        <v>6617.0000000000009</v>
      </c>
      <c r="H74" s="4">
        <f t="shared" si="48"/>
        <v>0.45174293937033588</v>
      </c>
      <c r="I74" s="95">
        <f t="shared" si="49"/>
        <v>2231.7939042234811</v>
      </c>
      <c r="J74" s="84">
        <f t="shared" si="50"/>
        <v>0.57379738861440799</v>
      </c>
      <c r="K74" s="4">
        <v>7.2620000000000004E-2</v>
      </c>
      <c r="L74" s="4">
        <v>4806</v>
      </c>
      <c r="M74" s="4">
        <f t="shared" si="51"/>
        <v>0.43416755683579233</v>
      </c>
      <c r="N74" s="95">
        <f t="shared" si="52"/>
        <v>2504.0891374738712</v>
      </c>
      <c r="O74" s="84">
        <f t="shared" si="53"/>
        <v>0.52671891375227131</v>
      </c>
      <c r="P74" s="4">
        <v>7.7699999999999991E-2</v>
      </c>
      <c r="Q74" s="4">
        <v>3590</v>
      </c>
      <c r="R74" s="4">
        <f t="shared" si="54"/>
        <v>0.4371684498230417</v>
      </c>
      <c r="S74" s="95">
        <f t="shared" si="55"/>
        <v>2992.3490609032037</v>
      </c>
      <c r="T74" s="84">
        <f t="shared" si="56"/>
        <v>0.46055100312603903</v>
      </c>
      <c r="U74" s="4">
        <v>7.9229999999999995E-2</v>
      </c>
      <c r="V74" s="4">
        <v>2732</v>
      </c>
      <c r="W74" s="4">
        <f t="shared" si="57"/>
        <v>0.44162916150428744</v>
      </c>
      <c r="X74" s="95">
        <f t="shared" si="58"/>
        <v>3497.0573472094397</v>
      </c>
      <c r="Y74" s="84">
        <f t="shared" si="59"/>
        <v>0.39730834456993996</v>
      </c>
    </row>
    <row r="75" spans="1:25" x14ac:dyDescent="0.25">
      <c r="A75" s="4">
        <v>6.4019999999999994E-2</v>
      </c>
      <c r="B75" s="4">
        <v>9576</v>
      </c>
      <c r="C75" s="4">
        <f t="shared" si="33"/>
        <v>0.42525353245395647</v>
      </c>
      <c r="D75" s="105">
        <f t="shared" si="34"/>
        <v>1607.2333887309137</v>
      </c>
      <c r="E75" s="106">
        <f t="shared" si="35"/>
        <v>0.71686398076473246</v>
      </c>
      <c r="F75" s="4">
        <v>6.9510000000000002E-2</v>
      </c>
      <c r="G75" s="4">
        <v>6122</v>
      </c>
      <c r="H75" s="4">
        <f t="shared" si="48"/>
        <v>0.42879491623149046</v>
      </c>
      <c r="I75" s="95">
        <f t="shared" si="49"/>
        <v>2118.4213339147095</v>
      </c>
      <c r="J75" s="84">
        <f t="shared" si="50"/>
        <v>0.58921561714441106</v>
      </c>
      <c r="K75" s="4">
        <v>7.0629999999999998E-2</v>
      </c>
      <c r="L75" s="4">
        <v>4410</v>
      </c>
      <c r="M75" s="4">
        <f t="shared" si="51"/>
        <v>0.42227009831054818</v>
      </c>
      <c r="N75" s="95">
        <f t="shared" si="52"/>
        <v>2435.4697849047029</v>
      </c>
      <c r="O75" s="84">
        <f t="shared" si="53"/>
        <v>0.51093754062423258</v>
      </c>
      <c r="P75" s="4">
        <v>7.4060000000000001E-2</v>
      </c>
      <c r="Q75" s="4">
        <v>3383</v>
      </c>
      <c r="R75" s="4">
        <f t="shared" si="54"/>
        <v>0.41668848640790829</v>
      </c>
      <c r="S75" s="95">
        <f t="shared" si="55"/>
        <v>2852.1669427347661</v>
      </c>
      <c r="T75" s="84">
        <f t="shared" si="56"/>
        <v>0.47770512871750165</v>
      </c>
      <c r="U75" s="4">
        <v>7.6339999999999991E-2</v>
      </c>
      <c r="V75" s="4">
        <v>2624</v>
      </c>
      <c r="W75" s="4">
        <f t="shared" si="57"/>
        <v>0.42552025986668307</v>
      </c>
      <c r="X75" s="95">
        <f t="shared" si="58"/>
        <v>3369.4983956325714</v>
      </c>
      <c r="Y75" s="84">
        <f t="shared" si="59"/>
        <v>0.41104164298288953</v>
      </c>
    </row>
    <row r="76" spans="1:25" x14ac:dyDescent="0.25">
      <c r="A76" s="4">
        <v>6.1810000000000004E-2</v>
      </c>
      <c r="B76" s="4">
        <v>8835</v>
      </c>
      <c r="C76" s="4">
        <f t="shared" si="33"/>
        <v>0.41057358389533044</v>
      </c>
      <c r="D76" s="105">
        <f t="shared" si="34"/>
        <v>1551.7509490387035</v>
      </c>
      <c r="E76" s="106">
        <f t="shared" si="35"/>
        <v>0.70953370149252104</v>
      </c>
      <c r="F76" s="4">
        <v>6.6739999999999994E-2</v>
      </c>
      <c r="G76" s="4">
        <v>5646</v>
      </c>
      <c r="H76" s="4">
        <f t="shared" si="48"/>
        <v>0.41170727534584478</v>
      </c>
      <c r="I76" s="95">
        <f t="shared" si="49"/>
        <v>2034.0014361310268</v>
      </c>
      <c r="J76" s="84">
        <f t="shared" si="50"/>
        <v>0.5894459257720317</v>
      </c>
      <c r="K76" s="4">
        <v>6.7709999999999992E-2</v>
      </c>
      <c r="L76" s="4">
        <v>4084.9999999999995</v>
      </c>
      <c r="M76" s="4">
        <f t="shared" si="51"/>
        <v>0.40481252097702414</v>
      </c>
      <c r="N76" s="95">
        <f t="shared" si="52"/>
        <v>2334.7820916876317</v>
      </c>
      <c r="O76" s="84">
        <f t="shared" si="53"/>
        <v>0.51498439525793394</v>
      </c>
      <c r="P76" s="4">
        <v>6.9739999999999996E-2</v>
      </c>
      <c r="Q76" s="4">
        <v>3084</v>
      </c>
      <c r="R76" s="4">
        <f t="shared" si="54"/>
        <v>0.39238259576137619</v>
      </c>
      <c r="S76" s="95">
        <f t="shared" si="55"/>
        <v>2685.7969563370584</v>
      </c>
      <c r="T76" s="84">
        <f t="shared" si="56"/>
        <v>0.49110663870731047</v>
      </c>
      <c r="U76" s="4">
        <v>7.2609999999999994E-2</v>
      </c>
      <c r="V76" s="4">
        <v>2414</v>
      </c>
      <c r="W76" s="4">
        <f t="shared" si="57"/>
        <v>0.40472918612679931</v>
      </c>
      <c r="X76" s="95">
        <f t="shared" si="58"/>
        <v>3204.8634858119071</v>
      </c>
      <c r="Y76" s="84">
        <f t="shared" si="59"/>
        <v>0.41799462347130817</v>
      </c>
    </row>
    <row r="77" spans="1:25" x14ac:dyDescent="0.25">
      <c r="A77" s="4">
        <v>5.8929999999999996E-2</v>
      </c>
      <c r="B77" s="4">
        <v>8031.0000000000009</v>
      </c>
      <c r="C77" s="4">
        <f t="shared" si="33"/>
        <v>0.39144315319449635</v>
      </c>
      <c r="D77" s="105">
        <f t="shared" si="34"/>
        <v>1479.4480412045102</v>
      </c>
      <c r="E77" s="106">
        <f t="shared" si="35"/>
        <v>0.70954624408552802</v>
      </c>
      <c r="F77" s="4">
        <v>6.4710000000000004E-2</v>
      </c>
      <c r="G77" s="4">
        <v>5177</v>
      </c>
      <c r="H77" s="4">
        <f t="shared" si="48"/>
        <v>0.39918456379427059</v>
      </c>
      <c r="I77" s="95">
        <f t="shared" si="49"/>
        <v>1972.1341464195204</v>
      </c>
      <c r="J77" s="84">
        <f t="shared" si="50"/>
        <v>0.57492456644289303</v>
      </c>
      <c r="K77" s="4">
        <v>6.4210000000000003E-2</v>
      </c>
      <c r="L77" s="4">
        <v>3674</v>
      </c>
      <c r="M77" s="4">
        <f t="shared" si="51"/>
        <v>0.38388734266629337</v>
      </c>
      <c r="N77" s="95">
        <f t="shared" si="52"/>
        <v>2214.094788174019</v>
      </c>
      <c r="O77" s="84">
        <f t="shared" si="53"/>
        <v>0.51504057996024299</v>
      </c>
      <c r="P77" s="4">
        <v>6.7569999999999991E-2</v>
      </c>
      <c r="Q77" s="4">
        <v>2870</v>
      </c>
      <c r="R77" s="4">
        <f t="shared" si="54"/>
        <v>0.3801733868023543</v>
      </c>
      <c r="S77" s="95">
        <f t="shared" si="55"/>
        <v>2602.2268474289508</v>
      </c>
      <c r="T77" s="84">
        <f t="shared" si="56"/>
        <v>0.4868547151660626</v>
      </c>
      <c r="U77" s="4">
        <v>7.0199999999999999E-2</v>
      </c>
      <c r="V77" s="4">
        <v>2275</v>
      </c>
      <c r="W77" s="4">
        <f t="shared" si="57"/>
        <v>0.39129581140478331</v>
      </c>
      <c r="X77" s="95">
        <f t="shared" si="58"/>
        <v>3098.4907960886367</v>
      </c>
      <c r="Y77" s="84">
        <f t="shared" si="59"/>
        <v>0.42143779411575166</v>
      </c>
    </row>
    <row r="78" spans="1:25" x14ac:dyDescent="0.25">
      <c r="A78" s="4">
        <v>5.6489999999999999E-2</v>
      </c>
      <c r="B78" s="4">
        <v>7385</v>
      </c>
      <c r="C78" s="4">
        <f t="shared" si="33"/>
        <v>0.37523542718406749</v>
      </c>
      <c r="D78" s="105">
        <f t="shared" si="34"/>
        <v>1418.1914109560969</v>
      </c>
      <c r="E78" s="106">
        <f t="shared" si="35"/>
        <v>0.7100538915124659</v>
      </c>
      <c r="F78" s="4">
        <v>6.2030000000000002E-2</v>
      </c>
      <c r="G78" s="4">
        <v>4739</v>
      </c>
      <c r="H78" s="4">
        <f t="shared" si="48"/>
        <v>0.38265211701682278</v>
      </c>
      <c r="I78" s="95">
        <f t="shared" si="49"/>
        <v>1890.4571334013731</v>
      </c>
      <c r="J78" s="84">
        <f t="shared" si="50"/>
        <v>0.5727414931773932</v>
      </c>
      <c r="K78" s="4">
        <v>6.0950000000000004E-2</v>
      </c>
      <c r="L78" s="4">
        <v>3398.0000000000005</v>
      </c>
      <c r="M78" s="4">
        <f t="shared" si="51"/>
        <v>0.36439703372544124</v>
      </c>
      <c r="N78" s="95">
        <f t="shared" si="52"/>
        <v>2101.6831854727689</v>
      </c>
      <c r="O78" s="84">
        <f t="shared" si="53"/>
        <v>0.52866869055788412</v>
      </c>
      <c r="P78" s="4">
        <v>6.3799999999999996E-2</v>
      </c>
      <c r="Q78" s="4">
        <v>2607</v>
      </c>
      <c r="R78" s="4">
        <f t="shared" si="54"/>
        <v>0.3589619961223946</v>
      </c>
      <c r="S78" s="95">
        <f t="shared" si="55"/>
        <v>2457.0382250402113</v>
      </c>
      <c r="T78" s="84">
        <f t="shared" si="56"/>
        <v>0.49604947614041328</v>
      </c>
      <c r="U78" s="4">
        <v>6.6750000000000004E-2</v>
      </c>
      <c r="V78" s="4">
        <v>2062</v>
      </c>
      <c r="W78" s="4">
        <f t="shared" si="57"/>
        <v>0.37206546169899268</v>
      </c>
      <c r="X78" s="95">
        <f t="shared" si="58"/>
        <v>2946.2145390159048</v>
      </c>
      <c r="Y78" s="84">
        <f t="shared" si="59"/>
        <v>0.4224860992515555</v>
      </c>
    </row>
    <row r="79" spans="1:25" x14ac:dyDescent="0.25">
      <c r="A79" s="4">
        <v>5.33E-2</v>
      </c>
      <c r="B79" s="4">
        <v>6623.9999999999991</v>
      </c>
      <c r="C79" s="4">
        <f t="shared" si="33"/>
        <v>0.35404581817862985</v>
      </c>
      <c r="D79" s="105">
        <f t="shared" si="34"/>
        <v>1338.1058984591957</v>
      </c>
      <c r="E79" s="106">
        <f t="shared" si="35"/>
        <v>0.71540153474852175</v>
      </c>
      <c r="F79" s="4">
        <v>6.0170000000000001E-2</v>
      </c>
      <c r="G79" s="4">
        <v>4376</v>
      </c>
      <c r="H79" s="4">
        <f t="shared" si="48"/>
        <v>0.3711781054474001</v>
      </c>
      <c r="I79" s="95">
        <f t="shared" si="49"/>
        <v>1833.770848246987</v>
      </c>
      <c r="J79" s="84">
        <f t="shared" si="50"/>
        <v>0.56207308744361151</v>
      </c>
      <c r="K79" s="4">
        <v>5.8589999999999996E-2</v>
      </c>
      <c r="L79" s="4">
        <v>3089</v>
      </c>
      <c r="M79" s="4">
        <f t="shared" si="51"/>
        <v>0.35028748492163408</v>
      </c>
      <c r="N79" s="95">
        <f t="shared" si="52"/>
        <v>2020.3054608178754</v>
      </c>
      <c r="O79" s="84">
        <f t="shared" si="53"/>
        <v>0.52009005394288532</v>
      </c>
      <c r="P79" s="4">
        <v>6.1089999999999992E-2</v>
      </c>
      <c r="Q79" s="4">
        <v>2409</v>
      </c>
      <c r="R79" s="4">
        <f t="shared" si="54"/>
        <v>0.3437145508325562</v>
      </c>
      <c r="S79" s="95">
        <f t="shared" si="55"/>
        <v>2352.67186783239</v>
      </c>
      <c r="T79" s="84">
        <f t="shared" si="56"/>
        <v>0.49994458790602964</v>
      </c>
      <c r="U79" s="4">
        <v>6.4079999999999998E-2</v>
      </c>
      <c r="V79" s="4">
        <v>1951</v>
      </c>
      <c r="W79" s="4">
        <f t="shared" si="57"/>
        <v>0.35718284323103294</v>
      </c>
      <c r="X79" s="95">
        <f t="shared" si="58"/>
        <v>2828.3659574552685</v>
      </c>
      <c r="Y79" s="84">
        <f t="shared" si="59"/>
        <v>0.43374907997466183</v>
      </c>
    </row>
    <row r="80" spans="1:25" x14ac:dyDescent="0.25">
      <c r="A80" s="4">
        <v>5.074E-2</v>
      </c>
      <c r="B80" s="4">
        <v>5969</v>
      </c>
      <c r="C80" s="4">
        <f t="shared" si="33"/>
        <v>0.33704099088899958</v>
      </c>
      <c r="D80" s="105">
        <f t="shared" si="34"/>
        <v>1273.8366470510243</v>
      </c>
      <c r="E80" s="106">
        <f t="shared" si="35"/>
        <v>0.71135209502243524</v>
      </c>
      <c r="F80" s="4">
        <v>5.654E-2</v>
      </c>
      <c r="G80" s="4">
        <v>3921</v>
      </c>
      <c r="H80" s="4">
        <f t="shared" si="48"/>
        <v>0.34878527641675255</v>
      </c>
      <c r="I80" s="95">
        <f t="shared" si="49"/>
        <v>1723.1411627037501</v>
      </c>
      <c r="J80" s="84">
        <f t="shared" si="50"/>
        <v>0.57037533261239814</v>
      </c>
      <c r="K80" s="4">
        <v>5.6509999999999998E-2</v>
      </c>
      <c r="L80" s="4">
        <v>2814</v>
      </c>
      <c r="M80" s="4">
        <f t="shared" si="51"/>
        <v>0.33785195038268551</v>
      </c>
      <c r="N80" s="95">
        <f t="shared" si="52"/>
        <v>1948.5827204440714</v>
      </c>
      <c r="O80" s="84">
        <f t="shared" si="53"/>
        <v>0.50930872333246646</v>
      </c>
      <c r="P80" s="4">
        <v>5.8549999999999998E-2</v>
      </c>
      <c r="Q80" s="4">
        <v>2199</v>
      </c>
      <c r="R80" s="4">
        <f t="shared" si="54"/>
        <v>0.32942358735056748</v>
      </c>
      <c r="S80" s="95">
        <f t="shared" si="55"/>
        <v>2254.8524776818867</v>
      </c>
      <c r="T80" s="84">
        <f t="shared" si="56"/>
        <v>0.49681734788786086</v>
      </c>
      <c r="U80" s="4">
        <v>6.1619999999999994E-2</v>
      </c>
      <c r="V80" s="4">
        <v>1757.9999999999998</v>
      </c>
      <c r="W80" s="4">
        <f t="shared" si="57"/>
        <v>0.34347076778864311</v>
      </c>
      <c r="X80" s="95">
        <f t="shared" si="58"/>
        <v>2719.7863654555808</v>
      </c>
      <c r="Y80" s="84">
        <f t="shared" si="59"/>
        <v>0.42267035260617786</v>
      </c>
    </row>
    <row r="81" spans="1:25" x14ac:dyDescent="0.25">
      <c r="A81" s="4">
        <v>4.7329999999999997E-2</v>
      </c>
      <c r="B81" s="4">
        <v>5345</v>
      </c>
      <c r="C81" s="4">
        <f t="shared" si="33"/>
        <v>0.31439002953835926</v>
      </c>
      <c r="D81" s="105">
        <f t="shared" si="34"/>
        <v>1188.2279957612332</v>
      </c>
      <c r="E81" s="106">
        <f t="shared" si="35"/>
        <v>0.73208020236018223</v>
      </c>
      <c r="F81" s="4">
        <v>5.3769999999999998E-2</v>
      </c>
      <c r="G81" s="4">
        <v>3613.0000000000005</v>
      </c>
      <c r="H81" s="4">
        <f t="shared" si="48"/>
        <v>0.33169763553110687</v>
      </c>
      <c r="I81" s="95">
        <f t="shared" si="49"/>
        <v>1638.7212649200678</v>
      </c>
      <c r="J81" s="84">
        <f t="shared" si="50"/>
        <v>0.58111674467042607</v>
      </c>
      <c r="K81" s="4">
        <v>5.2679999999999998E-2</v>
      </c>
      <c r="L81" s="4">
        <v>2511</v>
      </c>
      <c r="M81" s="4">
        <f t="shared" si="51"/>
        <v>0.31495382668837146</v>
      </c>
      <c r="N81" s="95">
        <f t="shared" si="52"/>
        <v>1816.5163283134611</v>
      </c>
      <c r="O81" s="84">
        <f t="shared" si="53"/>
        <v>0.52295318981792471</v>
      </c>
      <c r="P81" s="4">
        <v>5.5789999999999999E-2</v>
      </c>
      <c r="Q81" s="4">
        <v>1987.9999999999998</v>
      </c>
      <c r="R81" s="4">
        <f t="shared" si="54"/>
        <v>0.31389482388194978</v>
      </c>
      <c r="S81" s="95">
        <f t="shared" si="55"/>
        <v>2148.5605419277963</v>
      </c>
      <c r="T81" s="84">
        <f t="shared" si="56"/>
        <v>0.49468527006636231</v>
      </c>
      <c r="U81" s="4">
        <v>5.7759999999999999E-2</v>
      </c>
      <c r="V81" s="4">
        <v>1568</v>
      </c>
      <c r="W81" s="4">
        <f t="shared" si="57"/>
        <v>0.3219550721757875</v>
      </c>
      <c r="X81" s="95">
        <f t="shared" si="58"/>
        <v>2549.4135097162343</v>
      </c>
      <c r="Y81" s="84">
        <f t="shared" si="59"/>
        <v>0.42905996460808088</v>
      </c>
    </row>
    <row r="82" spans="1:25" x14ac:dyDescent="0.25">
      <c r="A82" s="4">
        <v>4.5280000000000001E-2</v>
      </c>
      <c r="B82" s="4">
        <v>4760</v>
      </c>
      <c r="C82" s="4">
        <f t="shared" si="33"/>
        <v>0.30077288268533509</v>
      </c>
      <c r="D82" s="105">
        <f t="shared" si="34"/>
        <v>1136.7623842820333</v>
      </c>
      <c r="E82" s="106">
        <f t="shared" si="35"/>
        <v>0.71232482184635626</v>
      </c>
      <c r="F82" s="4">
        <v>5.0869999999999999E-2</v>
      </c>
      <c r="G82" s="4">
        <v>3213</v>
      </c>
      <c r="H82" s="4">
        <f t="shared" si="48"/>
        <v>0.31380804760028652</v>
      </c>
      <c r="I82" s="95">
        <f t="shared" si="49"/>
        <v>1550.3394224750577</v>
      </c>
      <c r="J82" s="84">
        <f t="shared" si="50"/>
        <v>0.57738134961749699</v>
      </c>
      <c r="K82" s="4">
        <v>4.9099999999999998E-2</v>
      </c>
      <c r="L82" s="4">
        <v>2280</v>
      </c>
      <c r="M82" s="4">
        <f t="shared" si="51"/>
        <v>0.29355035858768108</v>
      </c>
      <c r="N82" s="95">
        <f t="shared" si="52"/>
        <v>1693.0704578623943</v>
      </c>
      <c r="O82" s="84">
        <f t="shared" si="53"/>
        <v>0.5466124245172882</v>
      </c>
      <c r="P82" s="4">
        <v>5.2440000000000001E-2</v>
      </c>
      <c r="Q82" s="4">
        <v>1801.0000000000002</v>
      </c>
      <c r="R82" s="4">
        <f t="shared" si="54"/>
        <v>0.29504650590373627</v>
      </c>
      <c r="S82" s="95">
        <f t="shared" si="55"/>
        <v>2019.5467793277226</v>
      </c>
      <c r="T82" s="84">
        <f t="shared" si="56"/>
        <v>0.50724020381898227</v>
      </c>
      <c r="U82" s="4">
        <v>5.604E-2</v>
      </c>
      <c r="V82" s="4">
        <v>1492</v>
      </c>
      <c r="W82" s="4">
        <f t="shared" si="57"/>
        <v>0.31236776739492955</v>
      </c>
      <c r="X82" s="95">
        <f t="shared" si="58"/>
        <v>2473.49607140751</v>
      </c>
      <c r="Y82" s="84">
        <f t="shared" si="59"/>
        <v>0.43370943830153141</v>
      </c>
    </row>
    <row r="83" spans="1:25" x14ac:dyDescent="0.25">
      <c r="A83" s="4">
        <v>4.231E-2</v>
      </c>
      <c r="B83" s="4">
        <v>4216</v>
      </c>
      <c r="C83" s="4">
        <f t="shared" si="33"/>
        <v>0.28104462602509994</v>
      </c>
      <c r="D83" s="105">
        <f t="shared" si="34"/>
        <v>1062.2000105780219</v>
      </c>
      <c r="E83" s="106">
        <f t="shared" si="35"/>
        <v>0.72260092525093356</v>
      </c>
      <c r="F83" s="4">
        <v>4.7109999999999999E-2</v>
      </c>
      <c r="G83" s="4">
        <v>2858</v>
      </c>
      <c r="H83" s="4">
        <f t="shared" si="48"/>
        <v>0.29061327152446431</v>
      </c>
      <c r="I83" s="95">
        <f t="shared" si="49"/>
        <v>1435.7477922704929</v>
      </c>
      <c r="J83" s="84">
        <f t="shared" si="50"/>
        <v>0.59884098636041927</v>
      </c>
      <c r="K83" s="4">
        <v>4.6629999999999998E-2</v>
      </c>
      <c r="L83" s="4">
        <v>2072</v>
      </c>
      <c r="M83" s="4">
        <f t="shared" si="51"/>
        <v>0.27878316132267961</v>
      </c>
      <c r="N83" s="95">
        <f t="shared" si="52"/>
        <v>1607.8997036685021</v>
      </c>
      <c r="O83" s="84">
        <f t="shared" si="53"/>
        <v>0.55076528214329556</v>
      </c>
      <c r="P83" s="4">
        <v>5.0139999999999997E-2</v>
      </c>
      <c r="Q83" s="4">
        <v>1648.0000000000002</v>
      </c>
      <c r="R83" s="4">
        <f t="shared" si="54"/>
        <v>0.28210586967988821</v>
      </c>
      <c r="S83" s="95">
        <f t="shared" si="55"/>
        <v>1930.9701661993133</v>
      </c>
      <c r="T83" s="84">
        <f t="shared" si="56"/>
        <v>0.50770783989135559</v>
      </c>
      <c r="U83" s="4">
        <v>5.3859999999999998E-2</v>
      </c>
      <c r="V83" s="4">
        <v>1343</v>
      </c>
      <c r="W83" s="4">
        <f t="shared" si="57"/>
        <v>0.30021641598663285</v>
      </c>
      <c r="X83" s="95">
        <f t="shared" si="58"/>
        <v>2377.2751321557544</v>
      </c>
      <c r="Y83" s="84">
        <f t="shared" si="59"/>
        <v>0.42263904650845974</v>
      </c>
    </row>
    <row r="84" spans="1:25" x14ac:dyDescent="0.25">
      <c r="A84" s="4">
        <v>3.9879999999999999E-2</v>
      </c>
      <c r="B84" s="4">
        <v>3701.9999999999995</v>
      </c>
      <c r="C84" s="4">
        <f t="shared" si="33"/>
        <v>0.26490332512127124</v>
      </c>
      <c r="D84" s="105">
        <f t="shared" si="34"/>
        <v>1001.1944320929216</v>
      </c>
      <c r="E84" s="106">
        <f t="shared" si="35"/>
        <v>0.71418393510029243</v>
      </c>
      <c r="F84" s="4">
        <v>4.3439999999999999E-2</v>
      </c>
      <c r="G84" s="4">
        <v>2578</v>
      </c>
      <c r="H84" s="4">
        <f t="shared" si="48"/>
        <v>0.26797368955683992</v>
      </c>
      <c r="I84" s="95">
        <f t="shared" si="49"/>
        <v>1323.8990468314628</v>
      </c>
      <c r="J84" s="84">
        <f t="shared" si="50"/>
        <v>0.63529989111474328</v>
      </c>
      <c r="K84" s="4">
        <v>4.4109999999999996E-2</v>
      </c>
      <c r="L84" s="4">
        <v>1814</v>
      </c>
      <c r="M84" s="4">
        <f t="shared" si="51"/>
        <v>0.26371703293895343</v>
      </c>
      <c r="N84" s="95">
        <f t="shared" si="52"/>
        <v>1521.0048451387008</v>
      </c>
      <c r="O84" s="84">
        <f t="shared" si="53"/>
        <v>0.53885361830054901</v>
      </c>
      <c r="P84" s="4">
        <v>4.7169999999999997E-2</v>
      </c>
      <c r="Q84" s="4">
        <v>1488</v>
      </c>
      <c r="R84" s="4">
        <f t="shared" si="54"/>
        <v>0.26539556986039742</v>
      </c>
      <c r="S84" s="95">
        <f t="shared" si="55"/>
        <v>1816.5908005508898</v>
      </c>
      <c r="T84" s="84">
        <f t="shared" si="56"/>
        <v>0.51796033170238109</v>
      </c>
      <c r="U84" s="4">
        <v>4.9200000000000001E-2</v>
      </c>
      <c r="V84" s="4">
        <v>1183</v>
      </c>
      <c r="W84" s="4">
        <f t="shared" si="57"/>
        <v>0.27424150884779686</v>
      </c>
      <c r="X84" s="95">
        <f t="shared" si="58"/>
        <v>2171.5918399937455</v>
      </c>
      <c r="Y84" s="84">
        <f t="shared" si="59"/>
        <v>0.4461499436493564</v>
      </c>
    </row>
  </sheetData>
  <mergeCells count="24">
    <mergeCell ref="A37:Y37"/>
    <mergeCell ref="A38:E38"/>
    <mergeCell ref="F38:J38"/>
    <mergeCell ref="K38:O38"/>
    <mergeCell ref="P38:T38"/>
    <mergeCell ref="U38:Y38"/>
    <mergeCell ref="AA1:AG1"/>
    <mergeCell ref="AA11:AC11"/>
    <mergeCell ref="AD11:AF11"/>
    <mergeCell ref="AA9:AF9"/>
    <mergeCell ref="AA10:AC10"/>
    <mergeCell ref="AD10:AF10"/>
    <mergeCell ref="A2:E2"/>
    <mergeCell ref="A1:Y1"/>
    <mergeCell ref="A24:Y24"/>
    <mergeCell ref="A25:E25"/>
    <mergeCell ref="F25:J25"/>
    <mergeCell ref="K25:O25"/>
    <mergeCell ref="P25:T25"/>
    <mergeCell ref="U25:Y25"/>
    <mergeCell ref="U2:Y2"/>
    <mergeCell ref="P2:T2"/>
    <mergeCell ref="K2:O2"/>
    <mergeCell ref="F2:J2"/>
  </mergeCells>
  <conditionalFormatting sqref="A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5</vt:i4>
      </vt:variant>
    </vt:vector>
  </HeadingPairs>
  <TitlesOfParts>
    <vt:vector size="6" baseType="lpstr">
      <vt:lpstr>CFD_Results</vt:lpstr>
      <vt:lpstr>f x Reynolds (Cs6)</vt:lpstr>
      <vt:lpstr>f x Reynolds (Cs8)</vt:lpstr>
      <vt:lpstr>f x Reynolds (Cs10)</vt:lpstr>
      <vt:lpstr>f x Reynolds (Cs12)</vt:lpstr>
      <vt:lpstr>f x Reynolds (Cs15)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</dc:creator>
  <cp:lastModifiedBy>T2F</cp:lastModifiedBy>
  <dcterms:created xsi:type="dcterms:W3CDTF">2015-06-05T18:19:34Z</dcterms:created>
  <dcterms:modified xsi:type="dcterms:W3CDTF">2024-08-27T14:28:09Z</dcterms:modified>
</cp:coreProperties>
</file>