
<file path=[Content_Types].xml><?xml version="1.0" encoding="utf-8"?>
<Types xmlns="http://schemas.openxmlformats.org/package/2006/content-types">
  <Default Extension="bin" ContentType="application/vnd.ms-office.vbaProject"/>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trlProps/ctrlProp4.xml" ContentType="application/vnd.ms-excel.controlproperties+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6" codeName="{A63ED3A1-9429-3D75-F2AA-CA7E51A8F3A1}"/>
  <workbookPr codeName="ThisWorkbook" hidePivotFieldList="1" defaultThemeVersion="166925"/>
  <mc:AlternateContent xmlns:mc="http://schemas.openxmlformats.org/markup-compatibility/2006">
    <mc:Choice Requires="x15">
      <x15ac:absPath xmlns:x15ac="http://schemas.microsoft.com/office/spreadsheetml/2010/11/ac" url="/Users/bickeymanandhar/Documents/"/>
    </mc:Choice>
  </mc:AlternateContent>
  <xr:revisionPtr revIDLastSave="0" documentId="13_ncr:1_{35574100-8210-B142-BDE1-B28B84C43AAE}" xr6:coauthVersionLast="47" xr6:coauthVersionMax="47" xr10:uidLastSave="{00000000-0000-0000-0000-000000000000}"/>
  <bookViews>
    <workbookView xWindow="-51200" yWindow="500" windowWidth="51200" windowHeight="19400" xr2:uid="{4833352A-C649-4545-BE2D-EEF39B957159}"/>
  </bookViews>
  <sheets>
    <sheet name="Cover Page" sheetId="1" r:id="rId1"/>
    <sheet name="Dashboard" sheetId="4" r:id="rId2"/>
    <sheet name="Data" sheetId="2" r:id="rId3"/>
    <sheet name="Charts" sheetId="18" r:id="rId4"/>
    <sheet name="Summary Statistics" sheetId="19" r:id="rId5"/>
    <sheet name="Behavior" sheetId="6" r:id="rId6"/>
    <sheet name="Performance" sheetId="7" r:id="rId7"/>
    <sheet name="Pivot Table" sheetId="8" r:id="rId8"/>
    <sheet name="One Variable Data" sheetId="9" r:id="rId9"/>
    <sheet name="Two Variable Data" sheetId="10" r:id="rId10"/>
    <sheet name="Sorted Grades" sheetId="11" r:id="rId11"/>
    <sheet name="Scenario Summary" sheetId="12" r:id="rId12"/>
  </sheets>
  <definedNames>
    <definedName name="_xlchart.v1.0" hidden="1">Data!$I$7</definedName>
    <definedName name="_xlchart.v1.1" hidden="1">Data!$I$8:$I$57</definedName>
    <definedName name="Behavior_Score">Behavior!$E$6:$E$55</definedName>
    <definedName name="Final_Grade">Performance!$J$7:$J$56</definedName>
    <definedName name="First_Name">Behavior!$C$6:$C$55</definedName>
    <definedName name="Grades">'Sorted Grades'!$I$1:$I$51</definedName>
    <definedName name="Honors">Data!$M$8:$M$57</definedName>
    <definedName name="Last_Name">Behavior!$D$6:$D$55</definedName>
    <definedName name="Slicer_Honors">#N/A</definedName>
    <definedName name="Student_ID">Behavior!$B$6:$B$55</definedName>
    <definedName name="StudentID">'Sorted Grades'!$A$1:$A$51</definedName>
  </definedNames>
  <calcPr calcId="191028"/>
  <pivotCaches>
    <pivotCache cacheId="51" r:id="rId13"/>
    <pivotCache cacheId="52" r:id="rId14"/>
  </pivotCaches>
  <extLs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 i="10" l="1"/>
  <c r="B7" i="10"/>
  <c r="B11" i="10" s="1"/>
  <c r="G5" i="10"/>
  <c r="G4" i="10"/>
  <c r="G3" i="10"/>
  <c r="B3" i="10"/>
  <c r="J3" i="7"/>
  <c r="I3" i="7"/>
  <c r="H3" i="7"/>
  <c r="G3" i="7"/>
  <c r="F3" i="7"/>
  <c r="E3" i="7"/>
  <c r="D3" i="7"/>
  <c r="C3" i="7"/>
  <c r="J56" i="7"/>
  <c r="K56" i="7" s="1"/>
  <c r="J55" i="7"/>
  <c r="K55" i="7" s="1"/>
  <c r="J54" i="7"/>
  <c r="K54" i="7" s="1"/>
  <c r="J53" i="7"/>
  <c r="K53" i="7" s="1"/>
  <c r="J52" i="7"/>
  <c r="K52" i="7" s="1"/>
  <c r="J51" i="7"/>
  <c r="K51" i="7" s="1"/>
  <c r="J50" i="7"/>
  <c r="K50" i="7" s="1"/>
  <c r="J49" i="7"/>
  <c r="K49" i="7" s="1"/>
  <c r="J48" i="7"/>
  <c r="K48" i="7" s="1"/>
  <c r="J47" i="7"/>
  <c r="K47" i="7" s="1"/>
  <c r="J46" i="7"/>
  <c r="K46" i="7" s="1"/>
  <c r="J45" i="7"/>
  <c r="K45" i="7" s="1"/>
  <c r="J44" i="7"/>
  <c r="K44" i="7" s="1"/>
  <c r="J43" i="7"/>
  <c r="K43" i="7" s="1"/>
  <c r="J42" i="7"/>
  <c r="K42" i="7" s="1"/>
  <c r="J41" i="7"/>
  <c r="K41" i="7" s="1"/>
  <c r="J40" i="7"/>
  <c r="K40" i="7" s="1"/>
  <c r="J39" i="7"/>
  <c r="K39" i="7" s="1"/>
  <c r="J38" i="7"/>
  <c r="K38" i="7" s="1"/>
  <c r="J37" i="7"/>
  <c r="K37" i="7" s="1"/>
  <c r="J36" i="7"/>
  <c r="K36" i="7" s="1"/>
  <c r="J35" i="7"/>
  <c r="K35" i="7" s="1"/>
  <c r="J34" i="7"/>
  <c r="K34" i="7" s="1"/>
  <c r="J33" i="7"/>
  <c r="K33" i="7" s="1"/>
  <c r="J32" i="7"/>
  <c r="K32" i="7" s="1"/>
  <c r="J31" i="7"/>
  <c r="K31" i="7" s="1"/>
  <c r="J30" i="7"/>
  <c r="K30" i="7" s="1"/>
  <c r="J29" i="7"/>
  <c r="K29" i="7" s="1"/>
  <c r="J28" i="7"/>
  <c r="K28" i="7" s="1"/>
  <c r="J27" i="7"/>
  <c r="K27" i="7" s="1"/>
  <c r="J26" i="7"/>
  <c r="K26" i="7" s="1"/>
  <c r="J25" i="7"/>
  <c r="K25" i="7" s="1"/>
  <c r="J24" i="7"/>
  <c r="K24" i="7" s="1"/>
  <c r="J23" i="7"/>
  <c r="K23" i="7" s="1"/>
  <c r="J22" i="7"/>
  <c r="K22" i="7" s="1"/>
  <c r="J21" i="7"/>
  <c r="K21" i="7" s="1"/>
  <c r="J20" i="7"/>
  <c r="K20" i="7" s="1"/>
  <c r="J19" i="7"/>
  <c r="K19" i="7" s="1"/>
  <c r="J18" i="7"/>
  <c r="K18" i="7" s="1"/>
  <c r="J17" i="7"/>
  <c r="K17" i="7" s="1"/>
  <c r="J16" i="7"/>
  <c r="K16" i="7" s="1"/>
  <c r="J15" i="7"/>
  <c r="K15" i="7" s="1"/>
  <c r="J14" i="7"/>
  <c r="K14" i="7" s="1"/>
  <c r="J13" i="7"/>
  <c r="K13" i="7" s="1"/>
  <c r="J12" i="7"/>
  <c r="K12" i="7" s="1"/>
  <c r="J11" i="7"/>
  <c r="K11" i="7" s="1"/>
  <c r="J10" i="7"/>
  <c r="K10" i="7" s="1"/>
  <c r="J9" i="7"/>
  <c r="K9" i="7" s="1"/>
  <c r="J8" i="7"/>
  <c r="K8" i="7" s="1"/>
  <c r="J7" i="7"/>
  <c r="K7" i="7" s="1"/>
  <c r="E10" i="9"/>
  <c r="F10" i="9" s="1"/>
  <c r="J64" i="9"/>
  <c r="K64" i="9" s="1"/>
  <c r="J63" i="9"/>
  <c r="K63" i="9" s="1"/>
  <c r="J62" i="9"/>
  <c r="K62" i="9" s="1"/>
  <c r="J61" i="9"/>
  <c r="K61" i="9" s="1"/>
  <c r="J60" i="9"/>
  <c r="K60" i="9" s="1"/>
  <c r="J59" i="9"/>
  <c r="K59" i="9" s="1"/>
  <c r="J58" i="9"/>
  <c r="K58" i="9" s="1"/>
  <c r="J57" i="9"/>
  <c r="K57" i="9" s="1"/>
  <c r="J56" i="9"/>
  <c r="K56" i="9" s="1"/>
  <c r="J55" i="9"/>
  <c r="K55" i="9" s="1"/>
  <c r="J54" i="9"/>
  <c r="K54" i="9" s="1"/>
  <c r="J53" i="9"/>
  <c r="K53" i="9" s="1"/>
  <c r="J52" i="9"/>
  <c r="K52" i="9" s="1"/>
  <c r="J51" i="9"/>
  <c r="K51" i="9" s="1"/>
  <c r="J50" i="9"/>
  <c r="K50" i="9" s="1"/>
  <c r="J49" i="9"/>
  <c r="K49" i="9" s="1"/>
  <c r="J48" i="9"/>
  <c r="K48" i="9" s="1"/>
  <c r="J47" i="9"/>
  <c r="K47" i="9" s="1"/>
  <c r="J46" i="9"/>
  <c r="K46" i="9" s="1"/>
  <c r="J45" i="9"/>
  <c r="K45" i="9" s="1"/>
  <c r="J44" i="9"/>
  <c r="K44" i="9" s="1"/>
  <c r="J43" i="9"/>
  <c r="K43" i="9" s="1"/>
  <c r="J42" i="9"/>
  <c r="K42" i="9" s="1"/>
  <c r="J41" i="9"/>
  <c r="K41" i="9" s="1"/>
  <c r="J40" i="9"/>
  <c r="K40" i="9" s="1"/>
  <c r="J39" i="9"/>
  <c r="K39" i="9" s="1"/>
  <c r="J38" i="9"/>
  <c r="K38" i="9" s="1"/>
  <c r="J37" i="9"/>
  <c r="K37" i="9" s="1"/>
  <c r="J36" i="9"/>
  <c r="K36" i="9" s="1"/>
  <c r="J35" i="9"/>
  <c r="K35" i="9" s="1"/>
  <c r="J34" i="9"/>
  <c r="K34" i="9" s="1"/>
  <c r="J33" i="9"/>
  <c r="K33" i="9" s="1"/>
  <c r="J32" i="9"/>
  <c r="K32" i="9" s="1"/>
  <c r="J31" i="9"/>
  <c r="K31" i="9" s="1"/>
  <c r="J30" i="9"/>
  <c r="K30" i="9" s="1"/>
  <c r="J29" i="9"/>
  <c r="K29" i="9" s="1"/>
  <c r="J28" i="9"/>
  <c r="K28" i="9" s="1"/>
  <c r="J27" i="9"/>
  <c r="K27" i="9" s="1"/>
  <c r="J26" i="9"/>
  <c r="K26" i="9" s="1"/>
  <c r="J25" i="9"/>
  <c r="K25" i="9" s="1"/>
  <c r="J24" i="9"/>
  <c r="K24" i="9" s="1"/>
  <c r="J23" i="9"/>
  <c r="K23" i="9" s="1"/>
  <c r="J22" i="9"/>
  <c r="K22" i="9" s="1"/>
  <c r="J21" i="9"/>
  <c r="K21" i="9" s="1"/>
  <c r="J20" i="9"/>
  <c r="K20" i="9" s="1"/>
  <c r="J19" i="9"/>
  <c r="K19" i="9" s="1"/>
  <c r="J18" i="9"/>
  <c r="K18" i="9" s="1"/>
  <c r="J17" i="9"/>
  <c r="K17" i="9" s="1"/>
  <c r="J16" i="9"/>
  <c r="K16" i="9" s="1"/>
  <c r="J15" i="9"/>
  <c r="K15" i="9" s="1"/>
  <c r="K3" i="9"/>
  <c r="K2" i="9"/>
  <c r="K1" i="9"/>
  <c r="K5" i="9" s="1"/>
  <c r="AD2" i="18"/>
  <c r="AC2" i="18"/>
  <c r="AB2" i="18"/>
  <c r="AA2" i="18"/>
  <c r="Z2" i="18"/>
  <c r="Y2" i="18"/>
  <c r="X2" i="18"/>
  <c r="W2" i="18"/>
  <c r="V2" i="18"/>
  <c r="U2" i="18"/>
  <c r="T2" i="18"/>
  <c r="S2" i="18"/>
  <c r="I160" i="18"/>
  <c r="M160" i="18" s="1"/>
  <c r="I159" i="18"/>
  <c r="M159" i="18" s="1"/>
  <c r="I158" i="18"/>
  <c r="M158" i="18" s="1"/>
  <c r="I157" i="18"/>
  <c r="M157" i="18" s="1"/>
  <c r="I156" i="18"/>
  <c r="M156" i="18" s="1"/>
  <c r="I155" i="18"/>
  <c r="M155" i="18" s="1"/>
  <c r="I154" i="18"/>
  <c r="M154" i="18" s="1"/>
  <c r="I153" i="18"/>
  <c r="M153" i="18" s="1"/>
  <c r="I152" i="18"/>
  <c r="M152" i="18" s="1"/>
  <c r="I151" i="18"/>
  <c r="M151" i="18" s="1"/>
  <c r="I150" i="18"/>
  <c r="M150" i="18" s="1"/>
  <c r="I149" i="18"/>
  <c r="M149" i="18" s="1"/>
  <c r="I148" i="18"/>
  <c r="M148" i="18" s="1"/>
  <c r="I147" i="18"/>
  <c r="M147" i="18" s="1"/>
  <c r="I146" i="18"/>
  <c r="M146" i="18" s="1"/>
  <c r="I145" i="18"/>
  <c r="M145" i="18" s="1"/>
  <c r="I144" i="18"/>
  <c r="M144" i="18" s="1"/>
  <c r="I143" i="18"/>
  <c r="M143" i="18" s="1"/>
  <c r="I142" i="18"/>
  <c r="M142" i="18" s="1"/>
  <c r="I141" i="18"/>
  <c r="M141" i="18" s="1"/>
  <c r="I140" i="18"/>
  <c r="M140" i="18" s="1"/>
  <c r="I139" i="18"/>
  <c r="M139" i="18" s="1"/>
  <c r="I138" i="18"/>
  <c r="M138" i="18" s="1"/>
  <c r="I137" i="18"/>
  <c r="M137" i="18" s="1"/>
  <c r="I136" i="18"/>
  <c r="M136" i="18" s="1"/>
  <c r="I135" i="18"/>
  <c r="M135" i="18" s="1"/>
  <c r="I134" i="18"/>
  <c r="M134" i="18" s="1"/>
  <c r="I133" i="18"/>
  <c r="M133" i="18" s="1"/>
  <c r="I132" i="18"/>
  <c r="M132" i="18" s="1"/>
  <c r="I131" i="18"/>
  <c r="M131" i="18" s="1"/>
  <c r="I130" i="18"/>
  <c r="M130" i="18" s="1"/>
  <c r="I129" i="18"/>
  <c r="M129" i="18" s="1"/>
  <c r="I128" i="18"/>
  <c r="M128" i="18" s="1"/>
  <c r="I127" i="18"/>
  <c r="M127" i="18" s="1"/>
  <c r="I126" i="18"/>
  <c r="M126" i="18" s="1"/>
  <c r="I125" i="18"/>
  <c r="M125" i="18" s="1"/>
  <c r="I124" i="18"/>
  <c r="M124" i="18" s="1"/>
  <c r="I123" i="18"/>
  <c r="M123" i="18" s="1"/>
  <c r="I122" i="18"/>
  <c r="M122" i="18" s="1"/>
  <c r="I121" i="18"/>
  <c r="M121" i="18" s="1"/>
  <c r="I120" i="18"/>
  <c r="M120" i="18" s="1"/>
  <c r="I119" i="18"/>
  <c r="M119" i="18" s="1"/>
  <c r="I118" i="18"/>
  <c r="M118" i="18" s="1"/>
  <c r="I117" i="18"/>
  <c r="M117" i="18" s="1"/>
  <c r="I116" i="18"/>
  <c r="M116" i="18" s="1"/>
  <c r="I115" i="18"/>
  <c r="M115" i="18" s="1"/>
  <c r="I114" i="18"/>
  <c r="M114" i="18" s="1"/>
  <c r="I113" i="18"/>
  <c r="M113" i="18" s="1"/>
  <c r="I112" i="18"/>
  <c r="M112" i="18" s="1"/>
  <c r="I111" i="18"/>
  <c r="M111" i="18" s="1"/>
  <c r="I8" i="2"/>
  <c r="M6" i="7" l="1"/>
  <c r="D15" i="10"/>
  <c r="B15" i="10"/>
  <c r="G10" i="9"/>
  <c r="P2" i="9" a="1"/>
  <c r="P2" i="9" s="1"/>
  <c r="P1" i="9" a="1"/>
  <c r="P1" i="9" s="1"/>
  <c r="J111" i="18"/>
  <c r="J113" i="18"/>
  <c r="J115" i="18"/>
  <c r="J117" i="18"/>
  <c r="J119" i="18"/>
  <c r="J121" i="18"/>
  <c r="J123" i="18"/>
  <c r="J125" i="18"/>
  <c r="J127" i="18"/>
  <c r="J129" i="18"/>
  <c r="J131" i="18"/>
  <c r="J133" i="18"/>
  <c r="J135" i="18"/>
  <c r="J137" i="18"/>
  <c r="J139" i="18"/>
  <c r="J141" i="18"/>
  <c r="J143" i="18"/>
  <c r="J145" i="18"/>
  <c r="J147" i="18"/>
  <c r="J149" i="18"/>
  <c r="J151" i="18"/>
  <c r="J153" i="18"/>
  <c r="J155" i="18"/>
  <c r="J157" i="18"/>
  <c r="J159" i="18"/>
  <c r="L111" i="18"/>
  <c r="L113" i="18"/>
  <c r="L115" i="18"/>
  <c r="L117" i="18"/>
  <c r="L119" i="18"/>
  <c r="L121" i="18"/>
  <c r="L123" i="18"/>
  <c r="L125" i="18"/>
  <c r="L127" i="18"/>
  <c r="L129" i="18"/>
  <c r="L131" i="18"/>
  <c r="L133" i="18"/>
  <c r="L135" i="18"/>
  <c r="L137" i="18"/>
  <c r="L139" i="18"/>
  <c r="L141" i="18"/>
  <c r="L143" i="18"/>
  <c r="L145" i="18"/>
  <c r="L147" i="18"/>
  <c r="L149" i="18"/>
  <c r="L151" i="18"/>
  <c r="L153" i="18"/>
  <c r="L155" i="18"/>
  <c r="L157" i="18"/>
  <c r="L159" i="18"/>
  <c r="J112" i="18"/>
  <c r="J114" i="18"/>
  <c r="J116" i="18"/>
  <c r="J118" i="18"/>
  <c r="J120" i="18"/>
  <c r="J122" i="18"/>
  <c r="J124" i="18"/>
  <c r="J126" i="18"/>
  <c r="J128" i="18"/>
  <c r="J130" i="18"/>
  <c r="J132" i="18"/>
  <c r="J134" i="18"/>
  <c r="J136" i="18"/>
  <c r="J138" i="18"/>
  <c r="J140" i="18"/>
  <c r="J142" i="18"/>
  <c r="J144" i="18"/>
  <c r="J146" i="18"/>
  <c r="J148" i="18"/>
  <c r="J150" i="18"/>
  <c r="J152" i="18"/>
  <c r="J154" i="18"/>
  <c r="J156" i="18"/>
  <c r="J158" i="18"/>
  <c r="J160" i="18"/>
  <c r="L112" i="18"/>
  <c r="L114" i="18"/>
  <c r="L116" i="18"/>
  <c r="L118" i="18"/>
  <c r="L120" i="18"/>
  <c r="L122" i="18"/>
  <c r="L124" i="18"/>
  <c r="L126" i="18"/>
  <c r="L128" i="18"/>
  <c r="L130" i="18"/>
  <c r="L132" i="18"/>
  <c r="L134" i="18"/>
  <c r="L136" i="18"/>
  <c r="L138" i="18"/>
  <c r="L140" i="18"/>
  <c r="L142" i="18"/>
  <c r="L144" i="18"/>
  <c r="L146" i="18"/>
  <c r="L148" i="18"/>
  <c r="L150" i="18"/>
  <c r="L152" i="18"/>
  <c r="L154" i="18"/>
  <c r="L156" i="18"/>
  <c r="L158" i="18"/>
  <c r="L160" i="18"/>
  <c r="C14" i="4" l="1" a="1"/>
  <c r="C14" i="4" s="1"/>
  <c r="B14" i="4" s="1"/>
  <c r="B15" i="4"/>
  <c r="B16" i="4"/>
  <c r="B17" i="4"/>
  <c r="B18" i="4"/>
  <c r="B19" i="4"/>
  <c r="B20" i="4"/>
  <c r="B21" i="4"/>
  <c r="B22" i="4"/>
  <c r="B23" i="4"/>
  <c r="P5" i="11"/>
  <c r="P6" i="11"/>
  <c r="P7" i="11"/>
  <c r="P8" i="11"/>
  <c r="P9" i="11"/>
  <c r="P10" i="11"/>
  <c r="P11" i="11"/>
  <c r="P12" i="11"/>
  <c r="P13" i="11"/>
  <c r="Q4" i="11" a="1"/>
  <c r="Q4" i="11" s="1"/>
  <c r="P4" i="11" s="1"/>
  <c r="I2" i="11"/>
  <c r="J2" i="11"/>
  <c r="K2" i="11"/>
  <c r="M2" i="11" s="1"/>
  <c r="I3" i="11"/>
  <c r="J3" i="11"/>
  <c r="K3" i="11"/>
  <c r="I4" i="11"/>
  <c r="J4" i="11"/>
  <c r="K4" i="11"/>
  <c r="M4" i="11" s="1"/>
  <c r="I5" i="11"/>
  <c r="J5" i="11" s="1"/>
  <c r="I6" i="11"/>
  <c r="J6" i="11"/>
  <c r="K6" i="11"/>
  <c r="L6" i="11" s="1"/>
  <c r="I7" i="11"/>
  <c r="J7" i="11"/>
  <c r="K7" i="11"/>
  <c r="L7" i="11" s="1"/>
  <c r="I8" i="11"/>
  <c r="K8" i="11" s="1"/>
  <c r="J8" i="11"/>
  <c r="I9" i="11"/>
  <c r="J9" i="11"/>
  <c r="K9" i="11"/>
  <c r="L9" i="11" s="1"/>
  <c r="I10" i="11"/>
  <c r="J10" i="11"/>
  <c r="K10" i="11"/>
  <c r="L10" i="11" s="1"/>
  <c r="I11" i="11"/>
  <c r="J11" i="11"/>
  <c r="K11" i="11"/>
  <c r="I12" i="11"/>
  <c r="J12" i="11"/>
  <c r="K12" i="11"/>
  <c r="L12" i="11" s="1"/>
  <c r="I13" i="11"/>
  <c r="J13" i="11" s="1"/>
  <c r="I14" i="11"/>
  <c r="J14" i="11"/>
  <c r="K14" i="11"/>
  <c r="L14" i="11" s="1"/>
  <c r="I15" i="11"/>
  <c r="J15" i="11"/>
  <c r="K15" i="11"/>
  <c r="M15" i="11" s="1"/>
  <c r="I16" i="11"/>
  <c r="K16" i="11" s="1"/>
  <c r="J16" i="11"/>
  <c r="I17" i="11"/>
  <c r="J17" i="11"/>
  <c r="K17" i="11"/>
  <c r="M17" i="11" s="1"/>
  <c r="I18" i="11"/>
  <c r="J18" i="11"/>
  <c r="K18" i="11"/>
  <c r="L18" i="11" s="1"/>
  <c r="I19" i="11"/>
  <c r="J19" i="11"/>
  <c r="K19" i="11"/>
  <c r="I20" i="11"/>
  <c r="J20" i="11"/>
  <c r="K20" i="11"/>
  <c r="L20" i="11" s="1"/>
  <c r="I21" i="11"/>
  <c r="J21" i="11" s="1"/>
  <c r="I22" i="11"/>
  <c r="J22" i="11"/>
  <c r="K22" i="11"/>
  <c r="L22" i="11" s="1"/>
  <c r="I23" i="11"/>
  <c r="J23" i="11"/>
  <c r="K23" i="11"/>
  <c r="L23" i="11" s="1"/>
  <c r="I24" i="11"/>
  <c r="K24" i="11" s="1"/>
  <c r="J24" i="11"/>
  <c r="I25" i="11"/>
  <c r="J25" i="11"/>
  <c r="K25" i="11"/>
  <c r="L25" i="11" s="1"/>
  <c r="I26" i="11"/>
  <c r="J26" i="11"/>
  <c r="K26" i="11"/>
  <c r="L26" i="11" s="1"/>
  <c r="I27" i="11"/>
  <c r="J27" i="11"/>
  <c r="K27" i="11"/>
  <c r="I28" i="11"/>
  <c r="J28" i="11"/>
  <c r="K28" i="11"/>
  <c r="L28" i="11" s="1"/>
  <c r="I29" i="11"/>
  <c r="J29" i="11" s="1"/>
  <c r="I30" i="11"/>
  <c r="J30" i="11"/>
  <c r="K30" i="11"/>
  <c r="L30" i="11" s="1"/>
  <c r="I31" i="11"/>
  <c r="J31" i="11"/>
  <c r="K31" i="11"/>
  <c r="L31" i="11" s="1"/>
  <c r="I32" i="11"/>
  <c r="K32" i="11" s="1"/>
  <c r="J32" i="11"/>
  <c r="I33" i="11"/>
  <c r="J33" i="11"/>
  <c r="K33" i="11"/>
  <c r="L33" i="11" s="1"/>
  <c r="I34" i="11"/>
  <c r="J34" i="11"/>
  <c r="K34" i="11"/>
  <c r="M34" i="11" s="1"/>
  <c r="I35" i="11"/>
  <c r="J35" i="11"/>
  <c r="K35" i="11"/>
  <c r="I36" i="11"/>
  <c r="J36" i="11"/>
  <c r="K36" i="11"/>
  <c r="M36" i="11" s="1"/>
  <c r="I37" i="11"/>
  <c r="J37" i="11" s="1"/>
  <c r="I38" i="11"/>
  <c r="J38" i="11"/>
  <c r="K38" i="11"/>
  <c r="L38" i="11" s="1"/>
  <c r="I39" i="11"/>
  <c r="J39" i="11"/>
  <c r="K39" i="11"/>
  <c r="L39" i="11" s="1"/>
  <c r="I40" i="11"/>
  <c r="K40" i="11" s="1"/>
  <c r="J40" i="11"/>
  <c r="I41" i="11"/>
  <c r="J41" i="11"/>
  <c r="K41" i="11"/>
  <c r="L41" i="11" s="1"/>
  <c r="I42" i="11"/>
  <c r="J42" i="11"/>
  <c r="K42" i="11"/>
  <c r="L42" i="11" s="1"/>
  <c r="I43" i="11"/>
  <c r="J43" i="11"/>
  <c r="K43" i="11"/>
  <c r="I44" i="11"/>
  <c r="J44" i="11"/>
  <c r="K44" i="11"/>
  <c r="L44" i="11" s="1"/>
  <c r="I45" i="11"/>
  <c r="J45" i="11" s="1"/>
  <c r="I46" i="11"/>
  <c r="J46" i="11"/>
  <c r="K46" i="11"/>
  <c r="L46" i="11" s="1"/>
  <c r="I47" i="11"/>
  <c r="J47" i="11"/>
  <c r="K47" i="11"/>
  <c r="M47" i="11" s="1"/>
  <c r="I48" i="11"/>
  <c r="K48" i="11" s="1"/>
  <c r="J48" i="11"/>
  <c r="I49" i="11"/>
  <c r="J49" i="11"/>
  <c r="K49" i="11"/>
  <c r="L49" i="11" s="1"/>
  <c r="I50" i="11"/>
  <c r="J50" i="11"/>
  <c r="K50" i="11"/>
  <c r="L50" i="11" s="1"/>
  <c r="I51" i="11"/>
  <c r="J51" i="11"/>
  <c r="K51" i="11"/>
  <c r="B2" i="4"/>
  <c r="H2" i="4"/>
  <c r="G2" i="4"/>
  <c r="F2" i="4"/>
  <c r="E2" i="4"/>
  <c r="D2" i="4"/>
  <c r="C2" i="4"/>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K14" i="6" s="1"/>
  <c r="F39" i="6"/>
  <c r="F40" i="6"/>
  <c r="F41" i="6"/>
  <c r="F42" i="6"/>
  <c r="F43" i="6"/>
  <c r="F44" i="6"/>
  <c r="F45" i="6"/>
  <c r="F46" i="6"/>
  <c r="F47" i="6"/>
  <c r="F48" i="6"/>
  <c r="F49" i="6"/>
  <c r="F50" i="6"/>
  <c r="F51" i="6"/>
  <c r="F52" i="6"/>
  <c r="F53" i="6"/>
  <c r="F54" i="6"/>
  <c r="F55" i="6"/>
  <c r="H14" i="6"/>
  <c r="J14" i="6"/>
  <c r="K10" i="6"/>
  <c r="K9" i="6"/>
  <c r="K8" i="6"/>
  <c r="K7" i="6"/>
  <c r="K11" i="6"/>
  <c r="H2" i="2"/>
  <c r="G2" i="2"/>
  <c r="F2" i="2"/>
  <c r="E2" i="2"/>
  <c r="D2" i="2"/>
  <c r="C2" i="2"/>
  <c r="B2" i="2"/>
  <c r="L17" i="11" l="1"/>
  <c r="M33" i="11"/>
  <c r="M18" i="11"/>
  <c r="M7" i="11"/>
  <c r="M50" i="11"/>
  <c r="L15" i="11"/>
  <c r="M12" i="11"/>
  <c r="M10" i="11"/>
  <c r="M31" i="11"/>
  <c r="M28" i="11"/>
  <c r="L2" i="11"/>
  <c r="L4" i="11"/>
  <c r="L36" i="11"/>
  <c r="M26" i="11"/>
  <c r="M20" i="11"/>
  <c r="M22" i="11"/>
  <c r="L47" i="11"/>
  <c r="M44" i="11"/>
  <c r="M42" i="11"/>
  <c r="M23" i="11"/>
  <c r="L43" i="11"/>
  <c r="M49" i="11"/>
  <c r="M25" i="11"/>
  <c r="M39" i="11"/>
  <c r="L34" i="11"/>
  <c r="L11" i="11"/>
  <c r="M30" i="11"/>
  <c r="L27" i="11"/>
  <c r="L19" i="11"/>
  <c r="M6" i="11"/>
  <c r="M41" i="11"/>
  <c r="L35" i="11"/>
  <c r="M9" i="11"/>
  <c r="L3" i="11"/>
  <c r="L51" i="11"/>
  <c r="M38" i="11"/>
  <c r="M46" i="11"/>
  <c r="M14" i="11"/>
  <c r="M40" i="11"/>
  <c r="M32" i="11"/>
  <c r="M8" i="11"/>
  <c r="M51" i="11"/>
  <c r="L48" i="11"/>
  <c r="K45" i="11"/>
  <c r="L45" i="11" s="1"/>
  <c r="M43" i="11"/>
  <c r="L40" i="11"/>
  <c r="K37" i="11"/>
  <c r="L37" i="11" s="1"/>
  <c r="M35" i="11"/>
  <c r="L32" i="11"/>
  <c r="K29" i="11"/>
  <c r="M29" i="11" s="1"/>
  <c r="M27" i="11"/>
  <c r="L24" i="11"/>
  <c r="K21" i="11"/>
  <c r="M21" i="11" s="1"/>
  <c r="M19" i="11"/>
  <c r="L16" i="11"/>
  <c r="K13" i="11"/>
  <c r="L13" i="11" s="1"/>
  <c r="M11" i="11"/>
  <c r="L8" i="11"/>
  <c r="K5" i="11"/>
  <c r="L5" i="11" s="1"/>
  <c r="M3" i="11"/>
  <c r="M48" i="11"/>
  <c r="M24" i="11"/>
  <c r="M16" i="11"/>
  <c r="I54" i="2"/>
  <c r="I34" i="2"/>
  <c r="I38" i="2"/>
  <c r="I44" i="2"/>
  <c r="I18" i="2"/>
  <c r="I57" i="2"/>
  <c r="I19" i="2"/>
  <c r="I36" i="2"/>
  <c r="I53" i="2"/>
  <c r="I47" i="2"/>
  <c r="I13" i="2"/>
  <c r="I10" i="2"/>
  <c r="I27" i="2"/>
  <c r="I14" i="2"/>
  <c r="I24" i="2"/>
  <c r="I32" i="2"/>
  <c r="I51" i="2"/>
  <c r="I22" i="2"/>
  <c r="I39" i="2"/>
  <c r="I26" i="2"/>
  <c r="I25" i="2"/>
  <c r="I21" i="2"/>
  <c r="I33" i="2"/>
  <c r="I12" i="2"/>
  <c r="I29" i="2"/>
  <c r="I55" i="2"/>
  <c r="I16" i="2"/>
  <c r="I35" i="2"/>
  <c r="I52" i="2"/>
  <c r="I43" i="2"/>
  <c r="I48" i="2"/>
  <c r="I42" i="2"/>
  <c r="I50" i="2"/>
  <c r="I20" i="2"/>
  <c r="I37" i="2"/>
  <c r="I23" i="2"/>
  <c r="I31" i="2"/>
  <c r="I41" i="2"/>
  <c r="I15" i="2"/>
  <c r="I17" i="2"/>
  <c r="I30" i="2"/>
  <c r="I49" i="2"/>
  <c r="I11" i="2"/>
  <c r="I2" i="4" s="1"/>
  <c r="I28" i="2"/>
  <c r="I45" i="2"/>
  <c r="I40" i="2"/>
  <c r="I56" i="2"/>
  <c r="I46" i="2"/>
  <c r="I9" i="2"/>
  <c r="M45" i="11" l="1"/>
  <c r="L29" i="11"/>
  <c r="M13" i="11"/>
  <c r="M37" i="11"/>
  <c r="L21" i="11"/>
  <c r="M5" i="11"/>
  <c r="J42" i="2"/>
  <c r="M42" i="2"/>
  <c r="J43" i="2"/>
  <c r="M43" i="2"/>
  <c r="J12" i="2"/>
  <c r="L12" i="2"/>
  <c r="J56" i="2"/>
  <c r="L56" i="2"/>
  <c r="J24" i="2"/>
  <c r="M24" i="2"/>
  <c r="J41" i="2"/>
  <c r="M41" i="2"/>
  <c r="J57" i="2"/>
  <c r="M57" i="2"/>
  <c r="J52" i="2"/>
  <c r="L52" i="2"/>
  <c r="J18" i="2"/>
  <c r="M18" i="2"/>
  <c r="J35" i="2"/>
  <c r="L35" i="2"/>
  <c r="J10" i="2"/>
  <c r="J37" i="2"/>
  <c r="M37" i="2"/>
  <c r="J16" i="2"/>
  <c r="L16" i="2"/>
  <c r="J39" i="2"/>
  <c r="L39" i="2"/>
  <c r="J13" i="2"/>
  <c r="M13" i="2"/>
  <c r="J38" i="2"/>
  <c r="M38" i="2"/>
  <c r="J46" i="2"/>
  <c r="L46" i="2"/>
  <c r="J32" i="2"/>
  <c r="M32" i="2"/>
  <c r="J15" i="2"/>
  <c r="M15" i="2"/>
  <c r="J33" i="2"/>
  <c r="M33" i="2"/>
  <c r="J40" i="2"/>
  <c r="L40" i="2"/>
  <c r="J21" i="2"/>
  <c r="M21" i="2"/>
  <c r="J45" i="2"/>
  <c r="M45" i="2"/>
  <c r="J27" i="2"/>
  <c r="M27" i="2"/>
  <c r="J23" i="2"/>
  <c r="L23" i="2"/>
  <c r="J44" i="2"/>
  <c r="L44" i="2"/>
  <c r="J8" i="2"/>
  <c r="J2" i="2" s="1"/>
  <c r="I2" i="2"/>
  <c r="J49" i="2"/>
  <c r="M49" i="2"/>
  <c r="J20" i="2"/>
  <c r="M20" i="2"/>
  <c r="J55" i="2"/>
  <c r="L55" i="2"/>
  <c r="J22" i="2"/>
  <c r="M22" i="2"/>
  <c r="J47" i="2"/>
  <c r="L47" i="2"/>
  <c r="J34" i="2"/>
  <c r="M34" i="2"/>
  <c r="J17" i="2"/>
  <c r="M17" i="2"/>
  <c r="J36" i="2"/>
  <c r="L36" i="2"/>
  <c r="J48" i="2"/>
  <c r="M48" i="2"/>
  <c r="J19" i="2"/>
  <c r="M19" i="2"/>
  <c r="J14" i="2"/>
  <c r="M14" i="2"/>
  <c r="J31" i="2"/>
  <c r="L31" i="2"/>
  <c r="J25" i="2"/>
  <c r="M25" i="2"/>
  <c r="J28" i="2"/>
  <c r="M28" i="2"/>
  <c r="J26" i="2"/>
  <c r="M26" i="2"/>
  <c r="J11" i="2"/>
  <c r="J2" i="4" s="1"/>
  <c r="L11" i="2"/>
  <c r="J9" i="2"/>
  <c r="M9" i="2"/>
  <c r="J30" i="2"/>
  <c r="M30" i="2"/>
  <c r="J50" i="2"/>
  <c r="M50" i="2"/>
  <c r="J29" i="2"/>
  <c r="L29" i="2"/>
  <c r="J51" i="2"/>
  <c r="M51" i="2"/>
  <c r="J53" i="2"/>
  <c r="M53" i="2"/>
  <c r="J54" i="2"/>
  <c r="M54" i="2"/>
  <c r="K2" i="2" l="1"/>
  <c r="M10" i="2"/>
  <c r="K2" i="4"/>
  <c r="M44" i="2"/>
  <c r="L20" i="2"/>
  <c r="M31" i="2"/>
  <c r="L30" i="2"/>
  <c r="M56" i="2"/>
  <c r="M36" i="2"/>
  <c r="M40" i="2"/>
  <c r="L26" i="2"/>
  <c r="M52" i="2"/>
  <c r="M16" i="2"/>
  <c r="L41" i="2"/>
  <c r="M47" i="2"/>
  <c r="L13" i="2"/>
  <c r="L50" i="2"/>
  <c r="L53" i="2"/>
  <c r="L48" i="2"/>
  <c r="L45" i="2"/>
  <c r="L10" i="2"/>
  <c r="L25" i="2"/>
  <c r="M55" i="2"/>
  <c r="L54" i="2"/>
  <c r="L9" i="2"/>
  <c r="L8" i="2"/>
  <c r="M23" i="2"/>
  <c r="M35" i="2"/>
  <c r="L14" i="2"/>
  <c r="M8" i="2"/>
  <c r="M2" i="2" s="1"/>
  <c r="L57" i="2"/>
  <c r="L15" i="2"/>
  <c r="L51" i="2"/>
  <c r="M11" i="2"/>
  <c r="L49" i="2"/>
  <c r="L27" i="2"/>
  <c r="L43" i="2"/>
  <c r="M46" i="2"/>
  <c r="L28" i="2"/>
  <c r="L17" i="2"/>
  <c r="L21" i="2"/>
  <c r="L18" i="2"/>
  <c r="L19" i="2"/>
  <c r="L42" i="2"/>
  <c r="L22" i="2"/>
  <c r="L32" i="2"/>
  <c r="L38" i="2"/>
  <c r="M39" i="2"/>
  <c r="L37" i="2"/>
  <c r="L24" i="2"/>
  <c r="M12" i="2"/>
  <c r="M29" i="2"/>
  <c r="L34" i="2"/>
  <c r="L33" i="2"/>
  <c r="M2" i="4" l="1"/>
  <c r="L2" i="4"/>
  <c r="L2"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<sst xmlns="http://schemas.openxmlformats.org/spreadsheetml/2006/main" count="981" uniqueCount="218">
  <si>
    <t>1) Dashboard</t>
  </si>
  <si>
    <t>7) Pivot Table</t>
  </si>
  <si>
    <t>2) Data</t>
  </si>
  <si>
    <t>8) One Variable Data</t>
  </si>
  <si>
    <t>3) Charts</t>
  </si>
  <si>
    <t>9) Two Variable Data</t>
  </si>
  <si>
    <t>4) Summary Statistics</t>
  </si>
  <si>
    <t>10) Sorted Grades</t>
  </si>
  <si>
    <t>5) Behavior</t>
  </si>
  <si>
    <t>11) Scenario Summary</t>
  </si>
  <si>
    <t>6) Performance</t>
  </si>
  <si>
    <t>StudentID</t>
  </si>
  <si>
    <t>Last Name</t>
  </si>
  <si>
    <t>First Name</t>
  </si>
  <si>
    <t>Exam 1</t>
  </si>
  <si>
    <t>Exam 2</t>
  </si>
  <si>
    <t>Final Exam</t>
  </si>
  <si>
    <t>Assignments</t>
  </si>
  <si>
    <t>Project</t>
  </si>
  <si>
    <t>Final Grade</t>
  </si>
  <si>
    <t>Letter Grade</t>
  </si>
  <si>
    <t>Absent Days</t>
  </si>
  <si>
    <t>Academic Probation</t>
  </si>
  <si>
    <t>Honors</t>
  </si>
  <si>
    <t>No.</t>
  </si>
  <si>
    <t>Student ID</t>
  </si>
  <si>
    <t xml:space="preserve">Top 10 Grades </t>
  </si>
  <si>
    <t>Emilio</t>
  </si>
  <si>
    <t>Potts</t>
  </si>
  <si>
    <t>Xanthe</t>
  </si>
  <si>
    <t>Weeks</t>
  </si>
  <si>
    <t>Lisa</t>
  </si>
  <si>
    <t>Cochran</t>
  </si>
  <si>
    <t>Billy</t>
  </si>
  <si>
    <t>Nelson</t>
  </si>
  <si>
    <t>Conner</t>
  </si>
  <si>
    <t>Garcia</t>
  </si>
  <si>
    <t>Tobias</t>
  </si>
  <si>
    <t>Wallace</t>
  </si>
  <si>
    <t>Celia</t>
  </si>
  <si>
    <t>Nash</t>
  </si>
  <si>
    <t>Kiara</t>
  </si>
  <si>
    <t>Monroe</t>
  </si>
  <si>
    <t>Jessie</t>
  </si>
  <si>
    <t>Cardenas</t>
  </si>
  <si>
    <t>Lucas</t>
  </si>
  <si>
    <t>Ashley</t>
  </si>
  <si>
    <t>Dewi</t>
  </si>
  <si>
    <t>Gray</t>
  </si>
  <si>
    <t>Jaydon</t>
  </si>
  <si>
    <t>O'Gallagher</t>
  </si>
  <si>
    <t>Nannie</t>
  </si>
  <si>
    <t>Knox</t>
  </si>
  <si>
    <t>Inaya</t>
  </si>
  <si>
    <t>Dawson</t>
  </si>
  <si>
    <t>Elissa</t>
  </si>
  <si>
    <t>Rivas</t>
  </si>
  <si>
    <t>Hussein</t>
  </si>
  <si>
    <t>Bass</t>
  </si>
  <si>
    <t>Kareem</t>
  </si>
  <si>
    <t>Kirby</t>
  </si>
  <si>
    <t>Viola</t>
  </si>
  <si>
    <t>Nicholson</t>
  </si>
  <si>
    <t>Ronald</t>
  </si>
  <si>
    <t>Matthams</t>
  </si>
  <si>
    <t>Damian</t>
  </si>
  <si>
    <t>Henry</t>
  </si>
  <si>
    <t>Lucille</t>
  </si>
  <si>
    <t>Perez</t>
  </si>
  <si>
    <t>William</t>
  </si>
  <si>
    <t>Montoya</t>
  </si>
  <si>
    <t>Judy</t>
  </si>
  <si>
    <t>Casey</t>
  </si>
  <si>
    <t>Rex</t>
  </si>
  <si>
    <t>Robles</t>
  </si>
  <si>
    <t>Cerys</t>
  </si>
  <si>
    <t>Gould</t>
  </si>
  <si>
    <t>Ellie</t>
  </si>
  <si>
    <t>Gross</t>
  </si>
  <si>
    <t>Lacey</t>
  </si>
  <si>
    <t>Richmond</t>
  </si>
  <si>
    <t>Amina</t>
  </si>
  <si>
    <t>Stein</t>
  </si>
  <si>
    <t>Frazer</t>
  </si>
  <si>
    <t>Padilla</t>
  </si>
  <si>
    <t>Thomas</t>
  </si>
  <si>
    <t>Garrison</t>
  </si>
  <si>
    <t>Daniyal</t>
  </si>
  <si>
    <t>Harmon</t>
  </si>
  <si>
    <t>Saarah</t>
  </si>
  <si>
    <t>Terrell</t>
  </si>
  <si>
    <t>Marjorie</t>
  </si>
  <si>
    <t>Stevenson</t>
  </si>
  <si>
    <t>Cian</t>
  </si>
  <si>
    <t>Hull</t>
  </si>
  <si>
    <t>Dhruv</t>
  </si>
  <si>
    <t>Doherty</t>
  </si>
  <si>
    <t>Josie</t>
  </si>
  <si>
    <t>Kirk</t>
  </si>
  <si>
    <t>Aliza</t>
  </si>
  <si>
    <t>Wolf</t>
  </si>
  <si>
    <t>Caitlin</t>
  </si>
  <si>
    <t>Cisneros</t>
  </si>
  <si>
    <t>Steve</t>
  </si>
  <si>
    <t>Lindsay</t>
  </si>
  <si>
    <t>Shaun</t>
  </si>
  <si>
    <t>Davis</t>
  </si>
  <si>
    <t>Maya</t>
  </si>
  <si>
    <t>Trujillo</t>
  </si>
  <si>
    <t>Eric</t>
  </si>
  <si>
    <t>Garrett</t>
  </si>
  <si>
    <t>Kaya</t>
  </si>
  <si>
    <t>Brendon</t>
  </si>
  <si>
    <t>Gallagher</t>
  </si>
  <si>
    <t>Gary</t>
  </si>
  <si>
    <t>O'Doherty</t>
  </si>
  <si>
    <t>Subhan</t>
  </si>
  <si>
    <t>Gonzalez</t>
  </si>
  <si>
    <t>Rafael</t>
  </si>
  <si>
    <t>Bowen</t>
  </si>
  <si>
    <t>Delores</t>
  </si>
  <si>
    <t>Cook</t>
  </si>
  <si>
    <t>Ava</t>
  </si>
  <si>
    <t>Singleton</t>
  </si>
  <si>
    <t>Ayub</t>
  </si>
  <si>
    <t>Richardson</t>
  </si>
  <si>
    <t>Count of Academic Probation</t>
  </si>
  <si>
    <t>Count of Honors</t>
  </si>
  <si>
    <t>No</t>
  </si>
  <si>
    <t>Yes</t>
  </si>
  <si>
    <t>Mean</t>
  </si>
  <si>
    <t>Standard Error</t>
  </si>
  <si>
    <t>Median</t>
  </si>
  <si>
    <t>Mode</t>
  </si>
  <si>
    <t>Standard Deviation</t>
  </si>
  <si>
    <t>Sample Variance</t>
  </si>
  <si>
    <t>Kurtosis</t>
  </si>
  <si>
    <t>Skewness</t>
  </si>
  <si>
    <t>Range</t>
  </si>
  <si>
    <t>Minimum</t>
  </si>
  <si>
    <t>Maximum</t>
  </si>
  <si>
    <t>Sum</t>
  </si>
  <si>
    <t>Count</t>
  </si>
  <si>
    <t>Confidence Level(95.0%)</t>
  </si>
  <si>
    <t>Bahavior Rubric</t>
  </si>
  <si>
    <t>Unsatisfactory</t>
  </si>
  <si>
    <t>Basic</t>
  </si>
  <si>
    <t>Proficient</t>
  </si>
  <si>
    <t>Advanced</t>
  </si>
  <si>
    <t>Behavior Score</t>
  </si>
  <si>
    <t>Evaluation</t>
  </si>
  <si>
    <t>Stats</t>
  </si>
  <si>
    <t>Number of Advanced Behavior Scores</t>
  </si>
  <si>
    <t>Number of Proficient Behavior Scores</t>
  </si>
  <si>
    <t>Number of Basic Behavior Scores</t>
  </si>
  <si>
    <t>Number of Unsatisfactory Behavior Scores</t>
  </si>
  <si>
    <t>Average Behavior Score</t>
  </si>
  <si>
    <t>Group_Projectt 1.xlsm</t>
  </si>
  <si>
    <t>Class Average:</t>
  </si>
  <si>
    <t>Count of StudentID</t>
  </si>
  <si>
    <t>Average of Exam 1</t>
  </si>
  <si>
    <t>Average of Exam 2</t>
  </si>
  <si>
    <t>Average of Final Exam</t>
  </si>
  <si>
    <t>Average of Assignments</t>
  </si>
  <si>
    <t>Average of Project</t>
  </si>
  <si>
    <t>Average of Absent Days</t>
  </si>
  <si>
    <t>A</t>
  </si>
  <si>
    <t>A-</t>
  </si>
  <si>
    <t>B</t>
  </si>
  <si>
    <t>B-</t>
  </si>
  <si>
    <t>B+</t>
  </si>
  <si>
    <t>C</t>
  </si>
  <si>
    <t>C+</t>
  </si>
  <si>
    <t>D</t>
  </si>
  <si>
    <t>F</t>
  </si>
  <si>
    <t>Grand Total</t>
  </si>
  <si>
    <t>Average final grade</t>
  </si>
  <si>
    <t>Number of students below average</t>
  </si>
  <si>
    <t>Max</t>
  </si>
  <si>
    <t>Number of students above average</t>
  </si>
  <si>
    <t>Min</t>
  </si>
  <si>
    <t>Final Grade With Curve</t>
  </si>
  <si>
    <t>Final Letter Grade</t>
  </si>
  <si>
    <t xml:space="preserve">Student Name </t>
  </si>
  <si>
    <t>Grade</t>
  </si>
  <si>
    <t>Percentile</t>
  </si>
  <si>
    <t>$10K Scholarship Distributions</t>
  </si>
  <si>
    <t>65-70</t>
  </si>
  <si>
    <t>71-79</t>
  </si>
  <si>
    <t>Initial Tuition</t>
  </si>
  <si>
    <t>80-89</t>
  </si>
  <si>
    <t>Scholarship</t>
  </si>
  <si>
    <t>90-100</t>
  </si>
  <si>
    <t>Tuition Loan</t>
  </si>
  <si>
    <t>APR</t>
  </si>
  <si>
    <t>Number of Periods (Post Grad)</t>
  </si>
  <si>
    <t>Monthly Rate</t>
  </si>
  <si>
    <t>PMT</t>
  </si>
  <si>
    <t>Payments for different APRs</t>
  </si>
  <si>
    <t>Payments for different APRs assuming different Tuiton Amounts</t>
  </si>
  <si>
    <t>Scenario Summary</t>
  </si>
  <si>
    <t> </t>
  </si>
  <si>
    <t>Current Values:</t>
  </si>
  <si>
    <t>Different Tution Fees</t>
  </si>
  <si>
    <t>Different APR</t>
  </si>
  <si>
    <t>Different Scholarships</t>
  </si>
  <si>
    <t>Changing Cells:</t>
  </si>
  <si>
    <t>$B$5</t>
  </si>
  <si>
    <t>$B$6</t>
  </si>
  <si>
    <t>$B$7</t>
  </si>
  <si>
    <t>$B$8</t>
  </si>
  <si>
    <t>$B$9</t>
  </si>
  <si>
    <t>$B$10</t>
  </si>
  <si>
    <t>Result Cells:</t>
  </si>
  <si>
    <t>$B$11</t>
  </si>
  <si>
    <t>Notes:  Current Values column represents values of changing cells at</t>
  </si>
  <si>
    <t>time Scenario Summary Report was created.  Changing cells for each</t>
  </si>
  <si>
    <t>scenario are highlighted in gray.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</si>
</sst>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
    <numFmt numFmtId="165" formatCode="_(&quot;$&quot;* #,##0_);_(&quot;$&quot;* \(#,##0\);_(&quot;$&quot;* &quot;-&quot;??_);_(@_)"/>
    <numFmt numFmtId="166" formatCode="&quot;PMT&quot;"/>
    <numFmt numFmtId="167" formatCode="_([$$-409]* #,##0_);_([$$-409]* \(#,##0\);_([$$-409]* &quot;-&quot;??_);_(@_)"/>
  </numFmts>
  <fonts count="32" x14ac:knownFonts="1">
    <font>
      <sz val="12"/>
      <color theme="1"/>
      <name val="Calibri"/>
      <family val="2"/>
      <scheme val="minor"/>
    </font>
    <font>
      <sz val="28"/>
      <color theme="1"/>
      <name val="Calibri"/>
      <family val="2"/>
      <scheme val="minor"/>
    </font>
    <font>
      <sz val="28"/>
      <color theme="1"/>
      <name val="American Typewriter"/>
      <family val="1"/>
    </font>
    <font>
      <u/>
      <sz val="12"/>
      <color theme="10"/>
      <name val="Calibri"/>
      <family val="2"/>
      <scheme val="minor"/>
    </font>
    <font>
      <b/>
      <sz val="13"/>
      <color theme="3"/>
      <name val="Calibri"/>
      <family val="2"/>
      <scheme val="minor"/>
    </font>
    <font>
      <sz val="14"/>
      <color theme="1"/>
      <name val="Comic Sans MS"/>
      <family val="4"/>
    </font>
    <font>
      <sz val="12"/>
      <color rgb="FFC00000"/>
      <name val="Calibri"/>
      <family val="2"/>
      <scheme val="minor"/>
    </font>
    <font>
      <sz val="12"/>
      <color rgb="FF375623"/>
      <name val="Comic Sans MS"/>
      <family val="4"/>
    </font>
    <font>
      <b/>
      <sz val="12"/>
      <color theme="0"/>
      <name val="Calibri"/>
      <family val="2"/>
      <scheme val="minor"/>
    </font>
    <font>
      <sz val="12"/>
      <color rgb="FFFFFFFF"/>
      <name val="Calibri"/>
      <family val="2"/>
      <scheme val="minor"/>
    </font>
    <font>
      <sz val="12"/>
      <color rgb="FF4472C4"/>
      <name val="Comic Sans MS"/>
      <family val="4"/>
    </font>
    <font>
      <sz val="12"/>
      <color rgb="FF806000"/>
      <name val="Comic Sans MS"/>
      <family val="4"/>
    </font>
    <font>
      <sz val="12"/>
      <color rgb="FFFF8400"/>
      <name val="Comic Sans MS"/>
      <family val="4"/>
    </font>
    <font>
      <sz val="12"/>
      <color rgb="FF757171"/>
      <name val="Comic Sans MS"/>
      <family val="4"/>
    </font>
    <font>
      <sz val="18"/>
      <color theme="1"/>
      <name val="Courier New"/>
      <family val="1"/>
    </font>
    <font>
      <sz val="16"/>
      <color theme="1"/>
      <name val="Consolas"/>
      <family val="2"/>
    </font>
    <font>
      <sz val="16"/>
      <color theme="1"/>
      <name val="Calibri"/>
      <family val="2"/>
      <scheme val="minor"/>
    </font>
    <font>
      <sz val="12"/>
      <color theme="0"/>
      <name val="Calibri"/>
      <family val="2"/>
      <scheme val="minor"/>
    </font>
    <font>
      <sz val="12"/>
      <color rgb="FFA4E7E3"/>
      <name val="Calibri"/>
      <family val="2"/>
      <scheme val="minor"/>
    </font>
    <font>
      <b/>
      <sz val="13"/>
      <color theme="1"/>
      <name val="Calibri"/>
      <family val="2"/>
      <scheme val="minor"/>
    </font>
    <font>
      <i/>
      <sz val="16"/>
      <color theme="0"/>
      <name val="Calibri"/>
      <family val="2"/>
      <scheme val="minor"/>
    </font>
    <font>
      <sz val="12"/>
      <color theme="1"/>
      <name val="Calibri"/>
      <family val="2"/>
      <scheme val="minor"/>
    </font>
    <font>
      <sz val="12"/>
      <name val="Calibri"/>
      <family val="2"/>
      <scheme val="minor"/>
    </font>
    <font>
      <u/>
      <sz val="12"/>
      <color rgb="FFFFFFFF"/>
      <name val="Calibri"/>
      <family val="2"/>
      <scheme val="minor"/>
    </font>
    <font>
      <sz val="11"/>
      <color rgb="FF000000"/>
      <name val="Calibri"/>
      <family val="2"/>
    </font>
    <font>
      <b/>
      <sz val="12"/>
      <color rgb="FFFFFFFF"/>
      <name val="Calibri"/>
      <family val="2"/>
    </font>
    <font>
      <sz val="10"/>
      <color rgb="FFFFFFFF"/>
      <name val="Calibri"/>
      <family val="2"/>
    </font>
    <font>
      <b/>
      <sz val="11"/>
      <color rgb="FF000080"/>
      <name val="Calibri"/>
      <family val="2"/>
    </font>
    <font>
      <b/>
      <sz val="11"/>
      <color rgb="FF000000"/>
      <name val="Calibri"/>
      <family val="2"/>
    </font>
    <font>
      <b/>
      <sz val="14"/>
      <color rgb="FF000000"/>
      <name val="Calibri"/>
      <family val="2"/>
    </font>
    <font>
      <b/>
      <sz val="16"/>
      <color rgb="FF000000"/>
      <name val="Calibri"/>
      <family val="2"/>
    </font>
    <font>
      <sz val="12"/>
      <color rgb="FF000000"/>
      <name val="Calibri"/>
      <family val="2"/>
    </font>
  </fonts>
  <fills count="16">
    <fill>
      <patternFill patternType="none"/>
    </fill>
    <fill>
      <patternFill patternType="gray125"/>
    </fill>
    <fill>
      <patternFill patternType="solid">
        <fgColor rgb="FFFFFF00"/>
        <bgColor indexed="64"/>
      </patternFill>
    </fill>
    <fill>
      <patternFill patternType="solid">
        <fgColor theme="0" tint="-0.499984740745262"/>
        <bgColor indexed="64"/>
      </patternFill>
    </fill>
    <fill>
      <patternFill patternType="solid">
        <fgColor rgb="FFA4E7E3"/>
        <bgColor indexed="64"/>
      </patternFill>
    </fill>
    <fill>
      <patternFill patternType="solid">
        <fgColor theme="0" tint="-0.249977111117893"/>
        <bgColor indexed="64"/>
      </patternFill>
    </fill>
    <fill>
      <patternFill patternType="solid">
        <fgColor theme="0" tint="-0.249977111117893"/>
        <bgColor theme="8"/>
      </patternFill>
    </fill>
    <fill>
      <patternFill patternType="solid">
        <fgColor theme="1"/>
        <bgColor indexed="64"/>
      </patternFill>
    </fill>
    <fill>
      <patternFill patternType="solid">
        <fgColor rgb="FFF8CBAD"/>
        <bgColor indexed="64"/>
      </patternFill>
    </fill>
    <fill>
      <patternFill patternType="solid">
        <fgColor theme="9" tint="-0.499984740745262"/>
        <bgColor indexed="64"/>
      </patternFill>
    </fill>
    <fill>
      <patternFill patternType="solid">
        <fgColor theme="5" tint="-0.499984740745262"/>
        <bgColor indexed="64"/>
      </patternFill>
    </fill>
    <fill>
      <patternFill patternType="solid">
        <fgColor rgb="FF92D050"/>
        <bgColor indexed="64"/>
      </patternFill>
    </fill>
    <fill>
      <patternFill patternType="solid">
        <fgColor rgb="FFBDE7DD"/>
        <bgColor indexed="64"/>
      </patternFill>
    </fill>
    <fill>
      <patternFill patternType="solid">
        <fgColor rgb="FF7030A0"/>
        <bgColor rgb="FF9999FF"/>
      </patternFill>
    </fill>
    <fill>
      <patternFill patternType="solid">
        <fgColor theme="0" tint="-0.34998626667073579"/>
        <bgColor rgb="FF9999FF"/>
      </patternFill>
    </fill>
    <fill>
      <patternFill patternType="solid">
        <fgColor theme="0" tint="-0.34998626667073579"/>
        <bgColor rgb="FF00FFFF"/>
      </patternFill>
    </fill>
  </fills>
  <borders count="30">
    <border>
      <left/>
      <right/>
      <top/>
      <bottom/>
      <diagonal/>
    </border>
    <border>
      <left style="thin">
        <color indexed="64"/>
      </left>
      <right style="thin">
        <color indexed="64"/>
      </right>
      <top style="thin">
        <color indexed="64"/>
      </top>
      <bottom style="thin">
        <color indexed="64"/>
      </bottom>
      <diagonal/>
    </border>
    <border>
      <left/>
      <right/>
      <top/>
      <bottom style="thick">
        <color theme="4" tint="0.49998474074526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right style="thin">
        <color rgb="FF000000"/>
      </right>
      <top style="thin">
        <color indexed="64"/>
      </top>
      <bottom/>
      <diagonal/>
    </border>
    <border>
      <left/>
      <right style="thin">
        <color rgb="FF000000"/>
      </right>
      <top/>
      <bottom style="thin">
        <color indexed="64"/>
      </bottom>
      <diagonal/>
    </border>
    <border>
      <left/>
      <right/>
      <top style="medium">
        <color indexed="64"/>
      </top>
      <bottom/>
      <diagonal/>
    </border>
    <border>
      <left/>
      <right/>
      <top/>
      <bottom style="medium">
        <color indexed="64"/>
      </bottom>
      <diagonal/>
    </border>
  </borders>
  <cellStyleXfs count="5">
    <xf numFmtId="0" fontId="0" fillId="0" borderId="0"/>
    <xf numFmtId="0" fontId="3" fillId="0" borderId="0" applyNumberFormat="0" applyFill="0" applyBorder="0" applyAlignment="0" applyProtection="0"/>
    <xf numFmtId="0" fontId="4" fillId="0" borderId="2" applyNumberFormat="0" applyFill="0" applyAlignment="0" applyProtection="0"/>
    <xf numFmtId="44" fontId="21" fillId="0" borderId="0" applyFont="0" applyFill="0" applyBorder="0" applyAlignment="0" applyProtection="0"/>
    <xf numFmtId="9" fontId="21" fillId="0" borderId="0" applyFont="0" applyFill="0" applyBorder="0" applyAlignment="0" applyProtection="0"/>
  </cellStyleXfs>
  <cellXfs count="134">
    <xf numFmtId="0" fontId="0" fillId="0" borderId="0" xfId="0"/>
    <xf numFmtId="0" fontId="1" fillId="0" borderId="0" xfId="0" applyFont="1"/>
    <xf numFmtId="0" fontId="2" fillId="0" borderId="0" xfId="0" applyFont="1"/>
    <xf numFmtId="0" fontId="0" fillId="4" borderId="1" xfId="0" applyFill="1" applyBorder="1"/>
    <xf numFmtId="0" fontId="0" fillId="4" borderId="0" xfId="0" applyFill="1"/>
    <xf numFmtId="0" fontId="15" fillId="4" borderId="11" xfId="0" applyFont="1" applyFill="1" applyBorder="1"/>
    <xf numFmtId="164" fontId="15" fillId="4" borderId="11" xfId="0" applyNumberFormat="1" applyFont="1" applyFill="1" applyBorder="1"/>
    <xf numFmtId="2" fontId="0" fillId="4" borderId="0" xfId="0" applyNumberFormat="1" applyFill="1"/>
    <xf numFmtId="0" fontId="15" fillId="4" borderId="1" xfId="0" applyFont="1" applyFill="1" applyBorder="1"/>
    <xf numFmtId="164" fontId="15" fillId="4" borderId="1" xfId="0" applyNumberFormat="1" applyFont="1" applyFill="1" applyBorder="1"/>
    <xf numFmtId="2" fontId="0" fillId="4" borderId="1" xfId="0" applyNumberFormat="1" applyFill="1" applyBorder="1"/>
    <xf numFmtId="0" fontId="0" fillId="4" borderId="0" xfId="0" applyFill="1" applyAlignment="1">
      <alignment horizontal="left"/>
    </xf>
    <xf numFmtId="0" fontId="0" fillId="4" borderId="1" xfId="0" applyFill="1" applyBorder="1" applyAlignment="1">
      <alignment horizontal="left"/>
    </xf>
    <xf numFmtId="0" fontId="6" fillId="4" borderId="6" xfId="0" applyFont="1" applyFill="1" applyBorder="1" applyAlignment="1">
      <alignment horizontal="left"/>
    </xf>
    <xf numFmtId="0" fontId="11" fillId="4" borderId="0" xfId="0" applyFont="1" applyFill="1" applyAlignment="1">
      <alignment horizontal="center" vertical="center"/>
    </xf>
    <xf numFmtId="0" fontId="13" fillId="4" borderId="0" xfId="0" applyFont="1" applyFill="1" applyAlignment="1">
      <alignment horizontal="center" vertical="center"/>
    </xf>
    <xf numFmtId="0" fontId="12" fillId="4" borderId="0" xfId="0" applyFont="1" applyFill="1" applyAlignment="1">
      <alignment horizontal="center" vertical="center"/>
    </xf>
    <xf numFmtId="0" fontId="10" fillId="4" borderId="0" xfId="0" applyFont="1" applyFill="1" applyAlignment="1">
      <alignment horizontal="center" vertical="center"/>
    </xf>
    <xf numFmtId="0" fontId="7" fillId="4" borderId="0" xfId="0" applyFont="1" applyFill="1" applyAlignment="1">
      <alignment horizontal="center" vertical="center"/>
    </xf>
    <xf numFmtId="0" fontId="0" fillId="4" borderId="7" xfId="0" applyFill="1" applyBorder="1"/>
    <xf numFmtId="0" fontId="6" fillId="4" borderId="8" xfId="0" applyFont="1" applyFill="1" applyBorder="1" applyAlignment="1">
      <alignment horizontal="left"/>
    </xf>
    <xf numFmtId="0" fontId="11" fillId="4" borderId="9" xfId="0" applyFont="1" applyFill="1" applyBorder="1" applyAlignment="1">
      <alignment horizontal="center" vertical="center"/>
    </xf>
    <xf numFmtId="0" fontId="13" fillId="4" borderId="9" xfId="0" applyFont="1" applyFill="1" applyBorder="1" applyAlignment="1">
      <alignment horizontal="center" vertical="center"/>
    </xf>
    <xf numFmtId="0" fontId="12" fillId="4" borderId="9" xfId="0" applyFont="1" applyFill="1" applyBorder="1" applyAlignment="1">
      <alignment horizontal="center" vertical="center"/>
    </xf>
    <xf numFmtId="0" fontId="10" fillId="4" borderId="9" xfId="0" applyFont="1" applyFill="1" applyBorder="1" applyAlignment="1">
      <alignment horizontal="center" vertical="center"/>
    </xf>
    <xf numFmtId="0" fontId="7" fillId="4" borderId="9" xfId="0" applyFont="1" applyFill="1" applyBorder="1" applyAlignment="1">
      <alignment horizontal="center" vertical="center"/>
    </xf>
    <xf numFmtId="0" fontId="0" fillId="4" borderId="10" xfId="0" applyFill="1" applyBorder="1"/>
    <xf numFmtId="0" fontId="9" fillId="4" borderId="0" xfId="0" applyFont="1" applyFill="1"/>
    <xf numFmtId="0" fontId="0" fillId="4" borderId="11" xfId="0" applyFill="1" applyBorder="1" applyAlignment="1">
      <alignment horizontal="center" vertical="center"/>
    </xf>
    <xf numFmtId="0" fontId="18" fillId="4" borderId="0" xfId="0" applyFont="1" applyFill="1"/>
    <xf numFmtId="0" fontId="0" fillId="4" borderId="15" xfId="0" applyFill="1" applyBorder="1" applyAlignment="1">
      <alignment horizontal="left"/>
    </xf>
    <xf numFmtId="1" fontId="0" fillId="4" borderId="1" xfId="0" applyNumberFormat="1" applyFill="1" applyBorder="1"/>
    <xf numFmtId="0" fontId="0" fillId="4" borderId="16" xfId="0" applyFill="1" applyBorder="1"/>
    <xf numFmtId="0" fontId="0" fillId="4" borderId="17" xfId="0" applyFill="1" applyBorder="1" applyAlignment="1">
      <alignment horizontal="left"/>
    </xf>
    <xf numFmtId="0" fontId="0" fillId="4" borderId="18" xfId="0" applyFill="1" applyBorder="1"/>
    <xf numFmtId="1" fontId="0" fillId="4" borderId="18" xfId="0" applyNumberFormat="1" applyFill="1" applyBorder="1"/>
    <xf numFmtId="0" fontId="0" fillId="4" borderId="19" xfId="0" applyFill="1" applyBorder="1"/>
    <xf numFmtId="164" fontId="0" fillId="4" borderId="1" xfId="0" applyNumberFormat="1" applyFill="1" applyBorder="1"/>
    <xf numFmtId="0" fontId="0" fillId="4" borderId="15" xfId="0" applyFill="1" applyBorder="1"/>
    <xf numFmtId="0" fontId="0" fillId="4" borderId="17" xfId="0" applyFill="1" applyBorder="1"/>
    <xf numFmtId="2" fontId="0" fillId="4" borderId="18" xfId="0" applyNumberFormat="1" applyFill="1" applyBorder="1"/>
    <xf numFmtId="0" fontId="15" fillId="5" borderId="1" xfId="0" applyFont="1" applyFill="1" applyBorder="1"/>
    <xf numFmtId="0" fontId="0" fillId="5" borderId="1" xfId="0" applyFill="1" applyBorder="1"/>
    <xf numFmtId="0" fontId="0" fillId="5" borderId="12" xfId="0" applyFill="1" applyBorder="1" applyAlignment="1">
      <alignment horizontal="left"/>
    </xf>
    <xf numFmtId="0" fontId="0" fillId="5" borderId="13" xfId="0" applyFill="1" applyBorder="1"/>
    <xf numFmtId="0" fontId="0" fillId="5" borderId="14" xfId="0" applyFill="1" applyBorder="1"/>
    <xf numFmtId="0" fontId="8" fillId="6" borderId="11" xfId="0" applyFont="1" applyFill="1" applyBorder="1" applyAlignment="1">
      <alignment horizontal="left"/>
    </xf>
    <xf numFmtId="0" fontId="8" fillId="6" borderId="11" xfId="0" applyFont="1" applyFill="1" applyBorder="1"/>
    <xf numFmtId="0" fontId="16" fillId="5" borderId="1" xfId="0" applyFont="1" applyFill="1" applyBorder="1"/>
    <xf numFmtId="0" fontId="14" fillId="5" borderId="12" xfId="0" applyFont="1" applyFill="1" applyBorder="1" applyAlignment="1">
      <alignment horizontal="center" wrapText="1"/>
    </xf>
    <xf numFmtId="0" fontId="14" fillId="5" borderId="13" xfId="0" applyFont="1" applyFill="1" applyBorder="1" applyAlignment="1">
      <alignment horizontal="center" wrapText="1"/>
    </xf>
    <xf numFmtId="0" fontId="14" fillId="5" borderId="14" xfId="0" applyFont="1" applyFill="1" applyBorder="1" applyAlignment="1">
      <alignment horizontal="center" wrapText="1"/>
    </xf>
    <xf numFmtId="0" fontId="15" fillId="5" borderId="11" xfId="0" applyFont="1" applyFill="1" applyBorder="1"/>
    <xf numFmtId="2" fontId="18" fillId="4" borderId="0" xfId="0" applyNumberFormat="1" applyFont="1" applyFill="1"/>
    <xf numFmtId="0" fontId="0" fillId="2" borderId="1" xfId="0" applyFill="1" applyBorder="1"/>
    <xf numFmtId="0" fontId="17" fillId="3" borderId="1" xfId="0" applyFont="1" applyFill="1" applyBorder="1"/>
    <xf numFmtId="0" fontId="0" fillId="2" borderId="11" xfId="0" applyFill="1" applyBorder="1" applyAlignment="1">
      <alignment horizontal="center" vertical="center"/>
    </xf>
    <xf numFmtId="0" fontId="17" fillId="9" borderId="0" xfId="0" applyFont="1" applyFill="1"/>
    <xf numFmtId="0" fontId="0" fillId="2" borderId="21" xfId="0" applyFill="1" applyBorder="1"/>
    <xf numFmtId="2" fontId="17" fillId="9" borderId="0" xfId="0" applyNumberFormat="1" applyFont="1" applyFill="1"/>
    <xf numFmtId="0" fontId="17" fillId="10" borderId="19" xfId="0" applyFont="1" applyFill="1" applyBorder="1"/>
    <xf numFmtId="0" fontId="17" fillId="10" borderId="0" xfId="0" applyFont="1" applyFill="1"/>
    <xf numFmtId="0" fontId="0" fillId="2" borderId="14" xfId="0" applyFill="1" applyBorder="1"/>
    <xf numFmtId="0" fontId="0" fillId="10" borderId="1" xfId="0" applyFill="1" applyBorder="1"/>
    <xf numFmtId="166" fontId="17" fillId="10" borderId="1" xfId="0" applyNumberFormat="1" applyFont="1" applyFill="1" applyBorder="1"/>
    <xf numFmtId="165" fontId="17" fillId="10" borderId="1" xfId="3" applyNumberFormat="1" applyFont="1" applyFill="1" applyBorder="1"/>
    <xf numFmtId="44" fontId="17" fillId="10" borderId="1" xfId="3" applyFont="1" applyFill="1" applyBorder="1"/>
    <xf numFmtId="0" fontId="17" fillId="10" borderId="26" xfId="0" applyFont="1" applyFill="1" applyBorder="1"/>
    <xf numFmtId="2" fontId="8" fillId="11" borderId="1" xfId="0" applyNumberFormat="1" applyFont="1" applyFill="1" applyBorder="1"/>
    <xf numFmtId="0" fontId="0" fillId="12" borderId="0" xfId="0" applyFill="1"/>
    <xf numFmtId="0" fontId="0" fillId="12" borderId="1" xfId="0" applyFill="1" applyBorder="1"/>
    <xf numFmtId="0" fontId="0" fillId="12" borderId="1" xfId="0" applyFill="1" applyBorder="1" applyAlignment="1">
      <alignment horizontal="left"/>
    </xf>
    <xf numFmtId="0" fontId="8" fillId="3" borderId="1" xfId="0" applyFont="1" applyFill="1" applyBorder="1"/>
    <xf numFmtId="0" fontId="8" fillId="3" borderId="1" xfId="0" applyFont="1" applyFill="1" applyBorder="1" applyAlignment="1">
      <alignment horizontal="left"/>
    </xf>
    <xf numFmtId="2" fontId="0" fillId="12" borderId="0" xfId="0" applyNumberFormat="1" applyFill="1"/>
    <xf numFmtId="9" fontId="0" fillId="12" borderId="0" xfId="0" applyNumberFormat="1" applyFill="1"/>
    <xf numFmtId="2" fontId="22" fillId="12" borderId="15" xfId="0" applyNumberFormat="1" applyFont="1" applyFill="1" applyBorder="1"/>
    <xf numFmtId="2" fontId="0" fillId="12" borderId="1" xfId="0" applyNumberFormat="1" applyFill="1" applyBorder="1"/>
    <xf numFmtId="0" fontId="23" fillId="7" borderId="0" xfId="1" applyFont="1" applyFill="1"/>
    <xf numFmtId="0" fontId="9" fillId="7" borderId="0" xfId="0" applyFont="1" applyFill="1"/>
    <xf numFmtId="0" fontId="0" fillId="12" borderId="14" xfId="0" applyFill="1" applyBorder="1"/>
    <xf numFmtId="0" fontId="0" fillId="12" borderId="27" xfId="0" applyFill="1" applyBorder="1"/>
    <xf numFmtId="0" fontId="0" fillId="12" borderId="19" xfId="0" applyFill="1" applyBorder="1"/>
    <xf numFmtId="9" fontId="0" fillId="12" borderId="22" xfId="0" applyNumberFormat="1" applyFill="1" applyBorder="1"/>
    <xf numFmtId="165" fontId="0" fillId="12" borderId="17" xfId="3" applyNumberFormat="1" applyFont="1" applyFill="1" applyBorder="1"/>
    <xf numFmtId="0" fontId="0" fillId="12" borderId="24" xfId="0" applyFill="1" applyBorder="1"/>
    <xf numFmtId="165" fontId="0" fillId="12" borderId="25" xfId="3" applyNumberFormat="1" applyFont="1" applyFill="1" applyBorder="1"/>
    <xf numFmtId="167" fontId="0" fillId="12" borderId="25" xfId="3" applyNumberFormat="1" applyFont="1" applyFill="1" applyBorder="1"/>
    <xf numFmtId="9" fontId="0" fillId="12" borderId="23" xfId="0" applyNumberFormat="1" applyFill="1" applyBorder="1"/>
    <xf numFmtId="165" fontId="0" fillId="12" borderId="12" xfId="3" applyNumberFormat="1" applyFont="1" applyFill="1" applyBorder="1"/>
    <xf numFmtId="10" fontId="0" fillId="12" borderId="25" xfId="0" applyNumberFormat="1" applyFill="1" applyBorder="1"/>
    <xf numFmtId="0" fontId="0" fillId="12" borderId="25" xfId="0" applyFill="1" applyBorder="1"/>
    <xf numFmtId="165" fontId="0" fillId="12" borderId="12" xfId="0" applyNumberFormat="1" applyFill="1" applyBorder="1"/>
    <xf numFmtId="10" fontId="21" fillId="12" borderId="19" xfId="4" applyNumberFormat="1" applyFont="1" applyFill="1" applyBorder="1"/>
    <xf numFmtId="44" fontId="0" fillId="12" borderId="17" xfId="3" applyFont="1" applyFill="1" applyBorder="1"/>
    <xf numFmtId="44" fontId="0" fillId="12" borderId="22" xfId="3" applyFont="1" applyFill="1" applyBorder="1"/>
    <xf numFmtId="10" fontId="21" fillId="12" borderId="24" xfId="4" applyNumberFormat="1" applyFont="1" applyFill="1" applyBorder="1"/>
    <xf numFmtId="44" fontId="0" fillId="12" borderId="25" xfId="3" applyFont="1" applyFill="1" applyBorder="1"/>
    <xf numFmtId="44" fontId="0" fillId="12" borderId="0" xfId="3" applyFont="1" applyFill="1" applyBorder="1"/>
    <xf numFmtId="10" fontId="21" fillId="12" borderId="14" xfId="4" applyNumberFormat="1" applyFont="1" applyFill="1" applyBorder="1"/>
    <xf numFmtId="44" fontId="0" fillId="12" borderId="12" xfId="3" applyFont="1" applyFill="1" applyBorder="1"/>
    <xf numFmtId="44" fontId="0" fillId="12" borderId="23" xfId="3" applyFont="1" applyFill="1" applyBorder="1"/>
    <xf numFmtId="0" fontId="24" fillId="12" borderId="20" xfId="0" applyFont="1" applyFill="1" applyBorder="1"/>
    <xf numFmtId="6" fontId="24" fillId="12" borderId="0" xfId="0" applyNumberFormat="1" applyFont="1" applyFill="1"/>
    <xf numFmtId="10" fontId="24" fillId="12" borderId="0" xfId="0" applyNumberFormat="1" applyFont="1" applyFill="1"/>
    <xf numFmtId="0" fontId="24" fillId="12" borderId="0" xfId="0" applyFont="1" applyFill="1"/>
    <xf numFmtId="6" fontId="24" fillId="12" borderId="29" xfId="0" applyNumberFormat="1" applyFont="1" applyFill="1" applyBorder="1"/>
    <xf numFmtId="0" fontId="25" fillId="13" borderId="28" xfId="0" applyFont="1" applyFill="1" applyBorder="1"/>
    <xf numFmtId="0" fontId="25" fillId="13" borderId="0" xfId="0" applyFont="1" applyFill="1"/>
    <xf numFmtId="0" fontId="26" fillId="13" borderId="28" xfId="0" applyFont="1" applyFill="1" applyBorder="1"/>
    <xf numFmtId="0" fontId="25" fillId="13" borderId="23" xfId="0" applyFont="1" applyFill="1" applyBorder="1"/>
    <xf numFmtId="0" fontId="26" fillId="13" borderId="23" xfId="0" applyFont="1" applyFill="1" applyBorder="1"/>
    <xf numFmtId="0" fontId="27" fillId="14" borderId="20" xfId="0" applyFont="1" applyFill="1" applyBorder="1"/>
    <xf numFmtId="0" fontId="27" fillId="14" borderId="0" xfId="0" applyFont="1" applyFill="1"/>
    <xf numFmtId="0" fontId="28" fillId="14" borderId="0" xfId="0" applyFont="1" applyFill="1"/>
    <xf numFmtId="0" fontId="28" fillId="14" borderId="29" xfId="0" applyFont="1" applyFill="1" applyBorder="1"/>
    <xf numFmtId="6" fontId="24" fillId="15" borderId="0" xfId="0" applyNumberFormat="1" applyFont="1" applyFill="1"/>
    <xf numFmtId="10" fontId="24" fillId="15" borderId="0" xfId="0" applyNumberFormat="1" applyFont="1" applyFill="1"/>
    <xf numFmtId="0" fontId="24" fillId="15" borderId="0" xfId="0" applyFont="1" applyFill="1"/>
    <xf numFmtId="0" fontId="3" fillId="5" borderId="0" xfId="1" applyFill="1" applyAlignment="1">
      <alignment horizontal="center"/>
    </xf>
    <xf numFmtId="0" fontId="2" fillId="0" borderId="0" xfId="0" applyFont="1"/>
    <xf numFmtId="0" fontId="2" fillId="0" borderId="0" xfId="0" applyFont="1" applyAlignment="1">
      <alignment horizontal="center"/>
    </xf>
    <xf numFmtId="0" fontId="20" fillId="7" borderId="19" xfId="0" applyFont="1" applyFill="1" applyBorder="1" applyAlignment="1">
      <alignment horizontal="center"/>
    </xf>
    <xf numFmtId="0" fontId="20" fillId="7" borderId="17" xfId="0" applyFont="1" applyFill="1" applyBorder="1" applyAlignment="1">
      <alignment horizontal="center"/>
    </xf>
    <xf numFmtId="0" fontId="20" fillId="7" borderId="14" xfId="0" applyFont="1" applyFill="1" applyBorder="1" applyAlignment="1">
      <alignment horizontal="center"/>
    </xf>
    <xf numFmtId="0" fontId="20" fillId="7" borderId="12" xfId="0" applyFont="1" applyFill="1" applyBorder="1" applyAlignment="1">
      <alignment horizontal="center"/>
    </xf>
    <xf numFmtId="0" fontId="5" fillId="8" borderId="3" xfId="0" applyFont="1" applyFill="1" applyBorder="1" applyAlignment="1">
      <alignment horizontal="center" vertical="center"/>
    </xf>
    <xf numFmtId="0" fontId="5" fillId="8" borderId="4" xfId="0" applyFont="1" applyFill="1" applyBorder="1" applyAlignment="1">
      <alignment horizontal="center" vertical="center"/>
    </xf>
    <xf numFmtId="0" fontId="5" fillId="8" borderId="5" xfId="0" applyFont="1" applyFill="1" applyBorder="1" applyAlignment="1">
      <alignment horizontal="center" vertical="center"/>
    </xf>
    <xf numFmtId="0" fontId="19" fillId="5" borderId="16" xfId="2" applyFont="1" applyFill="1" applyBorder="1" applyAlignment="1">
      <alignment horizontal="center"/>
    </xf>
    <xf numFmtId="0" fontId="19" fillId="5" borderId="20" xfId="2" applyFont="1" applyFill="1" applyBorder="1" applyAlignment="1">
      <alignment horizontal="center"/>
    </xf>
    <xf numFmtId="0" fontId="19" fillId="5" borderId="15" xfId="2" applyFont="1" applyFill="1" applyBorder="1" applyAlignment="1">
      <alignment horizontal="center"/>
    </xf>
    <xf numFmtId="0" fontId="17" fillId="10" borderId="1" xfId="0" applyFont="1" applyFill="1" applyBorder="1" applyAlignment="1">
      <alignment horizontal="center"/>
    </xf>
    <xf numFmtId="0" fontId="17" fillId="10" borderId="1" xfId="0" applyFont="1" applyFill="1" applyBorder="1" applyAlignment="1">
      <alignment horizontal="center" wrapText="1"/>
    </xf>
  </cellXfs>
  <cellStyles count="5">
    <cellStyle name="Currency" xfId="3" builtinId="4"/>
    <cellStyle name="Heading 2" xfId="2" builtinId="17"/>
    <cellStyle name="Hyperlink" xfId="1" builtinId="8"/>
    <cellStyle name="Normal" xfId="0" builtinId="0"/>
    <cellStyle name="Percent" xfId="4" builtinId="5"/>
  </cellStyles>
  <dxfs count="111">
    <dxf>
      <fill>
        <patternFill>
          <fgColor indexed="64"/>
          <bgColor rgb="FFA4E7E3"/>
        </patternFill>
      </fill>
      <border diagonalUp="0" diagonalDown="0">
        <left style="thin">
          <color indexed="64"/>
        </left>
        <right/>
        <top style="thin">
          <color indexed="64"/>
        </top>
        <bottom style="thin">
          <color indexed="64"/>
        </bottom>
        <vertical style="thin">
          <color indexed="64"/>
        </vertical>
        <horizontal style="thin">
          <color indexed="64"/>
        </horizontal>
      </border>
    </dxf>
    <dxf>
      <fill>
        <patternFill>
          <fgColor indexed="64"/>
          <bgColor rgb="FFA4E7E3"/>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rgb="FFA4E7E3"/>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rgb="FFA4E7E3"/>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rgb="FFA4E7E3"/>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rgb="FFA4E7E3"/>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rgb="FFA4E7E3"/>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rgb="FFA4E7E3"/>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rgb="FFA4E7E3"/>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rgb="FFA4E7E3"/>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rgb="FFA4E7E3"/>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rgb="FFA4E7E3"/>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rgb="FFA4E7E3"/>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fgColor indexed="64"/>
          <bgColor rgb="FFA4E7E3"/>
        </patternFill>
      </fill>
    </dxf>
    <dxf>
      <border>
        <bottom style="thin">
          <color indexed="64"/>
        </bottom>
      </border>
    </dxf>
    <dxf>
      <font>
        <b val="0"/>
        <sz val="18"/>
        <name val="Courier New"/>
      </font>
      <fill>
        <patternFill patternType="solid">
          <fgColor indexed="64"/>
          <bgColor theme="0" tint="-0.249977111117893"/>
        </patternFill>
      </fill>
      <alignment horizontal="center" vertical="bottom" wrapText="1"/>
      <border diagonalUp="0" diagonalDown="0" outline="0">
        <left style="thin">
          <color indexed="64"/>
        </left>
        <right style="thin">
          <color indexed="64"/>
        </right>
        <top/>
        <bottom/>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theme="7" tint="0.59996337778862885"/>
        </patternFill>
      </fill>
    </dxf>
    <dxf>
      <fill>
        <patternFill>
          <bgColor theme="0" tint="-0.249977111117893"/>
        </patternFill>
      </fill>
    </dxf>
    <dxf>
      <fill>
        <patternFill>
          <bgColor theme="0"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A4E7E3"/>
        </patternFill>
      </fill>
    </dxf>
    <dxf>
      <fill>
        <patternFill>
          <bgColor rgb="FFA4E7E3"/>
        </patternFill>
      </fill>
    </dxf>
    <dxf>
      <fill>
        <patternFill>
          <bgColor rgb="FFA4E7E3"/>
        </patternFill>
      </fill>
    </dxf>
    <dxf>
      <fill>
        <patternFill>
          <bgColor rgb="FFA4E7E3"/>
        </patternFill>
      </fill>
    </dxf>
    <dxf>
      <fill>
        <patternFill>
          <bgColor rgb="FFA4E7E3"/>
        </patternFill>
      </fill>
    </dxf>
    <dxf>
      <fill>
        <patternFill>
          <bgColor rgb="FFA4E7E3"/>
        </patternFill>
      </fill>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FFC000"/>
        </patternFill>
      </fill>
    </dxf>
    <dxf>
      <fill>
        <patternFill patternType="solid">
          <fgColor indexed="64"/>
          <bgColor rgb="FFFFC000"/>
        </patternFill>
      </fill>
    </dxf>
    <dxf>
      <font>
        <sz val="16"/>
      </font>
    </dxf>
    <dxf>
      <font>
        <sz val="16"/>
      </font>
    </dxf>
    <dxf>
      <numFmt numFmtId="1" formatCode="0"/>
    </dxf>
    <dxf>
      <numFmt numFmtId="164" formatCode="0.0"/>
    </dxf>
    <dxf>
      <font>
        <color rgb="FF9C0006"/>
      </font>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0" formatCode="General"/>
      <fill>
        <patternFill>
          <bgColor rgb="FFA4E7E3"/>
        </patternFill>
      </fill>
      <border diagonalUp="0" diagonalDown="0">
        <left style="thin">
          <color indexed="64"/>
        </left>
        <right/>
        <top style="thin">
          <color indexed="64"/>
        </top>
        <bottom style="thin">
          <color indexed="64"/>
        </bottom>
        <vertical style="thin">
          <color indexed="64"/>
        </vertical>
        <horizontal style="thin">
          <color indexed="64"/>
        </horizontal>
      </border>
    </dxf>
    <dxf>
      <numFmt numFmtId="1" formatCode="0"/>
      <fill>
        <patternFill>
          <bgColor rgb="FFA4E7E3"/>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A4E7E3"/>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A4E7E3"/>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A4E7E3"/>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bgColor rgb="FFA4E7E3"/>
        </patternFill>
      </fill>
    </dxf>
    <dxf>
      <border>
        <bottom style="thin">
          <color indexed="64"/>
        </bottom>
      </border>
    </dxf>
    <dxf>
      <fill>
        <patternFill patternType="solid">
          <fgColor indexed="64"/>
          <bgColor theme="0" tint="-0.249977111117893"/>
        </patternFill>
      </fill>
      <border diagonalUp="0" diagonalDown="0" outline="0">
        <left style="thin">
          <color indexed="64"/>
        </left>
        <right style="thin">
          <color indexed="64"/>
        </right>
        <top/>
        <bottom/>
      </border>
    </dxf>
    <dxf>
      <font>
        <color rgb="FFFFFFFF"/>
      </font>
      <fill>
        <patternFill patternType="solid">
          <bgColor rgb="FF808080"/>
        </patternFill>
      </fill>
    </dxf>
    <dxf>
      <font>
        <color rgb="FF000000"/>
      </font>
      <fill>
        <patternFill patternType="solid">
          <bgColor rgb="FFED7D31"/>
        </patternFill>
      </fill>
    </dxf>
    <dxf>
      <font>
        <color rgb="FFFFFFFF"/>
      </font>
      <fill>
        <patternFill patternType="solid">
          <bgColor rgb="FF4472C4"/>
        </patternFill>
      </fill>
    </dxf>
    <dxf>
      <font>
        <color rgb="FF000000"/>
      </font>
      <fill>
        <patternFill patternType="solid">
          <bgColor rgb="FFFFC000"/>
        </patternFill>
      </fill>
    </dxf>
    <dxf>
      <font>
        <color rgb="FFFFFFFF"/>
      </font>
      <fill>
        <patternFill patternType="solid">
          <bgColor rgb="FF808080"/>
        </patternFill>
      </fill>
    </dxf>
    <dxf>
      <font>
        <color rgb="FF000000"/>
      </font>
      <fill>
        <patternFill patternType="solid">
          <bgColor rgb="FFED7D31"/>
        </patternFill>
      </fill>
    </dxf>
    <dxf>
      <font>
        <color rgb="FFFFFFFF"/>
      </font>
      <fill>
        <patternFill patternType="solid">
          <bgColor rgb="FF4472C4"/>
        </patternFill>
      </fill>
    </dxf>
    <dxf>
      <font>
        <color rgb="FF000000"/>
      </font>
      <fill>
        <patternFill patternType="solid">
          <bgColor rgb="FFFFC000"/>
        </patternFill>
      </fill>
    </dxf>
    <dxf>
      <fill>
        <patternFill>
          <bgColor theme="0" tint="-0.249977111117893"/>
        </patternFill>
      </fill>
    </dxf>
    <dxf>
      <fill>
        <patternFill>
          <bgColor theme="0"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A4E7E3"/>
        </patternFill>
      </fill>
    </dxf>
    <dxf>
      <fill>
        <patternFill patternType="solid">
          <bgColor rgb="FFA4E7E3"/>
        </patternFill>
      </fill>
    </dxf>
    <dxf>
      <fill>
        <patternFill patternType="solid">
          <bgColor rgb="FFA4E7E3"/>
        </patternFill>
      </fill>
    </dxf>
    <dxf>
      <fill>
        <patternFill patternType="solid">
          <bgColor rgb="FFA4E7E3"/>
        </patternFill>
      </fill>
    </dxf>
    <dxf>
      <fill>
        <patternFill patternType="solid">
          <bgColor rgb="FFA4E7E3"/>
        </patternFill>
      </fill>
    </dxf>
    <dxf>
      <fill>
        <patternFill>
          <bgColor theme="0" tint="-0.249977111117893"/>
        </patternFill>
      </fill>
    </dxf>
    <dxf>
      <fill>
        <patternFill>
          <bgColor theme="0"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A4E7E3"/>
        </patternFill>
      </fill>
    </dxf>
    <dxf>
      <fill>
        <patternFill patternType="solid">
          <bgColor rgb="FFA4E7E3"/>
        </patternFill>
      </fill>
    </dxf>
    <dxf>
      <fill>
        <patternFill patternType="solid">
          <bgColor rgb="FFA4E7E3"/>
        </patternFill>
      </fill>
    </dxf>
    <dxf>
      <fill>
        <patternFill patternType="solid">
          <bgColor rgb="FFA4E7E3"/>
        </patternFill>
      </fill>
    </dxf>
    <dxf>
      <fill>
        <patternFill patternType="solid">
          <bgColor rgb="FFA4E7E3"/>
        </patternFill>
      </fill>
    </dxf>
    <dxf>
      <font>
        <color rgb="FF9C0006"/>
      </font>
    </dxf>
    <dxf>
      <font>
        <color rgb="FF006100"/>
      </font>
      <fill>
        <patternFill>
          <bgColor rgb="FFC6EFCE"/>
        </patternFill>
      </fill>
    </dxf>
    <dxf>
      <font>
        <color rgb="FF9C0006"/>
      </font>
      <fill>
        <patternFill>
          <bgColor rgb="FFFFC7CE"/>
        </patternFill>
      </fill>
    </dxf>
    <dxf>
      <font>
        <color rgb="FF9C0006"/>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BDE7DD"/>
      <color rgb="FFA4E7E3"/>
      <color rgb="FFFFA200"/>
      <color rgb="FF98E1F2"/>
      <color rgb="FF18DCF2"/>
      <color rgb="FFFF8400"/>
      <color rgb="FF3C62FF"/>
      <color rgb="FFD7FAF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[Group_Project_Final.xlsm]Pivot Table!PivotTable3</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c:f>
              <c:strCache>
                <c:ptCount val="1"/>
                <c:pt idx="0">
                  <c:v>Count of StudentID</c:v>
                </c:pt>
              </c:strCache>
            </c:strRef>
          </c:tx>
          <c:spPr>
            <a:solidFill>
              <a:schemeClr val="accent1"/>
            </a:solidFill>
            <a:ln>
              <a:noFill/>
            </a:ln>
            <a:effectLst/>
          </c:spPr>
          <c:invertIfNegative val="0"/>
          <c:cat>
            <c:strRef>
              <c:f>'Pivot Table'!$A$2:$A$11</c:f>
              <c:strCache>
                <c:ptCount val="9"/>
                <c:pt idx="0">
                  <c:v>A</c:v>
                </c:pt>
                <c:pt idx="1">
                  <c:v>A-</c:v>
                </c:pt>
                <c:pt idx="2">
                  <c:v>B</c:v>
                </c:pt>
                <c:pt idx="3">
                  <c:v>B-</c:v>
                </c:pt>
                <c:pt idx="4">
                  <c:v>B+</c:v>
                </c:pt>
                <c:pt idx="5">
                  <c:v>C</c:v>
                </c:pt>
                <c:pt idx="6">
                  <c:v>C+</c:v>
                </c:pt>
                <c:pt idx="7">
                  <c:v>D</c:v>
                </c:pt>
                <c:pt idx="8">
                  <c:v>F</c:v>
                </c:pt>
              </c:strCache>
            </c:strRef>
          </c:cat>
          <c:val>
            <c:numRef>
              <c:f>'Pivot Table'!$B$2:$B$11</c:f>
              <c:numCache>
                <c:formatCode>0</c:formatCode>
                <c:ptCount val="9"/>
                <c:pt idx="0">
                  <c:v>4</c:v>
                </c:pt>
                <c:pt idx="1">
                  <c:v>1</c:v>
                </c:pt>
                <c:pt idx="2">
                  <c:v>2</c:v>
                </c:pt>
                <c:pt idx="3">
                  <c:v>1</c:v>
                </c:pt>
                <c:pt idx="4">
                  <c:v>4</c:v>
                </c:pt>
                <c:pt idx="5">
                  <c:v>7</c:v>
                </c:pt>
                <c:pt idx="6">
                  <c:v>2</c:v>
                </c:pt>
                <c:pt idx="7">
                  <c:v>6</c:v>
                </c:pt>
                <c:pt idx="8">
                  <c:v>23</c:v>
                </c:pt>
              </c:numCache>
            </c:numRef>
          </c:val>
          <c:extLst>
            <c:ext xmlns:c16="http://schemas.microsoft.com/office/drawing/2014/chart" uri="{C3380CC4-5D6E-409C-BE32-E72D297353CC}">
              <c16:uniqueId val="{00000000-156E-4510-BE7A-D06C7EB38EAB}"/>
            </c:ext>
          </c:extLst>
        </c:ser>
        <c:ser>
          <c:idx val="1"/>
          <c:order val="1"/>
          <c:tx>
            <c:strRef>
              <c:f>'Pivot Table'!$C$1</c:f>
              <c:strCache>
                <c:ptCount val="1"/>
                <c:pt idx="0">
                  <c:v>Average of Exam 1</c:v>
                </c:pt>
              </c:strCache>
            </c:strRef>
          </c:tx>
          <c:spPr>
            <a:solidFill>
              <a:schemeClr val="accent2"/>
            </a:solidFill>
            <a:ln>
              <a:noFill/>
            </a:ln>
            <a:effectLst/>
          </c:spPr>
          <c:invertIfNegative val="0"/>
          <c:cat>
            <c:strRef>
              <c:f>'Pivot Table'!$A$2:$A$11</c:f>
              <c:strCache>
                <c:ptCount val="9"/>
                <c:pt idx="0">
                  <c:v>A</c:v>
                </c:pt>
                <c:pt idx="1">
                  <c:v>A-</c:v>
                </c:pt>
                <c:pt idx="2">
                  <c:v>B</c:v>
                </c:pt>
                <c:pt idx="3">
                  <c:v>B-</c:v>
                </c:pt>
                <c:pt idx="4">
                  <c:v>B+</c:v>
                </c:pt>
                <c:pt idx="5">
                  <c:v>C</c:v>
                </c:pt>
                <c:pt idx="6">
                  <c:v>C+</c:v>
                </c:pt>
                <c:pt idx="7">
                  <c:v>D</c:v>
                </c:pt>
                <c:pt idx="8">
                  <c:v>F</c:v>
                </c:pt>
              </c:strCache>
            </c:strRef>
          </c:cat>
          <c:val>
            <c:numRef>
              <c:f>'Pivot Table'!$C$2:$C$11</c:f>
              <c:numCache>
                <c:formatCode>0.0</c:formatCode>
                <c:ptCount val="9"/>
                <c:pt idx="0">
                  <c:v>95</c:v>
                </c:pt>
                <c:pt idx="1">
                  <c:v>95</c:v>
                </c:pt>
                <c:pt idx="2">
                  <c:v>79</c:v>
                </c:pt>
                <c:pt idx="3">
                  <c:v>74</c:v>
                </c:pt>
                <c:pt idx="4">
                  <c:v>86</c:v>
                </c:pt>
                <c:pt idx="5">
                  <c:v>71.285714285714292</c:v>
                </c:pt>
                <c:pt idx="6">
                  <c:v>74</c:v>
                </c:pt>
                <c:pt idx="7">
                  <c:v>64.166666666666671</c:v>
                </c:pt>
                <c:pt idx="8">
                  <c:v>42.695652173913047</c:v>
                </c:pt>
              </c:numCache>
            </c:numRef>
          </c:val>
          <c:extLst>
            <c:ext xmlns:c16="http://schemas.microsoft.com/office/drawing/2014/chart" uri="{C3380CC4-5D6E-409C-BE32-E72D297353CC}">
              <c16:uniqueId val="{00000001-156E-4510-BE7A-D06C7EB38EAB}"/>
            </c:ext>
          </c:extLst>
        </c:ser>
        <c:ser>
          <c:idx val="2"/>
          <c:order val="2"/>
          <c:tx>
            <c:strRef>
              <c:f>'Pivot Table'!$D$1</c:f>
              <c:strCache>
                <c:ptCount val="1"/>
                <c:pt idx="0">
                  <c:v>Average of Exam 2</c:v>
                </c:pt>
              </c:strCache>
            </c:strRef>
          </c:tx>
          <c:spPr>
            <a:solidFill>
              <a:schemeClr val="accent3"/>
            </a:solidFill>
            <a:ln>
              <a:noFill/>
            </a:ln>
            <a:effectLst/>
          </c:spPr>
          <c:invertIfNegative val="0"/>
          <c:cat>
            <c:strRef>
              <c:f>'Pivot Table'!$A$2:$A$11</c:f>
              <c:strCache>
                <c:ptCount val="9"/>
                <c:pt idx="0">
                  <c:v>A</c:v>
                </c:pt>
                <c:pt idx="1">
                  <c:v>A-</c:v>
                </c:pt>
                <c:pt idx="2">
                  <c:v>B</c:v>
                </c:pt>
                <c:pt idx="3">
                  <c:v>B-</c:v>
                </c:pt>
                <c:pt idx="4">
                  <c:v>B+</c:v>
                </c:pt>
                <c:pt idx="5">
                  <c:v>C</c:v>
                </c:pt>
                <c:pt idx="6">
                  <c:v>C+</c:v>
                </c:pt>
                <c:pt idx="7">
                  <c:v>D</c:v>
                </c:pt>
                <c:pt idx="8">
                  <c:v>F</c:v>
                </c:pt>
              </c:strCache>
            </c:strRef>
          </c:cat>
          <c:val>
            <c:numRef>
              <c:f>'Pivot Table'!$D$2:$D$11</c:f>
              <c:numCache>
                <c:formatCode>0.0</c:formatCode>
                <c:ptCount val="9"/>
                <c:pt idx="0">
                  <c:v>94.25</c:v>
                </c:pt>
                <c:pt idx="1">
                  <c:v>91</c:v>
                </c:pt>
                <c:pt idx="2">
                  <c:v>82.5</c:v>
                </c:pt>
                <c:pt idx="3">
                  <c:v>80</c:v>
                </c:pt>
                <c:pt idx="4">
                  <c:v>87</c:v>
                </c:pt>
                <c:pt idx="5">
                  <c:v>75.857142857142861</c:v>
                </c:pt>
                <c:pt idx="6">
                  <c:v>78.5</c:v>
                </c:pt>
                <c:pt idx="7">
                  <c:v>67.166666666666671</c:v>
                </c:pt>
                <c:pt idx="8">
                  <c:v>40.913043478260867</c:v>
                </c:pt>
              </c:numCache>
            </c:numRef>
          </c:val>
          <c:extLst>
            <c:ext xmlns:c16="http://schemas.microsoft.com/office/drawing/2014/chart" uri="{C3380CC4-5D6E-409C-BE32-E72D297353CC}">
              <c16:uniqueId val="{00000002-156E-4510-BE7A-D06C7EB38EAB}"/>
            </c:ext>
          </c:extLst>
        </c:ser>
        <c:ser>
          <c:idx val="3"/>
          <c:order val="3"/>
          <c:tx>
            <c:strRef>
              <c:f>'Pivot Table'!$E$1</c:f>
              <c:strCache>
                <c:ptCount val="1"/>
                <c:pt idx="0">
                  <c:v>Average of Final Exam</c:v>
                </c:pt>
              </c:strCache>
            </c:strRef>
          </c:tx>
          <c:spPr>
            <a:solidFill>
              <a:schemeClr val="accent4"/>
            </a:solidFill>
            <a:ln>
              <a:noFill/>
            </a:ln>
            <a:effectLst/>
          </c:spPr>
          <c:invertIfNegative val="0"/>
          <c:cat>
            <c:strRef>
              <c:f>'Pivot Table'!$A$2:$A$11</c:f>
              <c:strCache>
                <c:ptCount val="9"/>
                <c:pt idx="0">
                  <c:v>A</c:v>
                </c:pt>
                <c:pt idx="1">
                  <c:v>A-</c:v>
                </c:pt>
                <c:pt idx="2">
                  <c:v>B</c:v>
                </c:pt>
                <c:pt idx="3">
                  <c:v>B-</c:v>
                </c:pt>
                <c:pt idx="4">
                  <c:v>B+</c:v>
                </c:pt>
                <c:pt idx="5">
                  <c:v>C</c:v>
                </c:pt>
                <c:pt idx="6">
                  <c:v>C+</c:v>
                </c:pt>
                <c:pt idx="7">
                  <c:v>D</c:v>
                </c:pt>
                <c:pt idx="8">
                  <c:v>F</c:v>
                </c:pt>
              </c:strCache>
            </c:strRef>
          </c:cat>
          <c:val>
            <c:numRef>
              <c:f>'Pivot Table'!$E$2:$E$11</c:f>
              <c:numCache>
                <c:formatCode>0.0</c:formatCode>
                <c:ptCount val="9"/>
                <c:pt idx="0">
                  <c:v>97.25</c:v>
                </c:pt>
                <c:pt idx="1">
                  <c:v>92</c:v>
                </c:pt>
                <c:pt idx="2">
                  <c:v>92</c:v>
                </c:pt>
                <c:pt idx="3">
                  <c:v>88</c:v>
                </c:pt>
                <c:pt idx="4">
                  <c:v>91.25</c:v>
                </c:pt>
                <c:pt idx="5">
                  <c:v>78.714285714285708</c:v>
                </c:pt>
                <c:pt idx="6">
                  <c:v>81.5</c:v>
                </c:pt>
                <c:pt idx="7">
                  <c:v>68.666666666666671</c:v>
                </c:pt>
                <c:pt idx="8">
                  <c:v>46.260869565217391</c:v>
                </c:pt>
              </c:numCache>
            </c:numRef>
          </c:val>
          <c:extLst>
            <c:ext xmlns:c16="http://schemas.microsoft.com/office/drawing/2014/chart" uri="{C3380CC4-5D6E-409C-BE32-E72D297353CC}">
              <c16:uniqueId val="{00000003-156E-4510-BE7A-D06C7EB38EAB}"/>
            </c:ext>
          </c:extLst>
        </c:ser>
        <c:ser>
          <c:idx val="4"/>
          <c:order val="4"/>
          <c:tx>
            <c:strRef>
              <c:f>'Pivot Table'!$F$1</c:f>
              <c:strCache>
                <c:ptCount val="1"/>
                <c:pt idx="0">
                  <c:v>Average of Assignments</c:v>
                </c:pt>
              </c:strCache>
            </c:strRef>
          </c:tx>
          <c:spPr>
            <a:solidFill>
              <a:schemeClr val="accent5"/>
            </a:solidFill>
            <a:ln>
              <a:noFill/>
            </a:ln>
            <a:effectLst/>
          </c:spPr>
          <c:invertIfNegative val="0"/>
          <c:cat>
            <c:strRef>
              <c:f>'Pivot Table'!$A$2:$A$11</c:f>
              <c:strCache>
                <c:ptCount val="9"/>
                <c:pt idx="0">
                  <c:v>A</c:v>
                </c:pt>
                <c:pt idx="1">
                  <c:v>A-</c:v>
                </c:pt>
                <c:pt idx="2">
                  <c:v>B</c:v>
                </c:pt>
                <c:pt idx="3">
                  <c:v>B-</c:v>
                </c:pt>
                <c:pt idx="4">
                  <c:v>B+</c:v>
                </c:pt>
                <c:pt idx="5">
                  <c:v>C</c:v>
                </c:pt>
                <c:pt idx="6">
                  <c:v>C+</c:v>
                </c:pt>
                <c:pt idx="7">
                  <c:v>D</c:v>
                </c:pt>
                <c:pt idx="8">
                  <c:v>F</c:v>
                </c:pt>
              </c:strCache>
            </c:strRef>
          </c:cat>
          <c:val>
            <c:numRef>
              <c:f>'Pivot Table'!$F$2:$F$11</c:f>
              <c:numCache>
                <c:formatCode>0.0</c:formatCode>
                <c:ptCount val="9"/>
                <c:pt idx="0">
                  <c:v>95</c:v>
                </c:pt>
                <c:pt idx="1">
                  <c:v>92</c:v>
                </c:pt>
                <c:pt idx="2">
                  <c:v>84</c:v>
                </c:pt>
                <c:pt idx="3">
                  <c:v>80</c:v>
                </c:pt>
                <c:pt idx="4">
                  <c:v>87.75</c:v>
                </c:pt>
                <c:pt idx="5">
                  <c:v>74.857142857142861</c:v>
                </c:pt>
                <c:pt idx="6">
                  <c:v>78</c:v>
                </c:pt>
                <c:pt idx="7">
                  <c:v>66.333333333333329</c:v>
                </c:pt>
                <c:pt idx="8">
                  <c:v>42.956521739130437</c:v>
                </c:pt>
              </c:numCache>
            </c:numRef>
          </c:val>
          <c:extLst>
            <c:ext xmlns:c16="http://schemas.microsoft.com/office/drawing/2014/chart" uri="{C3380CC4-5D6E-409C-BE32-E72D297353CC}">
              <c16:uniqueId val="{00000004-156E-4510-BE7A-D06C7EB38EAB}"/>
            </c:ext>
          </c:extLst>
        </c:ser>
        <c:ser>
          <c:idx val="5"/>
          <c:order val="5"/>
          <c:tx>
            <c:strRef>
              <c:f>'Pivot Table'!$G$1</c:f>
              <c:strCache>
                <c:ptCount val="1"/>
                <c:pt idx="0">
                  <c:v>Average of Project</c:v>
                </c:pt>
              </c:strCache>
            </c:strRef>
          </c:tx>
          <c:spPr>
            <a:solidFill>
              <a:schemeClr val="accent6"/>
            </a:solidFill>
            <a:ln>
              <a:noFill/>
            </a:ln>
            <a:effectLst/>
          </c:spPr>
          <c:invertIfNegative val="0"/>
          <c:cat>
            <c:strRef>
              <c:f>'Pivot Table'!$A$2:$A$11</c:f>
              <c:strCache>
                <c:ptCount val="9"/>
                <c:pt idx="0">
                  <c:v>A</c:v>
                </c:pt>
                <c:pt idx="1">
                  <c:v>A-</c:v>
                </c:pt>
                <c:pt idx="2">
                  <c:v>B</c:v>
                </c:pt>
                <c:pt idx="3">
                  <c:v>B-</c:v>
                </c:pt>
                <c:pt idx="4">
                  <c:v>B+</c:v>
                </c:pt>
                <c:pt idx="5">
                  <c:v>C</c:v>
                </c:pt>
                <c:pt idx="6">
                  <c:v>C+</c:v>
                </c:pt>
                <c:pt idx="7">
                  <c:v>D</c:v>
                </c:pt>
                <c:pt idx="8">
                  <c:v>F</c:v>
                </c:pt>
              </c:strCache>
            </c:strRef>
          </c:cat>
          <c:val>
            <c:numRef>
              <c:f>'Pivot Table'!$G$2:$G$11</c:f>
              <c:numCache>
                <c:formatCode>0.0</c:formatCode>
                <c:ptCount val="9"/>
                <c:pt idx="0">
                  <c:v>95.375</c:v>
                </c:pt>
                <c:pt idx="1">
                  <c:v>92.5</c:v>
                </c:pt>
                <c:pt idx="2">
                  <c:v>84.375</c:v>
                </c:pt>
                <c:pt idx="3">
                  <c:v>80.5</c:v>
                </c:pt>
                <c:pt idx="4">
                  <c:v>88</c:v>
                </c:pt>
                <c:pt idx="5">
                  <c:v>75.178571428571431</c:v>
                </c:pt>
                <c:pt idx="6">
                  <c:v>78</c:v>
                </c:pt>
                <c:pt idx="7">
                  <c:v>66.583333333333329</c:v>
                </c:pt>
                <c:pt idx="8">
                  <c:v>43.206521739130437</c:v>
                </c:pt>
              </c:numCache>
            </c:numRef>
          </c:val>
          <c:extLst>
            <c:ext xmlns:c16="http://schemas.microsoft.com/office/drawing/2014/chart" uri="{C3380CC4-5D6E-409C-BE32-E72D297353CC}">
              <c16:uniqueId val="{00000005-156E-4510-BE7A-D06C7EB38EAB}"/>
            </c:ext>
          </c:extLst>
        </c:ser>
        <c:ser>
          <c:idx val="6"/>
          <c:order val="6"/>
          <c:tx>
            <c:strRef>
              <c:f>'Pivot Table'!$H$1</c:f>
              <c:strCache>
                <c:ptCount val="1"/>
                <c:pt idx="0">
                  <c:v>Average of Absent Days</c:v>
                </c:pt>
              </c:strCache>
            </c:strRef>
          </c:tx>
          <c:spPr>
            <a:solidFill>
              <a:schemeClr val="accent1">
                <a:lumMod val="60000"/>
              </a:schemeClr>
            </a:solidFill>
            <a:ln>
              <a:noFill/>
            </a:ln>
            <a:effectLst/>
          </c:spPr>
          <c:invertIfNegative val="0"/>
          <c:cat>
            <c:strRef>
              <c:f>'Pivot Table'!$A$2:$A$11</c:f>
              <c:strCache>
                <c:ptCount val="9"/>
                <c:pt idx="0">
                  <c:v>A</c:v>
                </c:pt>
                <c:pt idx="1">
                  <c:v>A-</c:v>
                </c:pt>
                <c:pt idx="2">
                  <c:v>B</c:v>
                </c:pt>
                <c:pt idx="3">
                  <c:v>B-</c:v>
                </c:pt>
                <c:pt idx="4">
                  <c:v>B+</c:v>
                </c:pt>
                <c:pt idx="5">
                  <c:v>C</c:v>
                </c:pt>
                <c:pt idx="6">
                  <c:v>C+</c:v>
                </c:pt>
                <c:pt idx="7">
                  <c:v>D</c:v>
                </c:pt>
                <c:pt idx="8">
                  <c:v>F</c:v>
                </c:pt>
              </c:strCache>
            </c:strRef>
          </c:cat>
          <c:val>
            <c:numRef>
              <c:f>'Pivot Table'!$H$2:$H$11</c:f>
              <c:numCache>
                <c:formatCode>0.0</c:formatCode>
                <c:ptCount val="9"/>
                <c:pt idx="0">
                  <c:v>3.25</c:v>
                </c:pt>
                <c:pt idx="1">
                  <c:v>8</c:v>
                </c:pt>
                <c:pt idx="2">
                  <c:v>1</c:v>
                </c:pt>
                <c:pt idx="3">
                  <c:v>9</c:v>
                </c:pt>
                <c:pt idx="4">
                  <c:v>4</c:v>
                </c:pt>
                <c:pt idx="5">
                  <c:v>5.7142857142857144</c:v>
                </c:pt>
                <c:pt idx="6">
                  <c:v>8.5</c:v>
                </c:pt>
                <c:pt idx="7">
                  <c:v>6.333333333333333</c:v>
                </c:pt>
                <c:pt idx="8">
                  <c:v>11.739130434782609</c:v>
                </c:pt>
              </c:numCache>
            </c:numRef>
          </c:val>
          <c:extLst>
            <c:ext xmlns:c16="http://schemas.microsoft.com/office/drawing/2014/chart" uri="{C3380CC4-5D6E-409C-BE32-E72D297353CC}">
              <c16:uniqueId val="{00000006-156E-4510-BE7A-D06C7EB38EAB}"/>
            </c:ext>
          </c:extLst>
        </c:ser>
        <c:dLbls>
          <c:showLegendKey val="0"/>
          <c:showVal val="0"/>
          <c:showCatName val="0"/>
          <c:showSerName val="0"/>
          <c:showPercent val="0"/>
          <c:showBubbleSize val="0"/>
        </c:dLbls>
        <c:gapWidth val="240"/>
        <c:overlap val="-30"/>
        <c:axId val="1179697784"/>
        <c:axId val="714592951"/>
      </c:barChart>
      <c:catAx>
        <c:axId val="1179697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Letter Grade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592951"/>
        <c:crosses val="autoZero"/>
        <c:auto val="1"/>
        <c:lblAlgn val="ctr"/>
        <c:lblOffset val="100"/>
        <c:noMultiLvlLbl val="0"/>
      </c:catAx>
      <c:valAx>
        <c:axId val="7145929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697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Academic Probation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2"/>
              <c:pt idx="0">
                <c:v>No</c:v>
              </c:pt>
              <c:pt idx="1">
                <c:v>Yes</c:v>
              </c:pt>
            </c:strLit>
          </c:cat>
          <c:val>
            <c:numLit>
              <c:formatCode>General</c:formatCode>
              <c:ptCount val="2"/>
              <c:pt idx="0">
                <c:v>29</c:v>
              </c:pt>
              <c:pt idx="1">
                <c:v>21</c:v>
              </c:pt>
            </c:numLit>
          </c:val>
          <c:extLst>
            <c:ext xmlns:c16="http://schemas.microsoft.com/office/drawing/2014/chart" uri="{C3380CC4-5D6E-409C-BE32-E72D297353CC}">
              <c16:uniqueId val="{00000000-49B8-4F5C-90D8-CA080E079C54}"/>
            </c:ext>
          </c:extLst>
        </c:ser>
        <c:dLbls>
          <c:showLegendKey val="0"/>
          <c:showVal val="0"/>
          <c:showCatName val="0"/>
          <c:showSerName val="0"/>
          <c:showPercent val="0"/>
          <c:showBubbleSize val="0"/>
        </c:dLbls>
        <c:gapWidth val="33"/>
        <c:axId val="388793703"/>
        <c:axId val="958288359"/>
      </c:barChart>
      <c:valAx>
        <c:axId val="9582883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Academic Probation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793703"/>
        <c:crosses val="max"/>
        <c:crossBetween val="between"/>
      </c:valAx>
      <c:catAx>
        <c:axId val="388793703"/>
        <c:scaling>
          <c:orientation val="maxMin"/>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Academic Probation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288359"/>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Honors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w="25400">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2"/>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w="25400">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doughnut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814-4215-BE50-048071A157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814-4215-BE50-048071A15758}"/>
              </c:ext>
            </c:extLst>
          </c:dPt>
          <c:dLbls>
            <c:spPr>
              <a:noFill/>
              <a:ln w="25400">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No</c:v>
              </c:pt>
              <c:pt idx="1">
                <c:v>Yes</c:v>
              </c:pt>
            </c:strLit>
          </c:cat>
          <c:val>
            <c:numLit>
              <c:formatCode>General</c:formatCode>
              <c:ptCount val="2"/>
              <c:pt idx="0">
                <c:v>44</c:v>
              </c:pt>
              <c:pt idx="1">
                <c:v>6</c:v>
              </c:pt>
            </c:numLit>
          </c:val>
          <c:extLst>
            <c:ext xmlns:c16="http://schemas.microsoft.com/office/drawing/2014/chart" uri="{C3380CC4-5D6E-409C-BE32-E72D297353CC}">
              <c16:uniqueId val="{00000004-E814-4215-BE50-048071A15758}"/>
            </c:ext>
          </c:extLst>
        </c:ser>
        <c:dLbls>
          <c:showLegendKey val="0"/>
          <c:showVal val="0"/>
          <c:showCatName val="0"/>
          <c:showSerName val="0"/>
          <c:showPercent val="0"/>
          <c:showBubbleSize val="0"/>
          <c:showLeaderLines val="1"/>
        </c:dLbls>
        <c:firstSliceAng val="0"/>
        <c:holeSize val="22"/>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Grades'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Top 10 Grades</c:v>
          </c:tx>
          <c:spPr>
            <a:ln w="25400" cap="rnd">
              <a:noFill/>
              <a:round/>
            </a:ln>
            <a:effectLst/>
          </c:spPr>
          <c:marker>
            <c:symbol val="circle"/>
            <c:size val="12"/>
            <c:spPr>
              <a:solidFill>
                <a:schemeClr val="accent1"/>
              </a:solidFill>
              <a:ln w="9525">
                <a:solidFill>
                  <a:srgbClr val="FFFFFF"/>
                </a:solidFill>
                <a:prstDash val="solid"/>
              </a:ln>
              <a:effectLst/>
            </c:spPr>
          </c:marker>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Black"/>
                    <a:ea typeface="Arial Black"/>
                    <a:cs typeface="Arial Black"/>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'Sorted Grades'!$O$4:$O$13</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'Sorted Grades'!$Q$4:$Q$13</c:f>
              <c:numCache>
                <c:formatCode>0.0</c:formatCode>
                <c:ptCount val="10"/>
                <c:pt idx="0">
                  <c:v>96.649999999999991</c:v>
                </c:pt>
                <c:pt idx="1">
                  <c:v>95.387500000000003</c:v>
                </c:pt>
                <c:pt idx="2">
                  <c:v>95.237500000000011</c:v>
                </c:pt>
                <c:pt idx="3">
                  <c:v>94.674999999999997</c:v>
                </c:pt>
                <c:pt idx="4">
                  <c:v>92.574999999999989</c:v>
                </c:pt>
                <c:pt idx="5">
                  <c:v>89.412500000000009</c:v>
                </c:pt>
                <c:pt idx="6">
                  <c:v>88.362500000000011</c:v>
                </c:pt>
                <c:pt idx="7">
                  <c:v>87.649999999999991</c:v>
                </c:pt>
                <c:pt idx="8">
                  <c:v>87.075000000000003</c:v>
                </c:pt>
                <c:pt idx="9">
                  <c:v>85.724999999999994</c:v>
                </c:pt>
              </c:numCache>
            </c:numRef>
          </c:yVal>
          <c:smooth val="0"/>
          <c:extLst>
            <c:ext xmlns:c16="http://schemas.microsoft.com/office/drawing/2014/chart" uri="{C3380CC4-5D6E-409C-BE32-E72D297353CC}">
              <c16:uniqueId val="{00000000-4E16-4A72-BD42-7A544269925A}"/>
            </c:ext>
          </c:extLst>
        </c:ser>
        <c:dLbls>
          <c:showLegendKey val="0"/>
          <c:showVal val="0"/>
          <c:showCatName val="0"/>
          <c:showSerName val="0"/>
          <c:showPercent val="0"/>
          <c:showBubbleSize val="0"/>
        </c:dLbls>
        <c:axId val="552972295"/>
        <c:axId val="474679080"/>
      </c:scatterChart>
      <c:valAx>
        <c:axId val="55297229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Field1</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79080"/>
        <c:crosses val="autoZero"/>
        <c:crossBetween val="midCat"/>
      </c:valAx>
      <c:valAx>
        <c:axId val="4746790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Top 10 Grades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972295"/>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[Group_Project_Final.xlsm]Charts!PivotTable2</c:name>
    <c:fmtId val="2"/>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5581678509698491"/>
              <c:y val="-7.9353657715862447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E4F3B5AE-3741-6447-95AF-D9A6C17CA133}" type="CATEGORYNAME">
                  <a:rPr lang="en-US" sz="1100"/>
                  <a:pPr>
                    <a:defRPr/>
                  </a:pPr>
                  <a:t>[CATEGORY NAME]</a:t>
                </a:fld>
                <a:r>
                  <a:rPr lang="en-US" sz="1100" baseline="0"/>
                  <a:t>
</a:t>
                </a:r>
                <a:fld id="{1CA1BFA3-F7FD-2E42-8939-FD71FB3188D8}" type="PERCENTAGE">
                  <a:rPr lang="en-US" sz="1100" baseline="0"/>
                  <a:pPr>
                    <a:defRPr/>
                  </a:pPr>
                  <a:t>[PERCENTAGE]</a:t>
                </a:fld>
                <a:endParaRPr lang="en-US" sz="1100"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
        <c:spPr>
          <a:solidFill>
            <a:srgbClr val="FF0000"/>
          </a:solidFill>
          <a:ln>
            <a:noFill/>
          </a:ln>
          <a:effectLst>
            <a:outerShdw blurRad="57150" dist="19050" dir="5400000" algn="ctr" rotWithShape="0">
              <a:srgbClr val="000000">
                <a:alpha val="63000"/>
              </a:srgbClr>
            </a:outerShdw>
          </a:effectLst>
        </c:spPr>
        <c:dLbl>
          <c:idx val="0"/>
          <c:layout>
            <c:manualLayout>
              <c:x val="0.13997637795275586"/>
              <c:y val="4.8338919173564782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FB0F3D29-5994-124E-973C-A9D54B2F4AB1}" type="CATEGORYNAME">
                  <a:rPr lang="en-US" sz="1100"/>
                  <a:pPr>
                    <a:defRPr/>
                  </a:pPr>
                  <a:t>[CATEGORY NAME]</a:t>
                </a:fld>
                <a:r>
                  <a:rPr lang="en-US" sz="1100" baseline="0"/>
                  <a:t>
</a:t>
                </a:r>
                <a:fld id="{FB457B16-F9D8-5449-ABB3-870B46ABF730}" type="PERCENTAGE">
                  <a:rPr lang="en-US" sz="1100" baseline="0"/>
                  <a:pPr>
                    <a:defRPr/>
                  </a:pPr>
                  <a:t>[PERCENTAGE]</a:t>
                </a:fld>
                <a:endParaRPr lang="en-US" sz="1100"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Charts!$B$3</c:f>
              <c:strCache>
                <c:ptCount val="1"/>
                <c:pt idx="0">
                  <c:v>Total</c:v>
                </c:pt>
              </c:strCache>
            </c:strRef>
          </c:tx>
          <c:explosion val="7"/>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CAEE-1146-8CE5-4E97BB152AC3}"/>
              </c:ext>
            </c:extLst>
          </c:dPt>
          <c:dPt>
            <c:idx val="1"/>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AEE-1146-8CE5-4E97BB152AC3}"/>
              </c:ext>
            </c:extLst>
          </c:dPt>
          <c:dLbls>
            <c:dLbl>
              <c:idx val="0"/>
              <c:layout>
                <c:manualLayout>
                  <c:x val="-0.15581678509698491"/>
                  <c:y val="-7.9353657715862447E-2"/>
                </c:manualLayout>
              </c:layout>
              <c:tx>
                <c:rich>
                  <a:bodyPr/>
                  <a:lstStyle/>
                  <a:p>
                    <a:fld id="{E4F3B5AE-3741-6447-95AF-D9A6C17CA133}" type="CATEGORYNAME">
                      <a:rPr lang="en-US" sz="1100"/>
                      <a:pPr/>
                      <a:t>[CATEGORY NAME]</a:t>
                    </a:fld>
                    <a:r>
                      <a:rPr lang="en-US" sz="1100" baseline="0"/>
                      <a:t>
</a:t>
                    </a:r>
                    <a:fld id="{1CA1BFA3-F7FD-2E42-8939-FD71FB3188D8}" type="PERCENTAGE">
                      <a:rPr lang="en-US" sz="1100" baseline="0"/>
                      <a:pPr/>
                      <a:t>[PERCENTAGE]</a:t>
                    </a:fld>
                    <a:endParaRPr lang="en-US" sz="1100"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CAEE-1146-8CE5-4E97BB152AC3}"/>
                </c:ext>
              </c:extLst>
            </c:dLbl>
            <c:dLbl>
              <c:idx val="1"/>
              <c:layout>
                <c:manualLayout>
                  <c:x val="0.13997637795275586"/>
                  <c:y val="4.8338919173564782E-2"/>
                </c:manualLayout>
              </c:layout>
              <c:tx>
                <c:rich>
                  <a:bodyPr/>
                  <a:lstStyle/>
                  <a:p>
                    <a:fld id="{FB0F3D29-5994-124E-973C-A9D54B2F4AB1}" type="CATEGORYNAME">
                      <a:rPr lang="en-US" sz="1100"/>
                      <a:pPr/>
                      <a:t>[CATEGORY NAME]</a:t>
                    </a:fld>
                    <a:r>
                      <a:rPr lang="en-US" sz="1100" baseline="0"/>
                      <a:t>
</a:t>
                    </a:r>
                    <a:fld id="{FB457B16-F9D8-5449-ABB3-870B46ABF730}" type="PERCENTAGE">
                      <a:rPr lang="en-US" sz="1100" baseline="0"/>
                      <a:pPr/>
                      <a:t>[PERCENTAGE]</a:t>
                    </a:fld>
                    <a:endParaRPr lang="en-US" sz="1100"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CAEE-1146-8CE5-4E97BB152AC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Charts!$A$4:$A$5</c:f>
              <c:strCache>
                <c:ptCount val="2"/>
                <c:pt idx="0">
                  <c:v>No</c:v>
                </c:pt>
                <c:pt idx="1">
                  <c:v>Yes</c:v>
                </c:pt>
              </c:strCache>
            </c:strRef>
          </c:cat>
          <c:val>
            <c:numRef>
              <c:f>Charts!$B$4:$B$5</c:f>
              <c:numCache>
                <c:formatCode>General</c:formatCode>
                <c:ptCount val="2"/>
                <c:pt idx="0">
                  <c:v>29</c:v>
                </c:pt>
                <c:pt idx="1">
                  <c:v>21</c:v>
                </c:pt>
              </c:numCache>
            </c:numRef>
          </c:val>
          <c:extLst>
            <c:ext xmlns:c16="http://schemas.microsoft.com/office/drawing/2014/chart" uri="{C3380CC4-5D6E-409C-BE32-E72D297353CC}">
              <c16:uniqueId val="{00000000-CAEE-1146-8CE5-4E97BB152AC3}"/>
            </c:ext>
          </c:extLst>
        </c:ser>
        <c:dLbls>
          <c:dLblPos val="inEnd"/>
          <c:showLegendKey val="0"/>
          <c:showVal val="0"/>
          <c:showCatName val="1"/>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[Group_Project_Final.xlsm]Charts!PivotTable4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dLbl>
          <c:idx val="0"/>
          <c:tx>
            <c:rich>
              <a:bodyPr rot="0" spcFirstLastPara="1" vertOverflow="ellipsis" vert="horz" wrap="square" lIns="38100" tIns="19050" rIns="38100" bIns="19050" anchor="ctr" anchorCtr="1">
                <a:spAutoFit/>
              </a:bodyPr>
              <a:lstStyle/>
              <a:p>
                <a:pPr>
                  <a:defRPr sz="1400" b="0" i="0" u="none" strike="noStrike" kern="1200" baseline="0">
                    <a:solidFill>
                      <a:srgbClr val="FF0000"/>
                    </a:solidFill>
                    <a:latin typeface="+mn-lt"/>
                    <a:ea typeface="+mn-ea"/>
                    <a:cs typeface="+mn-cs"/>
                  </a:defRPr>
                </a:pPr>
                <a:fld id="{004E6011-9F3F-084E-8A4E-27F31B5774EC}" type="VALUE">
                  <a:rPr lang="en-US" sz="1400">
                    <a:solidFill>
                      <a:schemeClr val="bg1"/>
                    </a:solidFill>
                  </a:rPr>
                  <a:pPr>
                    <a:defRPr sz="1400">
                      <a:solidFill>
                        <a:srgbClr val="FF0000"/>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view3D>
      <c:rotX val="15"/>
      <c:rotY val="20"/>
      <c:depthPercent val="100"/>
      <c:rAngAx val="1"/>
    </c:view3D>
    <c:floor>
      <c:thickness val="0"/>
      <c:spPr>
        <a:noFill/>
        <a:ln>
          <a:noFill/>
        </a:ln>
        <a:effectLst/>
        <a:sp3d/>
      </c:spPr>
    </c:floor>
    <c:sideWall>
      <c:thickness val="0"/>
      <c:spPr>
        <a:solidFill>
          <a:schemeClr val="bg1">
            <a:lumMod val="75000"/>
          </a:schemeClr>
        </a:solidFill>
        <a:ln w="15875">
          <a:solidFill>
            <a:schemeClr val="tx1"/>
          </a:solidFill>
        </a:ln>
        <a:effectLst/>
        <a:sp3d contourW="15875">
          <a:contourClr>
            <a:schemeClr val="tx1"/>
          </a:contourClr>
        </a:sp3d>
      </c:spPr>
    </c:sideWall>
    <c:backWall>
      <c:thickness val="0"/>
      <c:spPr>
        <a:solidFill>
          <a:schemeClr val="bg1">
            <a:lumMod val="75000"/>
          </a:schemeClr>
        </a:solidFill>
        <a:ln w="15875">
          <a:solidFill>
            <a:schemeClr val="tx1"/>
          </a:solidFill>
        </a:ln>
        <a:effectLst/>
        <a:sp3d contourW="15875">
          <a:contourClr>
            <a:schemeClr val="tx1"/>
          </a:contourClr>
        </a:sp3d>
      </c:spPr>
    </c:backWall>
    <c:plotArea>
      <c:layout/>
      <c:bar3DChart>
        <c:barDir val="col"/>
        <c:grouping val="clustered"/>
        <c:varyColors val="0"/>
        <c:ser>
          <c:idx val="0"/>
          <c:order val="0"/>
          <c:tx>
            <c:strRef>
              <c:f>Charts!$N$3</c:f>
              <c:strCache>
                <c:ptCount val="1"/>
                <c:pt idx="0">
                  <c:v>Total</c:v>
                </c:pt>
              </c:strCache>
            </c:strRef>
          </c:tx>
          <c:spPr>
            <a:solidFill>
              <a:schemeClr val="accent1"/>
            </a:solidFill>
            <a:ln>
              <a:noFill/>
            </a:ln>
            <a:effectLst/>
            <a:sp3d/>
          </c:spPr>
          <c:invertIfNegative val="0"/>
          <c:dPt>
            <c:idx val="0"/>
            <c:invertIfNegative val="0"/>
            <c:bubble3D val="0"/>
            <c:spPr>
              <a:solidFill>
                <a:schemeClr val="accent1"/>
              </a:solidFill>
              <a:ln>
                <a:noFill/>
              </a:ln>
              <a:effectLst/>
              <a:sp3d/>
            </c:spPr>
            <c:extLst>
              <c:ext xmlns:c16="http://schemas.microsoft.com/office/drawing/2014/chart" uri="{C3380CC4-5D6E-409C-BE32-E72D297353CC}">
                <c16:uniqueId val="{00000002-DB93-1142-A2E0-DDED1E043E05}"/>
              </c:ext>
            </c:extLst>
          </c:dPt>
          <c:dLbls>
            <c:dLbl>
              <c:idx val="0"/>
              <c:tx>
                <c:rich>
                  <a:bodyPr rot="0" spcFirstLastPara="1" vertOverflow="ellipsis" vert="horz" wrap="square" lIns="38100" tIns="19050" rIns="38100" bIns="19050" anchor="ctr" anchorCtr="1">
                    <a:spAutoFit/>
                  </a:bodyPr>
                  <a:lstStyle/>
                  <a:p>
                    <a:pPr>
                      <a:defRPr sz="1400" b="0" i="0" u="none" strike="noStrike" kern="1200" baseline="0">
                        <a:solidFill>
                          <a:srgbClr val="FF0000"/>
                        </a:solidFill>
                        <a:latin typeface="+mn-lt"/>
                        <a:ea typeface="+mn-ea"/>
                        <a:cs typeface="+mn-cs"/>
                      </a:defRPr>
                    </a:pPr>
                    <a:fld id="{004E6011-9F3F-084E-8A4E-27F31B5774EC}" type="VALUE">
                      <a:rPr lang="en-US" sz="1400">
                        <a:solidFill>
                          <a:schemeClr val="bg1"/>
                        </a:solidFill>
                      </a:rPr>
                      <a:pPr>
                        <a:defRPr sz="1400">
                          <a:solidFill>
                            <a:srgbClr val="FF0000"/>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DB93-1142-A2E0-DDED1E043E0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Charts!$M$4</c:f>
              <c:strCache>
                <c:ptCount val="1"/>
                <c:pt idx="0">
                  <c:v>Yes</c:v>
                </c:pt>
              </c:strCache>
            </c:strRef>
          </c:cat>
          <c:val>
            <c:numRef>
              <c:f>Charts!$N$4</c:f>
              <c:numCache>
                <c:formatCode>General</c:formatCode>
                <c:ptCount val="1"/>
                <c:pt idx="0">
                  <c:v>6</c:v>
                </c:pt>
              </c:numCache>
            </c:numRef>
          </c:val>
          <c:extLst>
            <c:ext xmlns:c16="http://schemas.microsoft.com/office/drawing/2014/chart" uri="{C3380CC4-5D6E-409C-BE32-E72D297353CC}">
              <c16:uniqueId val="{00000000-DB93-1142-A2E0-DDED1E043E05}"/>
            </c:ext>
          </c:extLst>
        </c:ser>
        <c:dLbls>
          <c:showLegendKey val="0"/>
          <c:showVal val="1"/>
          <c:showCatName val="0"/>
          <c:showSerName val="0"/>
          <c:showPercent val="0"/>
          <c:showBubbleSize val="0"/>
        </c:dLbls>
        <c:gapWidth val="209"/>
        <c:gapDepth val="158"/>
        <c:shape val="box"/>
        <c:axId val="646821600"/>
        <c:axId val="646823248"/>
        <c:axId val="0"/>
      </c:bar3DChart>
      <c:catAx>
        <c:axId val="6468216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6823248"/>
        <c:crosses val="autoZero"/>
        <c:auto val="1"/>
        <c:lblAlgn val="ctr"/>
        <c:lblOffset val="100"/>
        <c:noMultiLvlLbl val="0"/>
      </c:catAx>
      <c:valAx>
        <c:axId val="646823248"/>
        <c:scaling>
          <c:orientation val="minMax"/>
        </c:scaling>
        <c:delete val="0"/>
        <c:axPos val="l"/>
        <c:majorGridlines>
          <c:spPr>
            <a:ln w="9525" cap="flat" cmpd="sng" algn="ctr">
              <a:solidFill>
                <a:schemeClr val="tx1"/>
              </a:solidFill>
              <a:round/>
              <a:extLst>
                <a:ext uri="{C807C97D-BFC1-408E-A445-0C87EB9F89A2}">
                  <ask:lineSketchStyleProps xmlns:ask="http://schemas.microsoft.com/office/drawing/2018/sketchyshapes">
                    <ask:type>
                      <ask:lineSketchNone/>
                    </ask:type>
                  </ask:lineSketchStyleProps>
                </a:ext>
              </a:extLst>
            </a:ln>
            <a:effectLst/>
          </c:spPr>
        </c:majorGridlines>
        <c:numFmt formatCode="General"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6821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Score Graph</a:t>
            </a:r>
          </a:p>
          <a:p>
            <a:pPr>
              <a:defRPr/>
            </a:pP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Charts!$U$1:$Z$1</c:f>
              <c:strCache>
                <c:ptCount val="6"/>
                <c:pt idx="0">
                  <c:v>Exam 1</c:v>
                </c:pt>
                <c:pt idx="1">
                  <c:v>Exam 2</c:v>
                </c:pt>
                <c:pt idx="2">
                  <c:v>Final Exam</c:v>
                </c:pt>
                <c:pt idx="3">
                  <c:v>Assignments</c:v>
                </c:pt>
                <c:pt idx="4">
                  <c:v>Project</c:v>
                </c:pt>
                <c:pt idx="5">
                  <c:v>Final Grade</c:v>
                </c:pt>
              </c:strCache>
            </c:strRef>
          </c:cat>
          <c:val>
            <c:numRef>
              <c:f>Charts!$U$2:$Z$2</c:f>
              <c:numCache>
                <c:formatCode>General</c:formatCode>
                <c:ptCount val="6"/>
                <c:pt idx="0">
                  <c:v>70</c:v>
                </c:pt>
                <c:pt idx="1">
                  <c:v>78</c:v>
                </c:pt>
                <c:pt idx="2">
                  <c:v>82</c:v>
                </c:pt>
                <c:pt idx="3">
                  <c:v>76</c:v>
                </c:pt>
                <c:pt idx="4">
                  <c:v>76.5</c:v>
                </c:pt>
                <c:pt idx="5">
                  <c:v>76.724999999999994</c:v>
                </c:pt>
              </c:numCache>
            </c:numRef>
          </c:val>
          <c:extLst>
            <c:ext xmlns:c16="http://schemas.microsoft.com/office/drawing/2014/chart" uri="{C3380CC4-5D6E-409C-BE32-E72D297353CC}">
              <c16:uniqueId val="{00000000-9A2A-7F43-8E0B-72DDCAA6D8D5}"/>
            </c:ext>
          </c:extLst>
        </c:ser>
        <c:dLbls>
          <c:dLblPos val="inEnd"/>
          <c:showLegendKey val="0"/>
          <c:showVal val="1"/>
          <c:showCatName val="0"/>
          <c:showSerName val="0"/>
          <c:showPercent val="0"/>
          <c:showBubbleSize val="0"/>
        </c:dLbls>
        <c:gapWidth val="100"/>
        <c:overlap val="-24"/>
        <c:axId val="997650415"/>
        <c:axId val="997652063"/>
      </c:barChart>
      <c:catAx>
        <c:axId val="99765041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97652063"/>
        <c:crosses val="autoZero"/>
        <c:auto val="1"/>
        <c:lblAlgn val="ctr"/>
        <c:lblOffset val="100"/>
        <c:noMultiLvlLbl val="0"/>
      </c:catAx>
      <c:valAx>
        <c:axId val="99765206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9765041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Field4</c:v>
          </c:tx>
          <c:spPr>
            <a:ln w="25400">
              <a:noFill/>
            </a:ln>
          </c:spPr>
          <c:dPt>
            <c:idx val="0"/>
            <c:bubble3D val="0"/>
            <c:spPr>
              <a:solidFill>
                <a:schemeClr val="accent1"/>
              </a:solidFill>
              <a:ln w="25400">
                <a:noFill/>
              </a:ln>
              <a:effectLst/>
            </c:spPr>
            <c:extLst>
              <c:ext xmlns:c16="http://schemas.microsoft.com/office/drawing/2014/chart" uri="{C3380CC4-5D6E-409C-BE32-E72D297353CC}">
                <c16:uniqueId val="{00000001-EB65-4BE5-A7C4-E7D20E01150F}"/>
              </c:ext>
            </c:extLst>
          </c:dPt>
          <c:dPt>
            <c:idx val="1"/>
            <c:bubble3D val="0"/>
            <c:spPr>
              <a:solidFill>
                <a:schemeClr val="accent2"/>
              </a:solidFill>
              <a:ln w="25400">
                <a:noFill/>
              </a:ln>
              <a:effectLst/>
            </c:spPr>
            <c:extLst>
              <c:ext xmlns:c16="http://schemas.microsoft.com/office/drawing/2014/chart" uri="{C3380CC4-5D6E-409C-BE32-E72D297353CC}">
                <c16:uniqueId val="{00000003-EB65-4BE5-A7C4-E7D20E01150F}"/>
              </c:ext>
            </c:extLst>
          </c:dPt>
          <c:dPt>
            <c:idx val="2"/>
            <c:bubble3D val="0"/>
            <c:spPr>
              <a:solidFill>
                <a:schemeClr val="accent3"/>
              </a:solidFill>
              <a:ln w="25400">
                <a:noFill/>
              </a:ln>
              <a:effectLst/>
            </c:spPr>
            <c:extLst>
              <c:ext xmlns:c16="http://schemas.microsoft.com/office/drawing/2014/chart" uri="{C3380CC4-5D6E-409C-BE32-E72D297353CC}">
                <c16:uniqueId val="{00000005-EB65-4BE5-A7C4-E7D20E01150F}"/>
              </c:ext>
            </c:extLst>
          </c:dPt>
          <c:dPt>
            <c:idx val="3"/>
            <c:bubble3D val="0"/>
            <c:spPr>
              <a:solidFill>
                <a:schemeClr val="accent4"/>
              </a:solidFill>
              <a:ln w="25400">
                <a:noFill/>
              </a:ln>
              <a:effectLst/>
            </c:spPr>
            <c:extLst>
              <c:ext xmlns:c16="http://schemas.microsoft.com/office/drawing/2014/chart" uri="{C3380CC4-5D6E-409C-BE32-E72D297353CC}">
                <c16:uniqueId val="{00000007-EB65-4BE5-A7C4-E7D20E01150F}"/>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Times New Roman"/>
                    <a:ea typeface="Times New Roman"/>
                    <a:cs typeface="Times New Roman"/>
                  </a:defRPr>
                </a:pPr>
                <a:endParaRPr lang="en-US"/>
              </a:p>
            </c:txPr>
            <c:dLblPos val="outEnd"/>
            <c:showLegendKey val="1"/>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Behavior!$H$7:$H$10</c:f>
              <c:strCache>
                <c:ptCount val="4"/>
                <c:pt idx="0">
                  <c:v>Number of Advanced Behavior Scores</c:v>
                </c:pt>
                <c:pt idx="1">
                  <c:v>Number of Proficient Behavior Scores</c:v>
                </c:pt>
                <c:pt idx="2">
                  <c:v>Number of Basic Behavior Scores</c:v>
                </c:pt>
                <c:pt idx="3">
                  <c:v>Number of Unsatisfactory Behavior Scores</c:v>
                </c:pt>
              </c:strCache>
            </c:strRef>
          </c:cat>
          <c:val>
            <c:numRef>
              <c:f>Behavior!$K$7:$K$10</c:f>
              <c:numCache>
                <c:formatCode>General</c:formatCode>
                <c:ptCount val="4"/>
                <c:pt idx="0">
                  <c:v>10</c:v>
                </c:pt>
                <c:pt idx="1">
                  <c:v>9</c:v>
                </c:pt>
                <c:pt idx="2">
                  <c:v>15</c:v>
                </c:pt>
                <c:pt idx="3">
                  <c:v>16</c:v>
                </c:pt>
              </c:numCache>
            </c:numRef>
          </c:val>
          <c:extLst>
            <c:ext xmlns:c16="http://schemas.microsoft.com/office/drawing/2014/chart" uri="{C3380CC4-5D6E-409C-BE32-E72D297353CC}">
              <c16:uniqueId val="{00000007-9A78-4353-9F00-40E718A773D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[Group_Project_Final.xlsm]Pivot Table!PivotTable3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c:f>
              <c:strCache>
                <c:ptCount val="1"/>
                <c:pt idx="0">
                  <c:v>Count of StudentID</c:v>
                </c:pt>
              </c:strCache>
            </c:strRef>
          </c:tx>
          <c:spPr>
            <a:solidFill>
              <a:schemeClr val="accent1"/>
            </a:solidFill>
            <a:ln>
              <a:noFill/>
            </a:ln>
            <a:effectLst/>
          </c:spPr>
          <c:invertIfNegative val="0"/>
          <c:cat>
            <c:strRef>
              <c:f>'Pivot Table'!$A$2:$A$11</c:f>
              <c:strCache>
                <c:ptCount val="9"/>
                <c:pt idx="0">
                  <c:v>A</c:v>
                </c:pt>
                <c:pt idx="1">
                  <c:v>A-</c:v>
                </c:pt>
                <c:pt idx="2">
                  <c:v>B</c:v>
                </c:pt>
                <c:pt idx="3">
                  <c:v>B-</c:v>
                </c:pt>
                <c:pt idx="4">
                  <c:v>B+</c:v>
                </c:pt>
                <c:pt idx="5">
                  <c:v>C</c:v>
                </c:pt>
                <c:pt idx="6">
                  <c:v>C+</c:v>
                </c:pt>
                <c:pt idx="7">
                  <c:v>D</c:v>
                </c:pt>
                <c:pt idx="8">
                  <c:v>F</c:v>
                </c:pt>
              </c:strCache>
            </c:strRef>
          </c:cat>
          <c:val>
            <c:numRef>
              <c:f>'Pivot Table'!$B$2:$B$11</c:f>
              <c:numCache>
                <c:formatCode>0</c:formatCode>
                <c:ptCount val="9"/>
                <c:pt idx="0">
                  <c:v>4</c:v>
                </c:pt>
                <c:pt idx="1">
                  <c:v>1</c:v>
                </c:pt>
                <c:pt idx="2">
                  <c:v>2</c:v>
                </c:pt>
                <c:pt idx="3">
                  <c:v>1</c:v>
                </c:pt>
                <c:pt idx="4">
                  <c:v>4</c:v>
                </c:pt>
                <c:pt idx="5">
                  <c:v>7</c:v>
                </c:pt>
                <c:pt idx="6">
                  <c:v>2</c:v>
                </c:pt>
                <c:pt idx="7">
                  <c:v>6</c:v>
                </c:pt>
                <c:pt idx="8">
                  <c:v>23</c:v>
                </c:pt>
              </c:numCache>
            </c:numRef>
          </c:val>
          <c:extLst>
            <c:ext xmlns:c16="http://schemas.microsoft.com/office/drawing/2014/chart" uri="{C3380CC4-5D6E-409C-BE32-E72D297353CC}">
              <c16:uniqueId val="{00000005-5776-4BDF-A545-1153DE04B42A}"/>
            </c:ext>
          </c:extLst>
        </c:ser>
        <c:ser>
          <c:idx val="1"/>
          <c:order val="1"/>
          <c:tx>
            <c:strRef>
              <c:f>'Pivot Table'!$C$1</c:f>
              <c:strCache>
                <c:ptCount val="1"/>
                <c:pt idx="0">
                  <c:v>Average of Exam 1</c:v>
                </c:pt>
              </c:strCache>
            </c:strRef>
          </c:tx>
          <c:spPr>
            <a:solidFill>
              <a:schemeClr val="accent2"/>
            </a:solidFill>
            <a:ln>
              <a:noFill/>
            </a:ln>
            <a:effectLst/>
          </c:spPr>
          <c:invertIfNegative val="0"/>
          <c:cat>
            <c:strRef>
              <c:f>'Pivot Table'!$A$2:$A$11</c:f>
              <c:strCache>
                <c:ptCount val="9"/>
                <c:pt idx="0">
                  <c:v>A</c:v>
                </c:pt>
                <c:pt idx="1">
                  <c:v>A-</c:v>
                </c:pt>
                <c:pt idx="2">
                  <c:v>B</c:v>
                </c:pt>
                <c:pt idx="3">
                  <c:v>B-</c:v>
                </c:pt>
                <c:pt idx="4">
                  <c:v>B+</c:v>
                </c:pt>
                <c:pt idx="5">
                  <c:v>C</c:v>
                </c:pt>
                <c:pt idx="6">
                  <c:v>C+</c:v>
                </c:pt>
                <c:pt idx="7">
                  <c:v>D</c:v>
                </c:pt>
                <c:pt idx="8">
                  <c:v>F</c:v>
                </c:pt>
              </c:strCache>
            </c:strRef>
          </c:cat>
          <c:val>
            <c:numRef>
              <c:f>'Pivot Table'!$C$2:$C$11</c:f>
              <c:numCache>
                <c:formatCode>0.0</c:formatCode>
                <c:ptCount val="9"/>
                <c:pt idx="0">
                  <c:v>95</c:v>
                </c:pt>
                <c:pt idx="1">
                  <c:v>95</c:v>
                </c:pt>
                <c:pt idx="2">
                  <c:v>79</c:v>
                </c:pt>
                <c:pt idx="3">
                  <c:v>74</c:v>
                </c:pt>
                <c:pt idx="4">
                  <c:v>86</c:v>
                </c:pt>
                <c:pt idx="5">
                  <c:v>71.285714285714292</c:v>
                </c:pt>
                <c:pt idx="6">
                  <c:v>74</c:v>
                </c:pt>
                <c:pt idx="7">
                  <c:v>64.166666666666671</c:v>
                </c:pt>
                <c:pt idx="8">
                  <c:v>42.695652173913047</c:v>
                </c:pt>
              </c:numCache>
            </c:numRef>
          </c:val>
          <c:extLst>
            <c:ext xmlns:c16="http://schemas.microsoft.com/office/drawing/2014/chart" uri="{C3380CC4-5D6E-409C-BE32-E72D297353CC}">
              <c16:uniqueId val="{00000007-5776-4BDF-A545-1153DE04B42A}"/>
            </c:ext>
          </c:extLst>
        </c:ser>
        <c:ser>
          <c:idx val="2"/>
          <c:order val="2"/>
          <c:tx>
            <c:strRef>
              <c:f>'Pivot Table'!$D$1</c:f>
              <c:strCache>
                <c:ptCount val="1"/>
                <c:pt idx="0">
                  <c:v>Average of Exam 2</c:v>
                </c:pt>
              </c:strCache>
            </c:strRef>
          </c:tx>
          <c:spPr>
            <a:solidFill>
              <a:schemeClr val="accent3"/>
            </a:solidFill>
            <a:ln>
              <a:noFill/>
            </a:ln>
            <a:effectLst/>
          </c:spPr>
          <c:invertIfNegative val="0"/>
          <c:cat>
            <c:strRef>
              <c:f>'Pivot Table'!$A$2:$A$11</c:f>
              <c:strCache>
                <c:ptCount val="9"/>
                <c:pt idx="0">
                  <c:v>A</c:v>
                </c:pt>
                <c:pt idx="1">
                  <c:v>A-</c:v>
                </c:pt>
                <c:pt idx="2">
                  <c:v>B</c:v>
                </c:pt>
                <c:pt idx="3">
                  <c:v>B-</c:v>
                </c:pt>
                <c:pt idx="4">
                  <c:v>B+</c:v>
                </c:pt>
                <c:pt idx="5">
                  <c:v>C</c:v>
                </c:pt>
                <c:pt idx="6">
                  <c:v>C+</c:v>
                </c:pt>
                <c:pt idx="7">
                  <c:v>D</c:v>
                </c:pt>
                <c:pt idx="8">
                  <c:v>F</c:v>
                </c:pt>
              </c:strCache>
            </c:strRef>
          </c:cat>
          <c:val>
            <c:numRef>
              <c:f>'Pivot Table'!$D$2:$D$11</c:f>
              <c:numCache>
                <c:formatCode>0.0</c:formatCode>
                <c:ptCount val="9"/>
                <c:pt idx="0">
                  <c:v>94.25</c:v>
                </c:pt>
                <c:pt idx="1">
                  <c:v>91</c:v>
                </c:pt>
                <c:pt idx="2">
                  <c:v>82.5</c:v>
                </c:pt>
                <c:pt idx="3">
                  <c:v>80</c:v>
                </c:pt>
                <c:pt idx="4">
                  <c:v>87</c:v>
                </c:pt>
                <c:pt idx="5">
                  <c:v>75.857142857142861</c:v>
                </c:pt>
                <c:pt idx="6">
                  <c:v>78.5</c:v>
                </c:pt>
                <c:pt idx="7">
                  <c:v>67.166666666666671</c:v>
                </c:pt>
                <c:pt idx="8">
                  <c:v>40.913043478260867</c:v>
                </c:pt>
              </c:numCache>
            </c:numRef>
          </c:val>
          <c:extLst>
            <c:ext xmlns:c16="http://schemas.microsoft.com/office/drawing/2014/chart" uri="{C3380CC4-5D6E-409C-BE32-E72D297353CC}">
              <c16:uniqueId val="{00000009-5776-4BDF-A545-1153DE04B42A}"/>
            </c:ext>
          </c:extLst>
        </c:ser>
        <c:ser>
          <c:idx val="3"/>
          <c:order val="3"/>
          <c:tx>
            <c:strRef>
              <c:f>'Pivot Table'!$E$1</c:f>
              <c:strCache>
                <c:ptCount val="1"/>
                <c:pt idx="0">
                  <c:v>Average of Final Exam</c:v>
                </c:pt>
              </c:strCache>
            </c:strRef>
          </c:tx>
          <c:spPr>
            <a:solidFill>
              <a:schemeClr val="accent4"/>
            </a:solidFill>
            <a:ln>
              <a:noFill/>
            </a:ln>
            <a:effectLst/>
          </c:spPr>
          <c:invertIfNegative val="0"/>
          <c:cat>
            <c:strRef>
              <c:f>'Pivot Table'!$A$2:$A$11</c:f>
              <c:strCache>
                <c:ptCount val="9"/>
                <c:pt idx="0">
                  <c:v>A</c:v>
                </c:pt>
                <c:pt idx="1">
                  <c:v>A-</c:v>
                </c:pt>
                <c:pt idx="2">
                  <c:v>B</c:v>
                </c:pt>
                <c:pt idx="3">
                  <c:v>B-</c:v>
                </c:pt>
                <c:pt idx="4">
                  <c:v>B+</c:v>
                </c:pt>
                <c:pt idx="5">
                  <c:v>C</c:v>
                </c:pt>
                <c:pt idx="6">
                  <c:v>C+</c:v>
                </c:pt>
                <c:pt idx="7">
                  <c:v>D</c:v>
                </c:pt>
                <c:pt idx="8">
                  <c:v>F</c:v>
                </c:pt>
              </c:strCache>
            </c:strRef>
          </c:cat>
          <c:val>
            <c:numRef>
              <c:f>'Pivot Table'!$E$2:$E$11</c:f>
              <c:numCache>
                <c:formatCode>0.0</c:formatCode>
                <c:ptCount val="9"/>
                <c:pt idx="0">
                  <c:v>97.25</c:v>
                </c:pt>
                <c:pt idx="1">
                  <c:v>92</c:v>
                </c:pt>
                <c:pt idx="2">
                  <c:v>92</c:v>
                </c:pt>
                <c:pt idx="3">
                  <c:v>88</c:v>
                </c:pt>
                <c:pt idx="4">
                  <c:v>91.25</c:v>
                </c:pt>
                <c:pt idx="5">
                  <c:v>78.714285714285708</c:v>
                </c:pt>
                <c:pt idx="6">
                  <c:v>81.5</c:v>
                </c:pt>
                <c:pt idx="7">
                  <c:v>68.666666666666671</c:v>
                </c:pt>
                <c:pt idx="8">
                  <c:v>46.260869565217391</c:v>
                </c:pt>
              </c:numCache>
            </c:numRef>
          </c:val>
          <c:extLst>
            <c:ext xmlns:c16="http://schemas.microsoft.com/office/drawing/2014/chart" uri="{C3380CC4-5D6E-409C-BE32-E72D297353CC}">
              <c16:uniqueId val="{0000000B-5776-4BDF-A545-1153DE04B42A}"/>
            </c:ext>
          </c:extLst>
        </c:ser>
        <c:ser>
          <c:idx val="4"/>
          <c:order val="4"/>
          <c:tx>
            <c:strRef>
              <c:f>'Pivot Table'!$F$1</c:f>
              <c:strCache>
                <c:ptCount val="1"/>
                <c:pt idx="0">
                  <c:v>Average of Assignments</c:v>
                </c:pt>
              </c:strCache>
            </c:strRef>
          </c:tx>
          <c:spPr>
            <a:solidFill>
              <a:schemeClr val="accent5"/>
            </a:solidFill>
            <a:ln>
              <a:noFill/>
            </a:ln>
            <a:effectLst/>
          </c:spPr>
          <c:invertIfNegative val="0"/>
          <c:cat>
            <c:strRef>
              <c:f>'Pivot Table'!$A$2:$A$11</c:f>
              <c:strCache>
                <c:ptCount val="9"/>
                <c:pt idx="0">
                  <c:v>A</c:v>
                </c:pt>
                <c:pt idx="1">
                  <c:v>A-</c:v>
                </c:pt>
                <c:pt idx="2">
                  <c:v>B</c:v>
                </c:pt>
                <c:pt idx="3">
                  <c:v>B-</c:v>
                </c:pt>
                <c:pt idx="4">
                  <c:v>B+</c:v>
                </c:pt>
                <c:pt idx="5">
                  <c:v>C</c:v>
                </c:pt>
                <c:pt idx="6">
                  <c:v>C+</c:v>
                </c:pt>
                <c:pt idx="7">
                  <c:v>D</c:v>
                </c:pt>
                <c:pt idx="8">
                  <c:v>F</c:v>
                </c:pt>
              </c:strCache>
            </c:strRef>
          </c:cat>
          <c:val>
            <c:numRef>
              <c:f>'Pivot Table'!$F$2:$F$11</c:f>
              <c:numCache>
                <c:formatCode>0.0</c:formatCode>
                <c:ptCount val="9"/>
                <c:pt idx="0">
                  <c:v>95</c:v>
                </c:pt>
                <c:pt idx="1">
                  <c:v>92</c:v>
                </c:pt>
                <c:pt idx="2">
                  <c:v>84</c:v>
                </c:pt>
                <c:pt idx="3">
                  <c:v>80</c:v>
                </c:pt>
                <c:pt idx="4">
                  <c:v>87.75</c:v>
                </c:pt>
                <c:pt idx="5">
                  <c:v>74.857142857142861</c:v>
                </c:pt>
                <c:pt idx="6">
                  <c:v>78</c:v>
                </c:pt>
                <c:pt idx="7">
                  <c:v>66.333333333333329</c:v>
                </c:pt>
                <c:pt idx="8">
                  <c:v>42.956521739130437</c:v>
                </c:pt>
              </c:numCache>
            </c:numRef>
          </c:val>
          <c:extLst>
            <c:ext xmlns:c16="http://schemas.microsoft.com/office/drawing/2014/chart" uri="{C3380CC4-5D6E-409C-BE32-E72D297353CC}">
              <c16:uniqueId val="{0000000D-5776-4BDF-A545-1153DE04B42A}"/>
            </c:ext>
          </c:extLst>
        </c:ser>
        <c:ser>
          <c:idx val="5"/>
          <c:order val="5"/>
          <c:tx>
            <c:strRef>
              <c:f>'Pivot Table'!$G$1</c:f>
              <c:strCache>
                <c:ptCount val="1"/>
                <c:pt idx="0">
                  <c:v>Average of Project</c:v>
                </c:pt>
              </c:strCache>
            </c:strRef>
          </c:tx>
          <c:spPr>
            <a:solidFill>
              <a:schemeClr val="accent6"/>
            </a:solidFill>
            <a:ln>
              <a:noFill/>
            </a:ln>
            <a:effectLst/>
          </c:spPr>
          <c:invertIfNegative val="0"/>
          <c:cat>
            <c:strRef>
              <c:f>'Pivot Table'!$A$2:$A$11</c:f>
              <c:strCache>
                <c:ptCount val="9"/>
                <c:pt idx="0">
                  <c:v>A</c:v>
                </c:pt>
                <c:pt idx="1">
                  <c:v>A-</c:v>
                </c:pt>
                <c:pt idx="2">
                  <c:v>B</c:v>
                </c:pt>
                <c:pt idx="3">
                  <c:v>B-</c:v>
                </c:pt>
                <c:pt idx="4">
                  <c:v>B+</c:v>
                </c:pt>
                <c:pt idx="5">
                  <c:v>C</c:v>
                </c:pt>
                <c:pt idx="6">
                  <c:v>C+</c:v>
                </c:pt>
                <c:pt idx="7">
                  <c:v>D</c:v>
                </c:pt>
                <c:pt idx="8">
                  <c:v>F</c:v>
                </c:pt>
              </c:strCache>
            </c:strRef>
          </c:cat>
          <c:val>
            <c:numRef>
              <c:f>'Pivot Table'!$G$2:$G$11</c:f>
              <c:numCache>
                <c:formatCode>0.0</c:formatCode>
                <c:ptCount val="9"/>
                <c:pt idx="0">
                  <c:v>95.375</c:v>
                </c:pt>
                <c:pt idx="1">
                  <c:v>92.5</c:v>
                </c:pt>
                <c:pt idx="2">
                  <c:v>84.375</c:v>
                </c:pt>
                <c:pt idx="3">
                  <c:v>80.5</c:v>
                </c:pt>
                <c:pt idx="4">
                  <c:v>88</c:v>
                </c:pt>
                <c:pt idx="5">
                  <c:v>75.178571428571431</c:v>
                </c:pt>
                <c:pt idx="6">
                  <c:v>78</c:v>
                </c:pt>
                <c:pt idx="7">
                  <c:v>66.583333333333329</c:v>
                </c:pt>
                <c:pt idx="8">
                  <c:v>43.206521739130437</c:v>
                </c:pt>
              </c:numCache>
            </c:numRef>
          </c:val>
          <c:extLst>
            <c:ext xmlns:c16="http://schemas.microsoft.com/office/drawing/2014/chart" uri="{C3380CC4-5D6E-409C-BE32-E72D297353CC}">
              <c16:uniqueId val="{0000000F-5776-4BDF-A545-1153DE04B42A}"/>
            </c:ext>
          </c:extLst>
        </c:ser>
        <c:ser>
          <c:idx val="6"/>
          <c:order val="6"/>
          <c:tx>
            <c:strRef>
              <c:f>'Pivot Table'!$H$1</c:f>
              <c:strCache>
                <c:ptCount val="1"/>
                <c:pt idx="0">
                  <c:v>Average of Absent Days</c:v>
                </c:pt>
              </c:strCache>
            </c:strRef>
          </c:tx>
          <c:spPr>
            <a:solidFill>
              <a:schemeClr val="accent1">
                <a:lumMod val="60000"/>
              </a:schemeClr>
            </a:solidFill>
            <a:ln>
              <a:noFill/>
            </a:ln>
            <a:effectLst/>
          </c:spPr>
          <c:invertIfNegative val="0"/>
          <c:cat>
            <c:strRef>
              <c:f>'Pivot Table'!$A$2:$A$11</c:f>
              <c:strCache>
                <c:ptCount val="9"/>
                <c:pt idx="0">
                  <c:v>A</c:v>
                </c:pt>
                <c:pt idx="1">
                  <c:v>A-</c:v>
                </c:pt>
                <c:pt idx="2">
                  <c:v>B</c:v>
                </c:pt>
                <c:pt idx="3">
                  <c:v>B-</c:v>
                </c:pt>
                <c:pt idx="4">
                  <c:v>B+</c:v>
                </c:pt>
                <c:pt idx="5">
                  <c:v>C</c:v>
                </c:pt>
                <c:pt idx="6">
                  <c:v>C+</c:v>
                </c:pt>
                <c:pt idx="7">
                  <c:v>D</c:v>
                </c:pt>
                <c:pt idx="8">
                  <c:v>F</c:v>
                </c:pt>
              </c:strCache>
            </c:strRef>
          </c:cat>
          <c:val>
            <c:numRef>
              <c:f>'Pivot Table'!$H$2:$H$11</c:f>
              <c:numCache>
                <c:formatCode>0.0</c:formatCode>
                <c:ptCount val="9"/>
                <c:pt idx="0">
                  <c:v>3.25</c:v>
                </c:pt>
                <c:pt idx="1">
                  <c:v>8</c:v>
                </c:pt>
                <c:pt idx="2">
                  <c:v>1</c:v>
                </c:pt>
                <c:pt idx="3">
                  <c:v>9</c:v>
                </c:pt>
                <c:pt idx="4">
                  <c:v>4</c:v>
                </c:pt>
                <c:pt idx="5">
                  <c:v>5.7142857142857144</c:v>
                </c:pt>
                <c:pt idx="6">
                  <c:v>8.5</c:v>
                </c:pt>
                <c:pt idx="7">
                  <c:v>6.333333333333333</c:v>
                </c:pt>
                <c:pt idx="8">
                  <c:v>11.739130434782609</c:v>
                </c:pt>
              </c:numCache>
            </c:numRef>
          </c:val>
          <c:extLst>
            <c:ext xmlns:c16="http://schemas.microsoft.com/office/drawing/2014/chart" uri="{C3380CC4-5D6E-409C-BE32-E72D297353CC}">
              <c16:uniqueId val="{00000011-5776-4BDF-A545-1153DE04B42A}"/>
            </c:ext>
          </c:extLst>
        </c:ser>
        <c:dLbls>
          <c:showLegendKey val="0"/>
          <c:showVal val="0"/>
          <c:showCatName val="0"/>
          <c:showSerName val="0"/>
          <c:showPercent val="0"/>
          <c:showBubbleSize val="0"/>
        </c:dLbls>
        <c:gapWidth val="240"/>
        <c:overlap val="-30"/>
        <c:axId val="1179697784"/>
        <c:axId val="714592951"/>
      </c:barChart>
      <c:catAx>
        <c:axId val="1179697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Letter Grade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592951"/>
        <c:crosses val="autoZero"/>
        <c:auto val="1"/>
        <c:lblAlgn val="ctr"/>
        <c:lblOffset val="100"/>
        <c:noMultiLvlLbl val="0"/>
      </c:catAx>
      <c:valAx>
        <c:axId val="7145929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697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Final Grades</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Calibri" panose="020F0502020204030204"/>
            </a:rPr>
            <a:t>Final Grades</a:t>
          </a:r>
        </a:p>
      </cx:txPr>
    </cx:title>
    <cx:plotArea>
      <cx:plotAreaRegion>
        <cx:series layoutId="clusteredColumn" uniqueId="{04BB4C3E-9939-E448-A688-F872D4D3A021}">
          <cx:tx>
            <cx:txData>
              <cx:f>_xlchart.v1.0</cx:f>
              <cx:v>Final Grade</cx:v>
            </cx:txData>
          </cx:tx>
          <cx:spPr>
            <a:ln w="22225">
              <a:solidFill>
                <a:schemeClr val="tx1"/>
              </a:solidFill>
            </a:ln>
            <a:effectLst>
              <a:outerShdw blurRad="50800" dir="5400000" algn="ctr" rotWithShape="0">
                <a:srgbClr val="000000"/>
              </a:outerShdw>
            </a:effectLst>
          </cx:spPr>
          <cx:dataLabels pos="inEnd">
            <cx:txPr>
              <a:bodyPr spcFirstLastPara="1" vertOverflow="ellipsis" horzOverflow="overflow" wrap="square" lIns="0" tIns="0" rIns="0" bIns="0" anchor="ctr" anchorCtr="1"/>
              <a:lstStyle/>
              <a:p>
                <a:pPr algn="ctr" rtl="0">
                  <a:defRPr sz="1600" b="1"/>
                </a:pPr>
                <a:endParaRPr lang="en-US" sz="1600" b="1" i="0" u="none" strike="noStrike" baseline="0">
                  <a:solidFill>
                    <a:sysClr val="window" lastClr="FFFFFF">
                      <a:lumMod val="95000"/>
                    </a:sysClr>
                  </a:solidFill>
                  <a:latin typeface="Calibri" panose="020F0502020204030204"/>
                </a:endParaRPr>
              </a:p>
            </cx:txPr>
            <cx:visibility seriesName="0" categoryName="0" value="1"/>
          </cx:dataLabels>
          <cx:dataId val="0"/>
          <cx:layoutPr>
            <cx:binning intervalClosed="r"/>
          </cx:layoutPr>
        </cx:series>
      </cx:plotAreaRegion>
      <cx:axis id="0">
        <cx:catScaling gapWidth="0"/>
        <cx:tickLabels/>
        <cx:spPr>
          <a:ln>
            <a:solidFill>
              <a:schemeClr val="tx1"/>
            </a:solidFill>
          </a:ln>
        </cx:spPr>
      </cx:axis>
      <cx:axis id="1">
        <cx:valScaling/>
        <cx:majorGridlines>
          <cx:spPr>
            <a:ln w="15875">
              <a:solidFill>
                <a:schemeClr val="tx1"/>
              </a:solidFill>
              <a:prstDash val="sysDash"/>
            </a:ln>
          </cx:spPr>
        </cx:majorGridlines>
        <cx:tickLabels/>
        <cx:spPr>
          <a:ln>
            <a:solidFill>
              <a:schemeClr val="tx1"/>
            </a:solidFill>
          </a:ln>
        </cx:sp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70">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13</xdr:col>
      <xdr:colOff>191549</xdr:colOff>
      <xdr:row>34</xdr:row>
      <xdr:rowOff>189452</xdr:rowOff>
    </xdr:from>
    <xdr:to>
      <xdr:col>26</xdr:col>
      <xdr:colOff>216949</xdr:colOff>
      <xdr:row>47</xdr:row>
      <xdr:rowOff>176752</xdr:rowOff>
    </xdr:to>
    <xdr:sp macro="" textlink="">
      <xdr:nvSpPr>
        <xdr:cNvPr id="6" name="Rectangle 2">
          <a:extLst>
            <a:ext uri="{FF2B5EF4-FFF2-40B4-BE49-F238E27FC236}">
              <a16:creationId xmlns:a16="http://schemas.microsoft.com/office/drawing/2014/main" id="{00000000-0008-0000-0000-000006000000}"/>
            </a:ext>
          </a:extLst>
        </xdr:cNvPr>
        <xdr:cNvSpPr/>
      </xdr:nvSpPr>
      <xdr:spPr>
        <a:xfrm>
          <a:off x="11097237" y="7972571"/>
          <a:ext cx="10931088" cy="2562254"/>
        </a:xfrm>
        <a:prstGeom prst="rect">
          <a:avLst/>
        </a:prstGeom>
        <a:noFill/>
        <a:ln>
          <a:solidFill>
            <a:srgbClr val="D7FAFE"/>
          </a:solidFill>
        </a:ln>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774700</xdr:colOff>
      <xdr:row>10</xdr:row>
      <xdr:rowOff>177800</xdr:rowOff>
    </xdr:from>
    <xdr:to>
      <xdr:col>24</xdr:col>
      <xdr:colOff>749300</xdr:colOff>
      <xdr:row>19</xdr:row>
      <xdr:rowOff>12700</xdr:rowOff>
    </xdr:to>
    <xdr:sp macro="" textlink="">
      <xdr:nvSpPr>
        <xdr:cNvPr id="7" name="TextBox 1">
          <a:extLst>
            <a:ext uri="{FF2B5EF4-FFF2-40B4-BE49-F238E27FC236}">
              <a16:creationId xmlns:a16="http://schemas.microsoft.com/office/drawing/2014/main" id="{00000000-0008-0000-0000-000007000000}"/>
            </a:ext>
            <a:ext uri="{147F2762-F138-4A5C-976F-8EAC2B608ADB}">
              <a16:predDERef xmlns:a16="http://schemas.microsoft.com/office/drawing/2014/main" pred="{99D66E38-B9D2-12FC-6686-7BF28EA16537}"/>
            </a:ext>
          </a:extLst>
        </xdr:cNvPr>
        <xdr:cNvSpPr txBox="1"/>
      </xdr:nvSpPr>
      <xdr:spPr>
        <a:xfrm>
          <a:off x="11506200" y="2209800"/>
          <a:ext cx="9055100" cy="2654300"/>
        </a:xfrm>
        <a:prstGeom prst="rect">
          <a:avLst/>
        </a:prstGeom>
        <a:solidFill>
          <a:srgbClr val="D7FAFE"/>
        </a:solidFill>
        <a:ln>
          <a:solidFill>
            <a:srgbClr val="D7FAFE"/>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indent="0" algn="ctr"/>
          <a:r>
            <a:rPr lang="en-US" sz="2400">
              <a:solidFill>
                <a:schemeClr val="dk1"/>
              </a:solidFill>
              <a:latin typeface="American Typewriter"/>
            </a:rPr>
            <a:t>Spread Sheet Programing Project</a:t>
          </a:r>
        </a:p>
        <a:p>
          <a:pPr marL="0" indent="0" algn="ctr"/>
          <a:r>
            <a:rPr lang="en-US" sz="2400">
              <a:solidFill>
                <a:schemeClr val="dk1"/>
              </a:solidFill>
              <a:latin typeface="American Typewriter"/>
            </a:rPr>
            <a:t>CSCI 48</a:t>
          </a:r>
        </a:p>
        <a:p>
          <a:pPr marL="0" indent="0" algn="ctr"/>
          <a:r>
            <a:rPr lang="en-US" sz="2400">
              <a:solidFill>
                <a:schemeClr val="dk1"/>
              </a:solidFill>
              <a:latin typeface="American Typewriter"/>
            </a:rPr>
            <a:t>2023 Spring Term</a:t>
          </a:r>
        </a:p>
        <a:p>
          <a:pPr marL="0" indent="0" algn="ctr"/>
          <a:r>
            <a:rPr lang="en-US" sz="2400">
              <a:solidFill>
                <a:schemeClr val="dk1"/>
              </a:solidFill>
              <a:latin typeface="American Typewriter"/>
            </a:rPr>
            <a:t>Group Members:</a:t>
          </a:r>
        </a:p>
        <a:p>
          <a:pPr marL="0" indent="0" algn="ctr"/>
          <a:r>
            <a:rPr lang="en-US" sz="2400">
              <a:solidFill>
                <a:schemeClr val="dk1"/>
              </a:solidFill>
              <a:latin typeface="American Typewriter"/>
            </a:rPr>
            <a:t>Bickey Manandhar, Mohammed R Mazumder,</a:t>
          </a:r>
        </a:p>
        <a:p>
          <a:pPr marL="0" indent="0" algn="ctr"/>
          <a:r>
            <a:rPr lang="en-US" sz="2400">
              <a:solidFill>
                <a:schemeClr val="dk1"/>
              </a:solidFill>
              <a:latin typeface="American Typewriter"/>
            </a:rPr>
            <a:t>Laura J Mitznahuatl</a:t>
          </a:r>
        </a:p>
      </xdr:txBody>
    </xdr:sp>
    <xdr:clientData/>
  </xdr:twoCellAnchor>
  <xdr:twoCellAnchor>
    <xdr:from>
      <xdr:col>18</xdr:col>
      <xdr:colOff>83144</xdr:colOff>
      <xdr:row>37</xdr:row>
      <xdr:rowOff>88235</xdr:rowOff>
    </xdr:from>
    <xdr:to>
      <xdr:col>20</xdr:col>
      <xdr:colOff>256432</xdr:colOff>
      <xdr:row>41</xdr:row>
      <xdr:rowOff>41968</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15253871" y="8747326"/>
          <a:ext cx="1858925" cy="785006"/>
          <a:chOff x="15100242" y="8188687"/>
          <a:chExt cx="1841852" cy="724598"/>
        </a:xfrm>
      </xdr:grpSpPr>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15100242" y="8188687"/>
                <a:ext cx="1841852" cy="724598"/>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US" sz="1400" b="1" i="0" u="none" strike="noStrike" baseline="0">
                  <a:solidFill>
                    <a:srgbClr val="000000"/>
                  </a:solidFill>
                  <a:latin typeface="Calibri" pitchFamily="2" charset="0"/>
                  <a:cs typeface="Calibri" pitchFamily="2" charset="0"/>
                </a:endParaRPr>
              </a:p>
              <a:p>
                <a:pPr algn="ctr" rtl="0">
                  <a:defRPr sz="1000"/>
                </a:pPr>
                <a:r>
                  <a:rPr lang="en-US" sz="1400" b="1" i="0" u="none" strike="noStrike" baseline="0">
                    <a:solidFill>
                      <a:srgbClr val="000000"/>
                    </a:solidFill>
                    <a:latin typeface="Calibri" pitchFamily="2" charset="0"/>
                    <a:cs typeface="Calibri" pitchFamily="2" charset="0"/>
                  </a:rPr>
                  <a:t>            Welcome</a:t>
                </a:r>
              </a:p>
            </xdr:txBody>
          </xdr:sp>
        </mc:Choice>
        <mc:Fallback/>
      </mc:AlternateContent>
      <xdr:pic macro="[0]!Simple_MsgBox">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15205046" y="8250107"/>
            <a:ext cx="629174" cy="629174"/>
          </a:xfrm>
          <a:prstGeom prst="rect">
            <a:avLst/>
          </a:prstGeom>
        </xdr:spPr>
      </xdr:pic>
    </xdr:grpSp>
    <xdr:clientData/>
  </xdr:twoCellAnchor>
  <xdr:twoCellAnchor>
    <xdr:from>
      <xdr:col>18</xdr:col>
      <xdr:colOff>94784</xdr:colOff>
      <xdr:row>42</xdr:row>
      <xdr:rowOff>96330</xdr:rowOff>
    </xdr:from>
    <xdr:to>
      <xdr:col>20</xdr:col>
      <xdr:colOff>255488</xdr:colOff>
      <xdr:row>45</xdr:row>
      <xdr:rowOff>61453</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15265511" y="9794512"/>
          <a:ext cx="1846341" cy="588577"/>
          <a:chOff x="15111861" y="9157933"/>
          <a:chExt cx="1829267" cy="535963"/>
        </a:xfrm>
      </xdr:grpSpPr>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15111861" y="9157933"/>
                <a:ext cx="1829267" cy="535963"/>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Help</a:t>
                </a:r>
                <a:endParaRPr lang="en-US" sz="1200" b="0" i="0" u="none" strike="noStrike" baseline="0">
                  <a:solidFill>
                    <a:srgbClr val="000000"/>
                  </a:solidFill>
                  <a:latin typeface="Calibri" pitchFamily="2" charset="0"/>
                  <a:cs typeface="Calibri" pitchFamily="2" charset="0"/>
                </a:endParaRPr>
              </a:p>
              <a:p>
                <a:pPr algn="ctr" rtl="0">
                  <a:defRPr sz="1000"/>
                </a:pPr>
                <a:endParaRPr lang="en-US" sz="1200" b="0" i="0" u="none" strike="noStrike" baseline="0">
                  <a:solidFill>
                    <a:srgbClr val="000000"/>
                  </a:solidFill>
                  <a:latin typeface="Calibri" pitchFamily="2" charset="0"/>
                  <a:cs typeface="Calibri" pitchFamily="2" charset="0"/>
                </a:endParaRPr>
              </a:p>
            </xdr:txBody>
          </xdr:sp>
        </mc:Choice>
        <mc:Fallback/>
      </mc:AlternateContent>
      <xdr:pic macro="[0]!Help_Box">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63303" y="9216237"/>
            <a:ext cx="419451" cy="419451"/>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295275</xdr:colOff>
      <xdr:row>24</xdr:row>
      <xdr:rowOff>165100</xdr:rowOff>
    </xdr:from>
    <xdr:to>
      <xdr:col>14</xdr:col>
      <xdr:colOff>317500</xdr:colOff>
      <xdr:row>40</xdr:row>
      <xdr:rowOff>174625</xdr:rowOff>
    </xdr:to>
    <xdr:graphicFrame macro="">
      <xdr:nvGraphicFramePr>
        <xdr:cNvPr id="31" name="Chart 9" descr="Chart type: Clustered Column. Multiple Values by 'Letter Grade'&#10;&#10;Description automatically generated">
          <a:extLst>
            <a:ext uri="{FF2B5EF4-FFF2-40B4-BE49-F238E27FC236}">
              <a16:creationId xmlns:a16="http://schemas.microsoft.com/office/drawing/2014/main" id="{00000000-0008-0000-0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317500</xdr:colOff>
      <xdr:row>8</xdr:row>
      <xdr:rowOff>9525</xdr:rowOff>
    </xdr:from>
    <xdr:to>
      <xdr:col>14</xdr:col>
      <xdr:colOff>330200</xdr:colOff>
      <xdr:row>24</xdr:row>
      <xdr:rowOff>98425</xdr:rowOff>
    </xdr:to>
    <xdr:graphicFrame macro="">
      <xdr:nvGraphicFramePr>
        <xdr:cNvPr id="32" name="Chart 10" descr="Academic Probation&#10;&#10;Description automatically generated" title="Academic Probation">
          <a:extLst>
            <a:ext uri="{FF2B5EF4-FFF2-40B4-BE49-F238E27FC236}">
              <a16:creationId xmlns:a16="http://schemas.microsoft.com/office/drawing/2014/main" id="{00000000-0008-0000-0100-000020000000}"/>
            </a:ext>
            <a:ext uri="{147F2762-F138-4A5C-976F-8EAC2B608ADB}">
              <a16:predDERef xmlns:a16="http://schemas.microsoft.com/office/drawing/2014/main" pred="{26F3BE00-4609-433C-943E-092CEC27D1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168275</xdr:colOff>
      <xdr:row>7</xdr:row>
      <xdr:rowOff>279400</xdr:rowOff>
    </xdr:from>
    <xdr:to>
      <xdr:col>8</xdr:col>
      <xdr:colOff>107950</xdr:colOff>
      <xdr:row>24</xdr:row>
      <xdr:rowOff>76200</xdr:rowOff>
    </xdr:to>
    <xdr:graphicFrame macro="">
      <xdr:nvGraphicFramePr>
        <xdr:cNvPr id="60" name="Chart 11" descr="Chart type: Doughnut. 'Honors': No accounts for the majority of 'Project'.&#10;&#10;Description automatically generated">
          <a:extLst>
            <a:ext uri="{FF2B5EF4-FFF2-40B4-BE49-F238E27FC236}">
              <a16:creationId xmlns:a16="http://schemas.microsoft.com/office/drawing/2014/main" id="{00000000-0008-0000-0100-00003C000000}"/>
            </a:ext>
            <a:ext uri="{147F2762-F138-4A5C-976F-8EAC2B608ADB}">
              <a16:predDERef xmlns:a16="http://schemas.microsoft.com/office/drawing/2014/main" pred="{6DCB9940-C8EE-4C21-AD39-575C128237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441325</xdr:colOff>
      <xdr:row>24</xdr:row>
      <xdr:rowOff>161925</xdr:rowOff>
    </xdr:from>
    <xdr:to>
      <xdr:col>8</xdr:col>
      <xdr:colOff>95250</xdr:colOff>
      <xdr:row>40</xdr:row>
      <xdr:rowOff>161925</xdr:rowOff>
    </xdr:to>
    <xdr:graphicFrame macro="">
      <xdr:nvGraphicFramePr>
        <xdr:cNvPr id="50" name="Chart 12" descr="Chart type: Scatter. 'Top 10 Grades'&#10;&#10;Description automatically generated">
          <a:extLst>
            <a:ext uri="{FF2B5EF4-FFF2-40B4-BE49-F238E27FC236}">
              <a16:creationId xmlns:a16="http://schemas.microsoft.com/office/drawing/2014/main" id="{00000000-0008-0000-0100-000032000000}"/>
            </a:ext>
            <a:ext uri="{147F2762-F138-4A5C-976F-8EAC2B608ADB}">
              <a16:predDERef xmlns:a16="http://schemas.microsoft.com/office/drawing/2014/main" pred="{0E240A2B-0FEF-4025-A841-47D839866B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571500</xdr:colOff>
      <xdr:row>2</xdr:row>
      <xdr:rowOff>165100</xdr:rowOff>
    </xdr:from>
    <xdr:to>
      <xdr:col>2</xdr:col>
      <xdr:colOff>1041400</xdr:colOff>
      <xdr:row>7</xdr:row>
      <xdr:rowOff>139700</xdr:rowOff>
    </xdr:to>
    <xdr:sp macro="" textlink="">
      <xdr:nvSpPr>
        <xdr:cNvPr id="2" name="Oval Callout 1">
          <a:extLst>
            <a:ext uri="{FF2B5EF4-FFF2-40B4-BE49-F238E27FC236}">
              <a16:creationId xmlns:a16="http://schemas.microsoft.com/office/drawing/2014/main" id="{00000000-0008-0000-0100-000002000000}"/>
            </a:ext>
          </a:extLst>
        </xdr:cNvPr>
        <xdr:cNvSpPr/>
      </xdr:nvSpPr>
      <xdr:spPr>
        <a:xfrm>
          <a:off x="1435100" y="571500"/>
          <a:ext cx="1892300" cy="990600"/>
        </a:xfrm>
        <a:prstGeom prst="wedgeEllipseCallout">
          <a:avLst>
            <a:gd name="adj1" fmla="val -106389"/>
            <a:gd name="adj2" fmla="val -61878"/>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t>Select StudentID to get their</a:t>
          </a:r>
          <a:r>
            <a:rPr lang="en-US" sz="1100" baseline="0"/>
            <a:t> info</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711200</xdr:colOff>
      <xdr:row>2</xdr:row>
      <xdr:rowOff>121920</xdr:rowOff>
    </xdr:from>
    <xdr:to>
      <xdr:col>3</xdr:col>
      <xdr:colOff>670560</xdr:colOff>
      <xdr:row>5</xdr:row>
      <xdr:rowOff>124968</xdr:rowOff>
    </xdr:to>
    <xdr:sp macro="" textlink="">
      <xdr:nvSpPr>
        <xdr:cNvPr id="2" name="Oval Callout 1">
          <a:extLst>
            <a:ext uri="{FF2B5EF4-FFF2-40B4-BE49-F238E27FC236}">
              <a16:creationId xmlns:a16="http://schemas.microsoft.com/office/drawing/2014/main" id="{00000000-0008-0000-0200-000002000000}"/>
            </a:ext>
          </a:extLst>
        </xdr:cNvPr>
        <xdr:cNvSpPr/>
      </xdr:nvSpPr>
      <xdr:spPr>
        <a:xfrm>
          <a:off x="1625600" y="528320"/>
          <a:ext cx="1645920" cy="612648"/>
        </a:xfrm>
        <a:prstGeom prst="wedgeEllipseCallout">
          <a:avLst>
            <a:gd name="adj1" fmla="val -106389"/>
            <a:gd name="adj2" fmla="val -61878"/>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t>Select StudentID to get their</a:t>
          </a:r>
          <a:r>
            <a:rPr lang="en-US" sz="1100" baseline="0"/>
            <a:t> info</a:t>
          </a:r>
          <a:endParaRPr lang="en-US" sz="1100"/>
        </a:p>
      </xdr:txBody>
    </xdr:sp>
    <xdr:clientData/>
  </xdr:twoCellAnchor>
  <mc:AlternateContent xmlns:mc="http://schemas.openxmlformats.org/markup-compatibility/2006">
    <mc:Choice xmlns:a14="http://schemas.microsoft.com/office/drawing/2010/main" Requires="a14">
      <xdr:twoCellAnchor>
        <xdr:from>
          <xdr:col>11</xdr:col>
          <xdr:colOff>660400</xdr:colOff>
          <xdr:row>2</xdr:row>
          <xdr:rowOff>177800</xdr:rowOff>
        </xdr:from>
        <xdr:to>
          <xdr:col>12</xdr:col>
          <xdr:colOff>838200</xdr:colOff>
          <xdr:row>5</xdr:row>
          <xdr:rowOff>63500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Instruction</a:t>
              </a:r>
            </a:p>
          </xdr:txBody>
        </xdr:sp>
        <xdr:clientData fPrintsWithSheet="0"/>
      </xdr:twoCellAnchor>
    </mc:Choice>
    <mc:Fallback/>
  </mc:AlternateContent>
  <xdr:twoCellAnchor editAs="oneCell">
    <xdr:from>
      <xdr:col>13</xdr:col>
      <xdr:colOff>71119</xdr:colOff>
      <xdr:row>5</xdr:row>
      <xdr:rowOff>193040</xdr:rowOff>
    </xdr:from>
    <xdr:to>
      <xdr:col>16</xdr:col>
      <xdr:colOff>782320</xdr:colOff>
      <xdr:row>33</xdr:row>
      <xdr:rowOff>81280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66879" y="1209040"/>
          <a:ext cx="3241041" cy="5577840"/>
        </a:xfrm>
        <a:prstGeom prst="rect">
          <a:avLst/>
        </a:prstGeom>
      </xdr:spPr>
    </xdr:pic>
    <xdr:clientData/>
  </xdr:twoCellAnchor>
  <xdr:twoCellAnchor editAs="oneCell">
    <xdr:from>
      <xdr:col>13</xdr:col>
      <xdr:colOff>71120</xdr:colOff>
      <xdr:row>33</xdr:row>
      <xdr:rowOff>172720</xdr:rowOff>
    </xdr:from>
    <xdr:to>
      <xdr:col>16</xdr:col>
      <xdr:colOff>782320</xdr:colOff>
      <xdr:row>57</xdr:row>
      <xdr:rowOff>20321</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866880" y="6878320"/>
          <a:ext cx="3241040" cy="4724401"/>
        </a:xfrm>
        <a:prstGeom prst="rect">
          <a:avLst/>
        </a:prstGeom>
      </xdr:spPr>
    </xdr:pic>
    <xdr:clientData/>
  </xdr:twoCellAnchor>
  <xdr:twoCellAnchor editAs="oneCell">
    <xdr:from>
      <xdr:col>3</xdr:col>
      <xdr:colOff>812800</xdr:colOff>
      <xdr:row>2</xdr:row>
      <xdr:rowOff>30480</xdr:rowOff>
    </xdr:from>
    <xdr:to>
      <xdr:col>11</xdr:col>
      <xdr:colOff>660400</xdr:colOff>
      <xdr:row>5</xdr:row>
      <xdr:rowOff>142240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413760" y="436880"/>
          <a:ext cx="6847840" cy="7213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5</xdr:row>
      <xdr:rowOff>196850</xdr:rowOff>
    </xdr:from>
    <xdr:to>
      <xdr:col>5</xdr:col>
      <xdr:colOff>533400</xdr:colOff>
      <xdr:row>28</xdr:row>
      <xdr:rowOff>12700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406400</xdr:colOff>
      <xdr:row>5</xdr:row>
      <xdr:rowOff>177800</xdr:rowOff>
    </xdr:from>
    <xdr:to>
      <xdr:col>16</xdr:col>
      <xdr:colOff>635000</xdr:colOff>
      <xdr:row>28</xdr:row>
      <xdr:rowOff>25400</xdr:rowOff>
    </xdr:to>
    <xdr:sp macro="" textlink="">
      <xdr:nvSpPr>
        <xdr:cNvPr id="10" name="Rectangle 9">
          <a:extLst>
            <a:ext uri="{FF2B5EF4-FFF2-40B4-BE49-F238E27FC236}">
              <a16:creationId xmlns:a16="http://schemas.microsoft.com/office/drawing/2014/main" id="{00000000-0008-0000-0300-00000A000000}"/>
            </a:ext>
          </a:extLst>
        </xdr:cNvPr>
        <xdr:cNvSpPr/>
      </xdr:nvSpPr>
      <xdr:spPr>
        <a:xfrm>
          <a:off x="6083300" y="1193800"/>
          <a:ext cx="8178800" cy="4521200"/>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762000</xdr:colOff>
      <xdr:row>6</xdr:row>
      <xdr:rowOff>139700</xdr:rowOff>
    </xdr:from>
    <xdr:to>
      <xdr:col>16</xdr:col>
      <xdr:colOff>266700</xdr:colOff>
      <xdr:row>25</xdr:row>
      <xdr:rowOff>76200</xdr:rowOff>
    </xdr:to>
    <mc:AlternateContent xmlns:mc="http://schemas.openxmlformats.org/markup-compatibility/2006" xmlns:a14="http://schemas.microsoft.com/office/drawing/2010/main">
      <mc:Choice Requires="a14">
        <xdr:graphicFrame macro="">
          <xdr:nvGraphicFramePr>
            <xdr:cNvPr id="8" name="Honors">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0/slicer">
              <sle:slicer xmlns:sle="http://schemas.microsoft.com/office/drawing/2010/slicer" name="Honors"/>
            </a:graphicData>
          </a:graphic>
        </xdr:graphicFrame>
      </mc:Choice>
      <mc:Fallback xmlns="">
        <xdr:sp macro="" textlink="">
          <xdr:nvSpPr>
            <xdr:cNvPr id="0" name=""/>
            <xdr:cNvSpPr>
              <a:spLocks noTextEdit="1"/>
            </xdr:cNvSpPr>
          </xdr:nvSpPr>
          <xdr:spPr>
            <a:xfrm>
              <a:off x="11658600" y="1358900"/>
              <a:ext cx="2235200" cy="379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0</xdr:colOff>
      <xdr:row>6</xdr:row>
      <xdr:rowOff>152400</xdr:rowOff>
    </xdr:from>
    <xdr:to>
      <xdr:col>13</xdr:col>
      <xdr:colOff>330200</xdr:colOff>
      <xdr:row>25</xdr:row>
      <xdr:rowOff>76200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419100</xdr:colOff>
      <xdr:row>5</xdr:row>
      <xdr:rowOff>133350</xdr:rowOff>
    </xdr:from>
    <xdr:to>
      <xdr:col>37</xdr:col>
      <xdr:colOff>88900</xdr:colOff>
      <xdr:row>28</xdr:row>
      <xdr:rowOff>25400</xdr:rowOff>
    </xdr:to>
    <mc:AlternateContent xmlns:mc="http://schemas.openxmlformats.org/markup-compatibility/2006">
      <mc:Choice xmlns:cx1="http://schemas.microsoft.com/office/drawing/2015/9/8/chartex" Requires="cx1">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24168100" y="1149350"/>
              <a:ext cx="6934200" cy="45656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17</xdr:col>
      <xdr:colOff>565150</xdr:colOff>
      <xdr:row>5</xdr:row>
      <xdr:rowOff>158750</xdr:rowOff>
    </xdr:from>
    <xdr:to>
      <xdr:col>28</xdr:col>
      <xdr:colOff>139700</xdr:colOff>
      <xdr:row>28</xdr:row>
      <xdr:rowOff>76200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25</xdr:col>
          <xdr:colOff>228600</xdr:colOff>
          <xdr:row>6</xdr:row>
          <xdr:rowOff>114300</xdr:rowOff>
        </xdr:from>
        <xdr:to>
          <xdr:col>27</xdr:col>
          <xdr:colOff>419100</xdr:colOff>
          <xdr:row>8</xdr:row>
          <xdr:rowOff>88900</xdr:rowOff>
        </xdr:to>
        <xdr:sp macro="" textlink="">
          <xdr:nvSpPr>
            <xdr:cNvPr id="18444" name="Button 12" hidden="1">
              <a:extLst>
                <a:ext uri="{63B3BB69-23CF-44E3-9099-C40C66FF867C}">
                  <a14:compatExt spid="_x0000_s18444"/>
                </a:ext>
                <a:ext uri="{FF2B5EF4-FFF2-40B4-BE49-F238E27FC236}">
                  <a16:creationId xmlns:a16="http://schemas.microsoft.com/office/drawing/2014/main" id="{00000000-0008-0000-0300-00000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Instruction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180242</xdr:colOff>
      <xdr:row>23</xdr:row>
      <xdr:rowOff>105019</xdr:rowOff>
    </xdr:from>
    <xdr:to>
      <xdr:col>11</xdr:col>
      <xdr:colOff>742217</xdr:colOff>
      <xdr:row>38</xdr:row>
      <xdr:rowOff>66920</xdr:rowOff>
    </xdr:to>
    <xdr:graphicFrame macro="">
      <xdr:nvGraphicFramePr>
        <xdr:cNvPr id="3" name="Chart 6" descr="Chart type: Pie. 'Field4'&#10;&#10;Description automatically generated">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146538</xdr:colOff>
      <xdr:row>14</xdr:row>
      <xdr:rowOff>117229</xdr:rowOff>
    </xdr:from>
    <xdr:to>
      <xdr:col>11</xdr:col>
      <xdr:colOff>797875</xdr:colOff>
      <xdr:row>23</xdr:row>
      <xdr:rowOff>19537</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2615" y="3067537"/>
          <a:ext cx="4900952" cy="166076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139700</xdr:colOff>
          <xdr:row>1</xdr:row>
          <xdr:rowOff>25400</xdr:rowOff>
        </xdr:from>
        <xdr:to>
          <xdr:col>9</xdr:col>
          <xdr:colOff>838200</xdr:colOff>
          <xdr:row>2</xdr:row>
          <xdr:rowOff>177800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0500-000009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Instruction</a:t>
              </a:r>
              <a:endParaRPr lang="en-US" sz="1200" b="0" i="0" u="none" strike="noStrike" baseline="0">
                <a:solidFill>
                  <a:srgbClr val="000000"/>
                </a:solidFill>
                <a:latin typeface="Calibri" pitchFamily="2" charset="0"/>
                <a:cs typeface="Calibri" pitchFamily="2" charset="0"/>
              </a:endParaRP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25400</xdr:colOff>
      <xdr:row>11</xdr:row>
      <xdr:rowOff>146050</xdr:rowOff>
    </xdr:from>
    <xdr:to>
      <xdr:col>8</xdr:col>
      <xdr:colOff>25400</xdr:colOff>
      <xdr:row>34</xdr:row>
      <xdr:rowOff>114300</xdr:rowOff>
    </xdr:to>
    <xdr:graphicFrame macro="">
      <xdr:nvGraphicFramePr>
        <xdr:cNvPr id="60" name="Chart 1" descr="Chart type: Clustered Column. Multiple Values by 'Letter Grade'&#10;&#10;Description automatically generated">
          <a:extLst>
            <a:ext uri="{FF2B5EF4-FFF2-40B4-BE49-F238E27FC236}">
              <a16:creationId xmlns:a16="http://schemas.microsoft.com/office/drawing/2014/main" id="{00000000-0008-0000-0700-00003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219075</xdr:colOff>
      <xdr:row>0</xdr:row>
      <xdr:rowOff>57150</xdr:rowOff>
    </xdr:from>
    <xdr:to>
      <xdr:col>8</xdr:col>
      <xdr:colOff>382362</xdr:colOff>
      <xdr:row>4</xdr:row>
      <xdr:rowOff>106135</xdr:rowOff>
    </xdr:to>
    <xdr:sp macro="" textlink="">
      <xdr:nvSpPr>
        <xdr:cNvPr id="2" name="Flowchart: Alternate Process 1">
          <a:extLst>
            <a:ext uri="{FF2B5EF4-FFF2-40B4-BE49-F238E27FC236}">
              <a16:creationId xmlns:a16="http://schemas.microsoft.com/office/drawing/2014/main" id="{00000000-0008-0000-0800-000002000000}"/>
            </a:ext>
          </a:extLst>
        </xdr:cNvPr>
        <xdr:cNvSpPr/>
      </xdr:nvSpPr>
      <xdr:spPr>
        <a:xfrm>
          <a:off x="1057275" y="57150"/>
          <a:ext cx="6030687" cy="849085"/>
        </a:xfrm>
        <a:prstGeom prst="flowChartAlternateProcess">
          <a:avLst/>
        </a:prstGeom>
        <a:solidFill>
          <a:schemeClr val="accent2">
            <a:lumMod val="60000"/>
            <a:lumOff val="40000"/>
          </a:schemeClr>
        </a:solidFill>
        <a:effectLst>
          <a:softEdge rad="3175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600">
              <a:solidFill>
                <a:schemeClr val="accent1">
                  <a:lumMod val="50000"/>
                </a:schemeClr>
              </a:solidFill>
              <a:latin typeface="Amasis MT Pro Medium" panose="020B0604020202020204" pitchFamily="18" charset="0"/>
            </a:rPr>
            <a:t>Curve</a:t>
          </a:r>
          <a:r>
            <a:rPr lang="en-US" sz="1600" baseline="0">
              <a:solidFill>
                <a:schemeClr val="accent1">
                  <a:lumMod val="50000"/>
                </a:schemeClr>
              </a:solidFill>
              <a:latin typeface="Amasis MT Pro Medium" panose="020B0604020202020204" pitchFamily="18" charset="0"/>
            </a:rPr>
            <a:t> is based on the students' 10% extra credit earned throughout the semester</a:t>
          </a:r>
          <a:endParaRPr lang="en-US" sz="1600">
            <a:solidFill>
              <a:schemeClr val="accent1">
                <a:lumMod val="50000"/>
              </a:schemeClr>
            </a:solidFill>
            <a:latin typeface="Amasis MT Pro Medium" panose="020B0604020202020204" pitchFamily="18" charset="0"/>
          </a:endParaRPr>
        </a:p>
      </xdr:txBody>
    </xdr:sp>
    <xdr:clientData/>
  </xdr:twoCellAnchor>
  <xdr:twoCellAnchor>
    <xdr:from>
      <xdr:col>3</xdr:col>
      <xdr:colOff>0</xdr:colOff>
      <xdr:row>6</xdr:row>
      <xdr:rowOff>0</xdr:rowOff>
    </xdr:from>
    <xdr:to>
      <xdr:col>4</xdr:col>
      <xdr:colOff>615041</xdr:colOff>
      <xdr:row>7</xdr:row>
      <xdr:rowOff>175532</xdr:rowOff>
    </xdr:to>
    <xdr:sp macro="" textlink="">
      <xdr:nvSpPr>
        <xdr:cNvPr id="3" name="Rounded Rectangular Callout 2">
          <a:extLst>
            <a:ext uri="{FF2B5EF4-FFF2-40B4-BE49-F238E27FC236}">
              <a16:creationId xmlns:a16="http://schemas.microsoft.com/office/drawing/2014/main" id="{00000000-0008-0000-0800-000003000000}"/>
            </a:ext>
            <a:ext uri="{147F2762-F138-4A5C-976F-8EAC2B608ADB}">
              <a16:predDERef xmlns:a16="http://schemas.microsoft.com/office/drawing/2014/main" pred="{D431226E-0F7A-4925-AF99-0F870C334EC0}"/>
            </a:ext>
          </a:extLst>
        </xdr:cNvPr>
        <xdr:cNvSpPr/>
      </xdr:nvSpPr>
      <xdr:spPr>
        <a:xfrm>
          <a:off x="2514600" y="1200150"/>
          <a:ext cx="1453241" cy="375557"/>
        </a:xfrm>
        <a:prstGeom prst="wedgeRoundRectCallout">
          <a:avLst>
            <a:gd name="adj1" fmla="val -18488"/>
            <a:gd name="adj2" fmla="val 92642"/>
            <a:gd name="adj3" fmla="val 16667"/>
          </a:avLst>
        </a:prstGeom>
        <a:gradFill flip="none" rotWithShape="1">
          <a:gsLst>
            <a:gs pos="0">
              <a:schemeClr val="accent2">
                <a:lumMod val="60000"/>
                <a:lumOff val="40000"/>
                <a:tint val="66000"/>
                <a:satMod val="160000"/>
              </a:schemeClr>
            </a:gs>
            <a:gs pos="50000">
              <a:schemeClr val="accent2">
                <a:lumMod val="60000"/>
                <a:lumOff val="40000"/>
                <a:tint val="44500"/>
                <a:satMod val="160000"/>
              </a:schemeClr>
            </a:gs>
            <a:gs pos="100000">
              <a:schemeClr val="accent2">
                <a:lumMod val="60000"/>
                <a:lumOff val="40000"/>
                <a:tint val="23500"/>
                <a:satMod val="160000"/>
              </a:schemeClr>
            </a:gs>
          </a:gsLst>
          <a:path path="circle">
            <a:fillToRect l="100000" b="100000"/>
          </a:path>
          <a:tileRect t="-100000" r="-100000"/>
        </a:gra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US" sz="1100">
              <a:solidFill>
                <a:schemeClr val="tx1"/>
              </a:solidFill>
            </a:rPr>
            <a:t>Change</a:t>
          </a:r>
          <a:r>
            <a:rPr lang="en-US" sz="1100" baseline="0">
              <a:solidFill>
                <a:schemeClr val="tx1"/>
              </a:solidFill>
            </a:rPr>
            <a:t> Name here:</a:t>
          </a:r>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57150</xdr:colOff>
      <xdr:row>4</xdr:row>
      <xdr:rowOff>85725</xdr:rowOff>
    </xdr:from>
    <xdr:to>
      <xdr:col>3</xdr:col>
      <xdr:colOff>95250</xdr:colOff>
      <xdr:row>6</xdr:row>
      <xdr:rowOff>114300</xdr:rowOff>
    </xdr:to>
    <xdr:sp macro="" textlink="">
      <xdr:nvSpPr>
        <xdr:cNvPr id="2" name="Left Arrow 1">
          <a:extLst>
            <a:ext uri="{FF2B5EF4-FFF2-40B4-BE49-F238E27FC236}">
              <a16:creationId xmlns:a16="http://schemas.microsoft.com/office/drawing/2014/main" id="{00000000-0008-0000-0900-000002000000}"/>
            </a:ext>
          </a:extLst>
        </xdr:cNvPr>
        <xdr:cNvSpPr/>
      </xdr:nvSpPr>
      <xdr:spPr>
        <a:xfrm>
          <a:off x="2838450" y="885825"/>
          <a:ext cx="828675" cy="428625"/>
        </a:xfrm>
        <a:prstGeom prst="leftArrow">
          <a:avLst/>
        </a:prstGeom>
        <a:solidFill>
          <a:srgbClr val="833C0C"/>
        </a:solidFill>
        <a:ln w="12700">
          <a:solidFill>
            <a:srgbClr val="C65911"/>
          </a:solidFill>
          <a:prstDash val="solid"/>
        </a:ln>
        <a:effectLst/>
      </xdr:spPr>
      <xdr:style>
        <a:lnRef idx="2">
          <a:schemeClr val="accent1">
            <a:shade val="50000"/>
          </a:schemeClr>
        </a:lnRef>
        <a:fillRef idx="1">
          <a:schemeClr val="accent1"/>
        </a:fillRef>
        <a:effectRef idx="0">
          <a:schemeClr val="accent1"/>
        </a:effectRef>
        <a:fontRef idx="minor">
          <a:srgbClr val="FFFFFF"/>
        </a:fontRef>
      </xdr:style>
      <xdr:txBody>
        <a:bodyPr spcFirstLastPara="0" vertOverflow="clip" horzOverflow="clip" wrap="square" lIns="91440" tIns="45720" rIns="91440" bIns="45720" rtlCol="0" anchor="ctr">
          <a:noAutofit/>
        </a:bodyPr>
        <a:lstStyle/>
        <a:p>
          <a:pPr marL="0" indent="0" algn="ctr"/>
          <a:r>
            <a:rPr lang="en-US" sz="1100">
              <a:solidFill>
                <a:schemeClr val="lt1"/>
              </a:solidFill>
              <a:latin typeface="Trebuchet MS" panose="020B0603020202020204" pitchFamily="34" charset="0"/>
            </a:rPr>
            <a:t>Modify</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4941.003198842591" createdVersion="8" refreshedVersion="8" minRefreshableVersion="3" recordCount="50" xr:uid="{A0867DCE-6831-4299-AA91-5A06DB6BF1EC}">
  <cacheSource type="worksheet">
    <worksheetSource name="Table3" sheet="Dashboard"/>
  </cacheSource>
  <cacheFields count="13">
    <cacheField name="StudentID" numFmtId="0">
      <sharedItems containsSemiMixedTypes="0" containsString="0" containsNumber="1" containsInteger="1" minValue="23501390" maxValue="23698874" count="50">
        <n v="23672743"/>
        <n v="23570945"/>
        <n v="23569340"/>
        <n v="23503674"/>
        <n v="23545029"/>
        <n v="23555563"/>
        <n v="23544190"/>
        <n v="23578756"/>
        <n v="23538914"/>
        <n v="23536981"/>
        <n v="23643612"/>
        <n v="23635346"/>
        <n v="23602899"/>
        <n v="23518502"/>
        <n v="23545298"/>
        <n v="23681588"/>
        <n v="23558031"/>
        <n v="23630771"/>
        <n v="23580679"/>
        <n v="23521122"/>
        <n v="23607530"/>
        <n v="23625004"/>
        <n v="23501390"/>
        <n v="23591771"/>
        <n v="23686037"/>
        <n v="23563708"/>
        <n v="23688909"/>
        <n v="23634419"/>
        <n v="23698407"/>
        <n v="23552303"/>
        <n v="23554960"/>
        <n v="23551669"/>
        <n v="23602592"/>
        <n v="23698874"/>
        <n v="23512829"/>
        <n v="23665210"/>
        <n v="23614752"/>
        <n v="23648989"/>
        <n v="23599332"/>
        <n v="23513165"/>
        <n v="23697900"/>
        <n v="23511179"/>
        <n v="23614522"/>
        <n v="23589906"/>
        <n v="23579559"/>
        <n v="23512527"/>
        <n v="23655570"/>
        <n v="23552203"/>
        <n v="23590970"/>
        <n v="23574855"/>
      </sharedItems>
    </cacheField>
    <cacheField name="Last Name" numFmtId="0">
      <sharedItems/>
    </cacheField>
    <cacheField name="First Name" numFmtId="0">
      <sharedItems/>
    </cacheField>
    <cacheField name="Exam 1" numFmtId="0">
      <sharedItems containsSemiMixedTypes="0" containsString="0" containsNumber="1" containsInteger="1" minValue="30" maxValue="100"/>
    </cacheField>
    <cacheField name="Exam 2" numFmtId="0">
      <sharedItems containsSemiMixedTypes="0" containsString="0" containsNumber="1" containsInteger="1" minValue="30" maxValue="99"/>
    </cacheField>
    <cacheField name="Final Exam" numFmtId="0">
      <sharedItems containsSemiMixedTypes="0" containsString="0" containsNumber="1" containsInteger="1" minValue="31" maxValue="99"/>
    </cacheField>
    <cacheField name="Assignments" numFmtId="0">
      <sharedItems containsSemiMixedTypes="0" containsString="0" containsNumber="1" containsInteger="1" minValue="36" maxValue="96"/>
    </cacheField>
    <cacheField name="Project" numFmtId="0">
      <sharedItems containsSemiMixedTypes="0" containsString="0" containsNumber="1" minValue="36" maxValue="96.5"/>
    </cacheField>
    <cacheField name="Final Grade" numFmtId="2">
      <sharedItems containsSemiMixedTypes="0" containsString="0" containsNumber="1" minValue="36.25" maxValue="96.649999999999991"/>
    </cacheField>
    <cacheField name="Letter Grade" numFmtId="0">
      <sharedItems count="9">
        <s v="F"/>
        <s v="B+"/>
        <s v="C"/>
        <s v="C+"/>
        <s v="D"/>
        <s v="B"/>
        <s v="A"/>
        <s v="A-"/>
        <s v="B-"/>
      </sharedItems>
    </cacheField>
    <cacheField name="Absent Days" numFmtId="0">
      <sharedItems containsSemiMixedTypes="0" containsString="0" containsNumber="1" containsInteger="1" minValue="0" maxValue="15"/>
    </cacheField>
    <cacheField name="Academic Probation" numFmtId="0">
      <sharedItems/>
    </cacheField>
    <cacheField name="Honors"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944.468538773152" createdVersion="8" refreshedVersion="8" minRefreshableVersion="3" recordCount="50" xr:uid="{D5831E50-0384-314F-A767-77F60235AFDF}">
  <cacheSource type="worksheet">
    <worksheetSource ref="A7:M57" sheet="Data"/>
  </cacheSource>
  <cacheFields count="13">
    <cacheField name="StudentID" numFmtId="0">
      <sharedItems containsSemiMixedTypes="0" containsString="0" containsNumber="1" containsInteger="1" minValue="23501390" maxValue="23698874" count="50">
        <n v="23672743"/>
        <n v="23570945"/>
        <n v="23569340"/>
        <n v="23503674"/>
        <n v="23545029"/>
        <n v="23555563"/>
        <n v="23544190"/>
        <n v="23578756"/>
        <n v="23538914"/>
        <n v="23536981"/>
        <n v="23643612"/>
        <n v="23635346"/>
        <n v="23602899"/>
        <n v="23518502"/>
        <n v="23545298"/>
        <n v="23681588"/>
        <n v="23558031"/>
        <n v="23630771"/>
        <n v="23580679"/>
        <n v="23521122"/>
        <n v="23607530"/>
        <n v="23625004"/>
        <n v="23501390"/>
        <n v="23591771"/>
        <n v="23686037"/>
        <n v="23563708"/>
        <n v="23688909"/>
        <n v="23634419"/>
        <n v="23698407"/>
        <n v="23552303"/>
        <n v="23554960"/>
        <n v="23551669"/>
        <n v="23602592"/>
        <n v="23698874"/>
        <n v="23512829"/>
        <n v="23665210"/>
        <n v="23614752"/>
        <n v="23648989"/>
        <n v="23599332"/>
        <n v="23513165"/>
        <n v="23697900"/>
        <n v="23511179"/>
        <n v="23614522"/>
        <n v="23589906"/>
        <n v="23579559"/>
        <n v="23512527"/>
        <n v="23655570"/>
        <n v="23552203"/>
        <n v="23590970"/>
        <n v="23574855"/>
      </sharedItems>
    </cacheField>
    <cacheField name="Last Name" numFmtId="0">
      <sharedItems/>
    </cacheField>
    <cacheField name="First Name" numFmtId="0">
      <sharedItems/>
    </cacheField>
    <cacheField name="Exam 1" numFmtId="0">
      <sharedItems containsSemiMixedTypes="0" containsString="0" containsNumber="1" containsInteger="1" minValue="30" maxValue="100"/>
    </cacheField>
    <cacheField name="Exam 2" numFmtId="0">
      <sharedItems containsSemiMixedTypes="0" containsString="0" containsNumber="1" containsInteger="1" minValue="30" maxValue="99"/>
    </cacheField>
    <cacheField name="Final Exam" numFmtId="0">
      <sharedItems containsSemiMixedTypes="0" containsString="0" containsNumber="1" containsInteger="1" minValue="31" maxValue="99"/>
    </cacheField>
    <cacheField name="Assignments" numFmtId="0">
      <sharedItems containsSemiMixedTypes="0" containsString="0" containsNumber="1" containsInteger="1" minValue="36" maxValue="96"/>
    </cacheField>
    <cacheField name="Project" numFmtId="0">
      <sharedItems containsSemiMixedTypes="0" containsString="0" containsNumber="1" minValue="36" maxValue="96.5"/>
    </cacheField>
    <cacheField name="Final Grade" numFmtId="2">
      <sharedItems containsSemiMixedTypes="0" containsString="0" containsNumber="1" minValue="36.25" maxValue="96.649999999999991" count="50">
        <n v="47.325000000000003"/>
        <n v="89.412500000000009"/>
        <n v="76.650000000000006"/>
        <n v="76.724999999999994"/>
        <n v="79.050000000000011"/>
        <n v="67.7"/>
        <n v="44.875"/>
        <n v="66.387499999999989"/>
        <n v="39.575000000000003"/>
        <n v="41.487499999999997"/>
        <n v="50.0625"/>
        <n v="83.537499999999994"/>
        <n v="66.699999999999989"/>
        <n v="40.237499999999997"/>
        <n v="44.550000000000004"/>
        <n v="77.125"/>
        <n v="75.337500000000006"/>
        <n v="36.25"/>
        <n v="76.025000000000006"/>
        <n v="38"/>
        <n v="45.6"/>
        <n v="51.637499999999996"/>
        <n v="95.237500000000011"/>
        <n v="74.849999999999994"/>
        <n v="95.387500000000003"/>
        <n v="40.299999999999997"/>
        <n v="87.075000000000003"/>
        <n v="68"/>
        <n v="73.650000000000006"/>
        <n v="87.649999999999991"/>
        <n v="49.6"/>
        <n v="85.724999999999994"/>
        <n v="46.362499999999997"/>
        <n v="41.087500000000006"/>
        <n v="88.362500000000011"/>
        <n v="41.95"/>
        <n v="37.424999999999997"/>
        <n v="96.649999999999991"/>
        <n v="94.674999999999997"/>
        <n v="66.287499999999994"/>
        <n v="74.025000000000006"/>
        <n v="40.174999999999997"/>
        <n v="44.787500000000001"/>
        <n v="65"/>
        <n v="38.075000000000003"/>
        <n v="92.574999999999989"/>
        <n v="80.775000000000006"/>
        <n v="46.587499999999999"/>
        <n v="44.5625"/>
        <n v="46"/>
      </sharedItems>
    </cacheField>
    <cacheField name="Letter Grade" numFmtId="0">
      <sharedItems count="9">
        <s v="F"/>
        <s v="B+"/>
        <s v="C"/>
        <s v="C+"/>
        <s v="D"/>
        <s v="B"/>
        <s v="A"/>
        <s v="A-"/>
        <s v="B-"/>
      </sharedItems>
    </cacheField>
    <cacheField name="Absent Days" numFmtId="0">
      <sharedItems containsSemiMixedTypes="0" containsString="0" containsNumber="1" containsInteger="1" minValue="0" maxValue="15" count="15">
        <n v="12"/>
        <n v="3"/>
        <n v="6"/>
        <n v="7"/>
        <n v="5"/>
        <n v="13"/>
        <n v="14"/>
        <n v="11"/>
        <n v="1"/>
        <n v="4"/>
        <n v="10"/>
        <n v="0"/>
        <n v="15"/>
        <n v="9"/>
        <n v="8"/>
      </sharedItems>
    </cacheField>
    <cacheField name="Academic Probation" numFmtId="0">
      <sharedItems count="2">
        <s v="Yes"/>
        <s v="No"/>
      </sharedItems>
    </cacheField>
    <cacheField name="Honors" numFmtId="0">
      <sharedItems count="2">
        <s v="No"/>
        <s v="Yes"/>
      </sharedItems>
    </cacheField>
  </cacheFields>
  <extLst>
    <ext xmlns:x14="http://schemas.microsoft.com/office/spreadsheetml/2009/9/main" uri="{725AE2AE-9491-48be-B2B4-4EB974FC3084}">
      <x14:pivotCacheDefinition pivotCacheId="10394470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Emilio"/>
    <s v="Potts"/>
    <n v="57"/>
    <n v="49"/>
    <n v="37"/>
    <n v="47"/>
    <n v="47.5"/>
    <n v="47.325000000000003"/>
    <x v="0"/>
    <n v="15"/>
    <s v="Yes"/>
    <s v="No"/>
  </r>
  <r>
    <x v="1"/>
    <s v="Xanthe"/>
    <s v="Weeks"/>
    <n v="88"/>
    <n v="86"/>
    <n v="94"/>
    <n v="89"/>
    <n v="89.25"/>
    <n v="89.412500000000009"/>
    <x v="1"/>
    <n v="5"/>
    <s v="No"/>
    <s v="Yes"/>
  </r>
  <r>
    <x v="2"/>
    <s v="Lisa"/>
    <s v="Cochran"/>
    <n v="76"/>
    <n v="75"/>
    <n v="79"/>
    <n v="76"/>
    <n v="76.5"/>
    <n v="76.650000000000006"/>
    <x v="2"/>
    <n v="5"/>
    <s v="No"/>
    <s v="No"/>
  </r>
  <r>
    <x v="3"/>
    <s v="Billy"/>
    <s v="Nelson"/>
    <n v="70"/>
    <n v="78"/>
    <n v="82"/>
    <n v="76"/>
    <n v="76.5"/>
    <n v="76.724999999999994"/>
    <x v="2"/>
    <n v="2"/>
    <s v="No"/>
    <s v="No"/>
  </r>
  <r>
    <x v="4"/>
    <s v="Conner"/>
    <s v="Garcia"/>
    <n v="77"/>
    <n v="79"/>
    <n v="81"/>
    <n v="79"/>
    <n v="79"/>
    <n v="79.050000000000011"/>
    <x v="3"/>
    <n v="8"/>
    <s v="No"/>
    <s v="No"/>
  </r>
  <r>
    <x v="5"/>
    <s v="Tobias"/>
    <s v="Wallace"/>
    <n v="65"/>
    <n v="66"/>
    <n v="72"/>
    <n v="67"/>
    <n v="67.5"/>
    <n v="67.7"/>
    <x v="4"/>
    <n v="1"/>
    <s v="No"/>
    <s v="No"/>
  </r>
  <r>
    <x v="6"/>
    <s v="Celia"/>
    <s v="Nash"/>
    <n v="53"/>
    <n v="42"/>
    <n v="40"/>
    <n v="45"/>
    <n v="45"/>
    <n v="44.875"/>
    <x v="0"/>
    <n v="11"/>
    <s v="Yes"/>
    <s v="No"/>
  </r>
  <r>
    <x v="7"/>
    <s v="Kiara"/>
    <s v="Monroe"/>
    <n v="64"/>
    <n v="65"/>
    <n v="70"/>
    <n v="66"/>
    <n v="66.25"/>
    <n v="66.387499999999989"/>
    <x v="4"/>
    <n v="7"/>
    <s v="No"/>
    <s v="No"/>
  </r>
  <r>
    <x v="8"/>
    <s v="Jessie"/>
    <s v="Cardenas"/>
    <n v="48"/>
    <n v="32"/>
    <n v="39"/>
    <n v="39"/>
    <n v="39.5"/>
    <n v="39.575000000000003"/>
    <x v="0"/>
    <n v="13"/>
    <s v="Yes"/>
    <s v="No"/>
  </r>
  <r>
    <x v="9"/>
    <s v="Lucas"/>
    <s v="Ashley"/>
    <n v="45"/>
    <n v="30"/>
    <n v="49"/>
    <n v="41"/>
    <n v="41.25"/>
    <n v="41.487499999999997"/>
    <x v="0"/>
    <n v="10"/>
    <s v="Yes"/>
    <s v="No"/>
  </r>
  <r>
    <x v="10"/>
    <s v="Dewi"/>
    <s v="Gray"/>
    <n v="55"/>
    <n v="55"/>
    <n v="41"/>
    <n v="50"/>
    <n v="50.25"/>
    <n v="50.0625"/>
    <x v="0"/>
    <n v="8"/>
    <s v="No"/>
    <s v="No"/>
  </r>
  <r>
    <x v="11"/>
    <s v="Jaydon"/>
    <s v="O'Gallagher"/>
    <n v="77"/>
    <n v="80"/>
    <n v="93"/>
    <n v="83"/>
    <n v="83.25"/>
    <n v="83.537499999999994"/>
    <x v="5"/>
    <n v="0"/>
    <s v="No"/>
    <s v="No"/>
  </r>
  <r>
    <x v="12"/>
    <s v="Nannie"/>
    <s v="Knox"/>
    <n v="60"/>
    <n v="69"/>
    <n v="71"/>
    <n v="66"/>
    <n v="66.5"/>
    <n v="66.699999999999989"/>
    <x v="4"/>
    <n v="8"/>
    <s v="No"/>
    <s v="No"/>
  </r>
  <r>
    <x v="13"/>
    <s v="Inaya"/>
    <s v="Dawson"/>
    <n v="50"/>
    <n v="33"/>
    <n v="38"/>
    <n v="40"/>
    <n v="40.25"/>
    <n v="40.237499999999997"/>
    <x v="0"/>
    <n v="14"/>
    <s v="Yes"/>
    <s v="No"/>
  </r>
  <r>
    <x v="14"/>
    <s v="Elissa"/>
    <s v="Rivas"/>
    <n v="47"/>
    <n v="44"/>
    <n v="43"/>
    <n v="44"/>
    <n v="44.5"/>
    <n v="44.550000000000004"/>
    <x v="0"/>
    <n v="12"/>
    <s v="Yes"/>
    <s v="No"/>
  </r>
  <r>
    <x v="15"/>
    <s v="Hussein"/>
    <s v="Bass"/>
    <n v="71"/>
    <n v="78"/>
    <n v="82"/>
    <n v="77"/>
    <n v="77"/>
    <n v="77.125"/>
    <x v="3"/>
    <n v="9"/>
    <s v="No"/>
    <s v="No"/>
  </r>
  <r>
    <x v="16"/>
    <s v="Kareem"/>
    <s v="Kirby"/>
    <n v="71"/>
    <n v="78"/>
    <n v="77"/>
    <n v="75"/>
    <n v="75.25"/>
    <n v="75.337500000000006"/>
    <x v="2"/>
    <n v="5"/>
    <s v="No"/>
    <s v="No"/>
  </r>
  <r>
    <x v="17"/>
    <s v="Viola"/>
    <s v="Nicholson"/>
    <n v="30"/>
    <n v="32"/>
    <n v="46"/>
    <n v="36"/>
    <n v="36"/>
    <n v="36.25"/>
    <x v="0"/>
    <n v="12"/>
    <s v="Yes"/>
    <s v="No"/>
  </r>
  <r>
    <x v="18"/>
    <s v="Ronald"/>
    <s v="Matthams"/>
    <n v="73"/>
    <n v="78"/>
    <n v="77"/>
    <n v="76"/>
    <n v="76"/>
    <n v="76.025000000000006"/>
    <x v="2"/>
    <n v="9"/>
    <s v="No"/>
    <s v="No"/>
  </r>
  <r>
    <x v="19"/>
    <s v="Damian"/>
    <s v="Henry"/>
    <n v="32"/>
    <n v="44"/>
    <n v="38"/>
    <n v="38"/>
    <n v="38"/>
    <n v="38"/>
    <x v="0"/>
    <n v="15"/>
    <s v="Yes"/>
    <s v="No"/>
  </r>
  <r>
    <x v="20"/>
    <s v="Lucille"/>
    <s v="Perez"/>
    <n v="55"/>
    <n v="36"/>
    <n v="46"/>
    <n v="45"/>
    <n v="45.5"/>
    <n v="45.6"/>
    <x v="0"/>
    <n v="14"/>
    <s v="Yes"/>
    <s v="No"/>
  </r>
  <r>
    <x v="21"/>
    <s v="William"/>
    <s v="Montoya"/>
    <n v="36"/>
    <n v="53"/>
    <n v="65"/>
    <n v="51"/>
    <n v="51.25"/>
    <n v="51.637499999999996"/>
    <x v="0"/>
    <n v="1"/>
    <s v="No"/>
    <s v="No"/>
  </r>
  <r>
    <x v="22"/>
    <s v="Judy"/>
    <s v="Casey"/>
    <n v="94"/>
    <n v="99"/>
    <n v="93"/>
    <n v="95"/>
    <n v="95.25"/>
    <n v="95.237500000000011"/>
    <x v="6"/>
    <n v="0"/>
    <s v="No"/>
    <s v="Yes"/>
  </r>
  <r>
    <x v="23"/>
    <s v="Rex"/>
    <s v="Robles"/>
    <n v="69"/>
    <n v="70"/>
    <n v="85"/>
    <n v="74"/>
    <n v="74.5"/>
    <n v="74.849999999999994"/>
    <x v="2"/>
    <n v="4"/>
    <s v="No"/>
    <s v="No"/>
  </r>
  <r>
    <x v="24"/>
    <s v="Cerys"/>
    <s v="Gould"/>
    <n v="93"/>
    <n v="94"/>
    <n v="99"/>
    <n v="95"/>
    <n v="95.25"/>
    <n v="95.387500000000003"/>
    <x v="6"/>
    <n v="2"/>
    <s v="No"/>
    <s v="Yes"/>
  </r>
  <r>
    <x v="25"/>
    <s v="Ellie"/>
    <s v="Gross"/>
    <n v="31"/>
    <n v="37"/>
    <n v="52"/>
    <n v="40"/>
    <n v="40"/>
    <n v="40.299999999999997"/>
    <x v="0"/>
    <n v="12"/>
    <s v="Yes"/>
    <s v="No"/>
  </r>
  <r>
    <x v="26"/>
    <s v="Lacey"/>
    <s v="Richmond"/>
    <n v="85"/>
    <n v="86"/>
    <n v="90"/>
    <n v="87"/>
    <n v="87"/>
    <n v="87.075000000000003"/>
    <x v="1"/>
    <n v="6"/>
    <s v="No"/>
    <s v="No"/>
  </r>
  <r>
    <x v="27"/>
    <s v="Amina"/>
    <s v="Stein"/>
    <n v="67"/>
    <n v="69"/>
    <n v="68"/>
    <n v="68"/>
    <n v="68"/>
    <n v="68"/>
    <x v="4"/>
    <n v="9"/>
    <s v="No"/>
    <s v="No"/>
  </r>
  <r>
    <x v="28"/>
    <s v="Frazer"/>
    <s v="Padilla"/>
    <n v="70"/>
    <n v="75"/>
    <n v="76"/>
    <n v="73"/>
    <n v="73.5"/>
    <n v="73.650000000000006"/>
    <x v="2"/>
    <n v="6"/>
    <s v="No"/>
    <s v="No"/>
  </r>
  <r>
    <x v="29"/>
    <s v="Thomas"/>
    <s v="Garrison"/>
    <n v="86"/>
    <n v="87"/>
    <n v="90"/>
    <n v="87"/>
    <n v="87.5"/>
    <n v="87.649999999999991"/>
    <x v="1"/>
    <n v="1"/>
    <s v="No"/>
    <s v="Yes"/>
  </r>
  <r>
    <x v="30"/>
    <s v="Daniyal"/>
    <s v="Harmon"/>
    <n v="50"/>
    <n v="49"/>
    <n v="50"/>
    <n v="49"/>
    <n v="49.5"/>
    <n v="49.6"/>
    <x v="0"/>
    <n v="10"/>
    <s v="Yes"/>
    <s v="No"/>
  </r>
  <r>
    <x v="31"/>
    <s v="Saarah"/>
    <s v="Terrell"/>
    <n v="81"/>
    <n v="85"/>
    <n v="91"/>
    <n v="85"/>
    <n v="85.5"/>
    <n v="85.724999999999994"/>
    <x v="5"/>
    <n v="2"/>
    <s v="No"/>
    <s v="No"/>
  </r>
  <r>
    <x v="32"/>
    <s v="Marjorie"/>
    <s v="Stevenson"/>
    <n v="35"/>
    <n v="55"/>
    <n v="49"/>
    <n v="46"/>
    <n v="46.25"/>
    <n v="46.362499999999997"/>
    <x v="0"/>
    <n v="12"/>
    <s v="Yes"/>
    <s v="No"/>
  </r>
  <r>
    <x v="33"/>
    <s v="Cian"/>
    <s v="Hull"/>
    <n v="56"/>
    <n v="35"/>
    <n v="33"/>
    <n v="41"/>
    <n v="41.25"/>
    <n v="41.087500000000006"/>
    <x v="0"/>
    <n v="12"/>
    <s v="Yes"/>
    <s v="No"/>
  </r>
  <r>
    <x v="34"/>
    <s v="Dhruv"/>
    <s v="Doherty"/>
    <n v="85"/>
    <n v="89"/>
    <n v="91"/>
    <n v="88"/>
    <n v="88.25"/>
    <n v="88.362500000000011"/>
    <x v="1"/>
    <n v="4"/>
    <s v="No"/>
    <s v="Yes"/>
  </r>
  <r>
    <x v="35"/>
    <s v="Josie"/>
    <s v="Kirk"/>
    <n v="30"/>
    <n v="56"/>
    <n v="40"/>
    <n v="42"/>
    <n v="42"/>
    <n v="41.95"/>
    <x v="0"/>
    <n v="12"/>
    <s v="Yes"/>
    <s v="No"/>
  </r>
  <r>
    <x v="36"/>
    <s v="Aliza"/>
    <s v="Wolf"/>
    <n v="33"/>
    <n v="49"/>
    <n v="31"/>
    <n v="37"/>
    <n v="37.5"/>
    <n v="37.424999999999997"/>
    <x v="0"/>
    <n v="15"/>
    <s v="Yes"/>
    <s v="No"/>
  </r>
  <r>
    <x v="37"/>
    <s v="Caitlin"/>
    <s v="Cisneros"/>
    <n v="100"/>
    <n v="91"/>
    <n v="99"/>
    <n v="96"/>
    <n v="96.5"/>
    <n v="96.649999999999991"/>
    <x v="6"/>
    <n v="8"/>
    <s v="No"/>
    <s v="No"/>
  </r>
  <r>
    <x v="38"/>
    <s v="Steve"/>
    <s v="Lindsay"/>
    <n v="93"/>
    <n v="93"/>
    <n v="98"/>
    <n v="94"/>
    <n v="94.5"/>
    <n v="94.674999999999997"/>
    <x v="6"/>
    <n v="3"/>
    <s v="No"/>
    <s v="Yes"/>
  </r>
  <r>
    <x v="39"/>
    <s v="Shaun"/>
    <s v="Davis"/>
    <n v="66"/>
    <n v="67"/>
    <n v="66"/>
    <n v="66"/>
    <n v="66.25"/>
    <n v="66.287499999999994"/>
    <x v="4"/>
    <n v="6"/>
    <s v="No"/>
    <s v="No"/>
  </r>
  <r>
    <x v="40"/>
    <s v="Maya"/>
    <s v="Trujillo"/>
    <n v="70"/>
    <n v="77"/>
    <n v="75"/>
    <n v="74"/>
    <n v="74"/>
    <n v="74.025000000000006"/>
    <x v="2"/>
    <n v="9"/>
    <s v="No"/>
    <s v="No"/>
  </r>
  <r>
    <x v="41"/>
    <s v="Eric"/>
    <s v="Garrett"/>
    <n v="38"/>
    <n v="35"/>
    <n v="47"/>
    <n v="40"/>
    <n v="40"/>
    <n v="40.174999999999997"/>
    <x v="0"/>
    <n v="13"/>
    <s v="Yes"/>
    <s v="No"/>
  </r>
  <r>
    <x v="42"/>
    <s v="Kaya"/>
    <s v="Conner"/>
    <n v="30"/>
    <n v="39"/>
    <n v="64"/>
    <n v="44"/>
    <n v="44.25"/>
    <n v="44.787500000000001"/>
    <x v="0"/>
    <n v="14"/>
    <s v="Yes"/>
    <s v="No"/>
  </r>
  <r>
    <x v="43"/>
    <s v="Brendon"/>
    <s v="Gallagher"/>
    <n v="63"/>
    <n v="67"/>
    <n v="65"/>
    <n v="65"/>
    <n v="65"/>
    <n v="65"/>
    <x v="4"/>
    <n v="7"/>
    <s v="No"/>
    <s v="No"/>
  </r>
  <r>
    <x v="44"/>
    <s v="Gary"/>
    <s v="O'Doherty"/>
    <n v="40"/>
    <n v="33"/>
    <n v="41"/>
    <n v="38"/>
    <n v="38"/>
    <n v="38.075000000000003"/>
    <x v="0"/>
    <n v="12"/>
    <s v="Yes"/>
    <s v="No"/>
  </r>
  <r>
    <x v="45"/>
    <s v="Subhan"/>
    <s v="Gonzalez"/>
    <n v="95"/>
    <n v="91"/>
    <n v="92"/>
    <n v="92"/>
    <n v="92.5"/>
    <n v="92.574999999999989"/>
    <x v="7"/>
    <n v="8"/>
    <s v="No"/>
    <s v="No"/>
  </r>
  <r>
    <x v="46"/>
    <s v="Rafael"/>
    <s v="Bowen"/>
    <n v="74"/>
    <n v="80"/>
    <n v="88"/>
    <n v="80"/>
    <n v="80.5"/>
    <n v="80.775000000000006"/>
    <x v="8"/>
    <n v="9"/>
    <s v="No"/>
    <s v="No"/>
  </r>
  <r>
    <x v="47"/>
    <s v="Delores"/>
    <s v="Cook"/>
    <n v="45"/>
    <n v="36"/>
    <n v="58"/>
    <n v="46"/>
    <n v="46.25"/>
    <n v="46.587499999999999"/>
    <x v="0"/>
    <n v="10"/>
    <s v="Yes"/>
    <s v="No"/>
  </r>
  <r>
    <x v="48"/>
    <s v="Ava"/>
    <s v="Singleton"/>
    <n v="45"/>
    <n v="33"/>
    <n v="55"/>
    <n v="44"/>
    <n v="44.25"/>
    <n v="44.5625"/>
    <x v="0"/>
    <n v="13"/>
    <s v="Yes"/>
    <s v="No"/>
  </r>
  <r>
    <x v="49"/>
    <s v="Ayub"/>
    <s v="Richardson"/>
    <n v="41"/>
    <n v="34"/>
    <n v="62"/>
    <n v="45"/>
    <n v="45.5"/>
    <n v="46"/>
    <x v="0"/>
    <n v="10"/>
    <s v="Yes"/>
    <s v="No"/>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Emilio"/>
    <s v="Potts"/>
    <n v="57"/>
    <n v="49"/>
    <n v="37"/>
    <n v="47"/>
    <n v="47.5"/>
    <x v="0"/>
    <x v="0"/>
    <x v="0"/>
    <x v="0"/>
    <x v="0"/>
  </r>
  <r>
    <x v="1"/>
    <s v="Xanthe"/>
    <s v="Weeks"/>
    <n v="88"/>
    <n v="86"/>
    <n v="94"/>
    <n v="89"/>
    <n v="89.25"/>
    <x v="1"/>
    <x v="1"/>
    <x v="1"/>
    <x v="1"/>
    <x v="1"/>
  </r>
  <r>
    <x v="2"/>
    <s v="Lisa"/>
    <s v="Cochran"/>
    <n v="76"/>
    <n v="75"/>
    <n v="79"/>
    <n v="76"/>
    <n v="76.5"/>
    <x v="2"/>
    <x v="2"/>
    <x v="2"/>
    <x v="1"/>
    <x v="0"/>
  </r>
  <r>
    <x v="3"/>
    <s v="Billy"/>
    <s v="Nelson"/>
    <n v="70"/>
    <n v="78"/>
    <n v="82"/>
    <n v="76"/>
    <n v="76.5"/>
    <x v="3"/>
    <x v="2"/>
    <x v="2"/>
    <x v="1"/>
    <x v="0"/>
  </r>
  <r>
    <x v="4"/>
    <s v="Conner"/>
    <s v="Garcia"/>
    <n v="77"/>
    <n v="79"/>
    <n v="81"/>
    <n v="79"/>
    <n v="79"/>
    <x v="4"/>
    <x v="3"/>
    <x v="3"/>
    <x v="1"/>
    <x v="0"/>
  </r>
  <r>
    <x v="5"/>
    <s v="Tobias"/>
    <s v="Wallace"/>
    <n v="65"/>
    <n v="66"/>
    <n v="72"/>
    <n v="67"/>
    <n v="67.5"/>
    <x v="5"/>
    <x v="4"/>
    <x v="4"/>
    <x v="1"/>
    <x v="0"/>
  </r>
  <r>
    <x v="6"/>
    <s v="Celia"/>
    <s v="Nash"/>
    <n v="53"/>
    <n v="42"/>
    <n v="40"/>
    <n v="45"/>
    <n v="45"/>
    <x v="6"/>
    <x v="0"/>
    <x v="5"/>
    <x v="0"/>
    <x v="0"/>
  </r>
  <r>
    <x v="7"/>
    <s v="Kiara"/>
    <s v="Monroe"/>
    <n v="64"/>
    <n v="65"/>
    <n v="70"/>
    <n v="66"/>
    <n v="66.25"/>
    <x v="7"/>
    <x v="4"/>
    <x v="3"/>
    <x v="1"/>
    <x v="0"/>
  </r>
  <r>
    <x v="8"/>
    <s v="Jessie"/>
    <s v="Cardenas"/>
    <n v="48"/>
    <n v="32"/>
    <n v="39"/>
    <n v="39"/>
    <n v="39.5"/>
    <x v="8"/>
    <x v="0"/>
    <x v="6"/>
    <x v="0"/>
    <x v="0"/>
  </r>
  <r>
    <x v="9"/>
    <s v="Lucas"/>
    <s v="Ashley"/>
    <n v="45"/>
    <n v="30"/>
    <n v="49"/>
    <n v="41"/>
    <n v="41.25"/>
    <x v="9"/>
    <x v="0"/>
    <x v="7"/>
    <x v="0"/>
    <x v="0"/>
  </r>
  <r>
    <x v="10"/>
    <s v="Dewi"/>
    <s v="Gray"/>
    <n v="55"/>
    <n v="55"/>
    <n v="41"/>
    <n v="50"/>
    <n v="50.25"/>
    <x v="10"/>
    <x v="0"/>
    <x v="8"/>
    <x v="1"/>
    <x v="0"/>
  </r>
  <r>
    <x v="11"/>
    <s v="Jaydon"/>
    <s v="O'Gallagher"/>
    <n v="77"/>
    <n v="80"/>
    <n v="93"/>
    <n v="83"/>
    <n v="83.25"/>
    <x v="11"/>
    <x v="5"/>
    <x v="8"/>
    <x v="1"/>
    <x v="0"/>
  </r>
  <r>
    <x v="12"/>
    <s v="Nannie"/>
    <s v="Knox"/>
    <n v="60"/>
    <n v="69"/>
    <n v="71"/>
    <n v="66"/>
    <n v="66.5"/>
    <x v="12"/>
    <x v="4"/>
    <x v="9"/>
    <x v="1"/>
    <x v="0"/>
  </r>
  <r>
    <x v="13"/>
    <s v="Inaya"/>
    <s v="Dawson"/>
    <n v="50"/>
    <n v="33"/>
    <n v="38"/>
    <n v="40"/>
    <n v="40.25"/>
    <x v="13"/>
    <x v="0"/>
    <x v="0"/>
    <x v="0"/>
    <x v="0"/>
  </r>
  <r>
    <x v="14"/>
    <s v="Elissa"/>
    <s v="Rivas"/>
    <n v="47"/>
    <n v="44"/>
    <n v="43"/>
    <n v="44"/>
    <n v="44.5"/>
    <x v="14"/>
    <x v="0"/>
    <x v="10"/>
    <x v="0"/>
    <x v="0"/>
  </r>
  <r>
    <x v="15"/>
    <s v="Hussein"/>
    <s v="Bass"/>
    <n v="71"/>
    <n v="78"/>
    <n v="82"/>
    <n v="77"/>
    <n v="77"/>
    <x v="15"/>
    <x v="3"/>
    <x v="11"/>
    <x v="1"/>
    <x v="0"/>
  </r>
  <r>
    <x v="16"/>
    <s v="Kareem"/>
    <s v="Kirby"/>
    <n v="71"/>
    <n v="78"/>
    <n v="77"/>
    <n v="75"/>
    <n v="75.25"/>
    <x v="16"/>
    <x v="2"/>
    <x v="11"/>
    <x v="1"/>
    <x v="0"/>
  </r>
  <r>
    <x v="17"/>
    <s v="Viola"/>
    <s v="Nicholson"/>
    <n v="30"/>
    <n v="32"/>
    <n v="46"/>
    <n v="36"/>
    <n v="36"/>
    <x v="17"/>
    <x v="0"/>
    <x v="6"/>
    <x v="0"/>
    <x v="0"/>
  </r>
  <r>
    <x v="18"/>
    <s v="Ronald"/>
    <s v="Matthams"/>
    <n v="73"/>
    <n v="78"/>
    <n v="77"/>
    <n v="76"/>
    <n v="76"/>
    <x v="18"/>
    <x v="2"/>
    <x v="9"/>
    <x v="1"/>
    <x v="0"/>
  </r>
  <r>
    <x v="19"/>
    <s v="Damian"/>
    <s v="Henry"/>
    <n v="32"/>
    <n v="44"/>
    <n v="38"/>
    <n v="38"/>
    <n v="38"/>
    <x v="19"/>
    <x v="0"/>
    <x v="0"/>
    <x v="0"/>
    <x v="0"/>
  </r>
  <r>
    <x v="20"/>
    <s v="Lucille"/>
    <s v="Perez"/>
    <n v="55"/>
    <n v="36"/>
    <n v="46"/>
    <n v="45"/>
    <n v="45.5"/>
    <x v="20"/>
    <x v="0"/>
    <x v="6"/>
    <x v="0"/>
    <x v="0"/>
  </r>
  <r>
    <x v="21"/>
    <s v="William"/>
    <s v="Montoya"/>
    <n v="36"/>
    <n v="53"/>
    <n v="65"/>
    <n v="51"/>
    <n v="51.25"/>
    <x v="21"/>
    <x v="0"/>
    <x v="2"/>
    <x v="1"/>
    <x v="0"/>
  </r>
  <r>
    <x v="22"/>
    <s v="Judy"/>
    <s v="Casey"/>
    <n v="94"/>
    <n v="99"/>
    <n v="93"/>
    <n v="95"/>
    <n v="95.25"/>
    <x v="22"/>
    <x v="6"/>
    <x v="3"/>
    <x v="1"/>
    <x v="0"/>
  </r>
  <r>
    <x v="23"/>
    <s v="Rex"/>
    <s v="Robles"/>
    <n v="69"/>
    <n v="70"/>
    <n v="85"/>
    <n v="74"/>
    <n v="74.5"/>
    <x v="23"/>
    <x v="2"/>
    <x v="2"/>
    <x v="1"/>
    <x v="0"/>
  </r>
  <r>
    <x v="24"/>
    <s v="Cerys"/>
    <s v="Gould"/>
    <n v="93"/>
    <n v="94"/>
    <n v="99"/>
    <n v="95"/>
    <n v="95.25"/>
    <x v="24"/>
    <x v="6"/>
    <x v="2"/>
    <x v="1"/>
    <x v="0"/>
  </r>
  <r>
    <x v="25"/>
    <s v="Ellie"/>
    <s v="Gross"/>
    <n v="31"/>
    <n v="37"/>
    <n v="52"/>
    <n v="40"/>
    <n v="40"/>
    <x v="25"/>
    <x v="0"/>
    <x v="12"/>
    <x v="0"/>
    <x v="0"/>
  </r>
  <r>
    <x v="26"/>
    <s v="Lacey"/>
    <s v="Richmond"/>
    <n v="85"/>
    <n v="86"/>
    <n v="90"/>
    <n v="87"/>
    <n v="87"/>
    <x v="26"/>
    <x v="1"/>
    <x v="8"/>
    <x v="1"/>
    <x v="1"/>
  </r>
  <r>
    <x v="27"/>
    <s v="Amina"/>
    <s v="Stein"/>
    <n v="67"/>
    <n v="69"/>
    <n v="68"/>
    <n v="68"/>
    <n v="68"/>
    <x v="27"/>
    <x v="4"/>
    <x v="11"/>
    <x v="1"/>
    <x v="0"/>
  </r>
  <r>
    <x v="28"/>
    <s v="Frazer"/>
    <s v="Padilla"/>
    <n v="70"/>
    <n v="75"/>
    <n v="76"/>
    <n v="73"/>
    <n v="73.5"/>
    <x v="28"/>
    <x v="2"/>
    <x v="11"/>
    <x v="1"/>
    <x v="0"/>
  </r>
  <r>
    <x v="29"/>
    <s v="Thomas"/>
    <s v="Garrison"/>
    <n v="86"/>
    <n v="87"/>
    <n v="90"/>
    <n v="87"/>
    <n v="87.5"/>
    <x v="29"/>
    <x v="1"/>
    <x v="13"/>
    <x v="1"/>
    <x v="0"/>
  </r>
  <r>
    <x v="30"/>
    <s v="Daniyal"/>
    <s v="Harmon"/>
    <n v="50"/>
    <n v="49"/>
    <n v="50"/>
    <n v="49"/>
    <n v="49.5"/>
    <x v="30"/>
    <x v="0"/>
    <x v="10"/>
    <x v="0"/>
    <x v="0"/>
  </r>
  <r>
    <x v="31"/>
    <s v="Saarah"/>
    <s v="Terrell"/>
    <n v="81"/>
    <n v="85"/>
    <n v="91"/>
    <n v="85"/>
    <n v="85.5"/>
    <x v="31"/>
    <x v="5"/>
    <x v="9"/>
    <x v="1"/>
    <x v="0"/>
  </r>
  <r>
    <x v="32"/>
    <s v="Marjorie"/>
    <s v="Stevenson"/>
    <n v="35"/>
    <n v="55"/>
    <n v="49"/>
    <n v="46"/>
    <n v="46.25"/>
    <x v="32"/>
    <x v="0"/>
    <x v="5"/>
    <x v="0"/>
    <x v="0"/>
  </r>
  <r>
    <x v="33"/>
    <s v="Cian"/>
    <s v="Hull"/>
    <n v="56"/>
    <n v="35"/>
    <n v="33"/>
    <n v="41"/>
    <n v="41.25"/>
    <x v="33"/>
    <x v="0"/>
    <x v="5"/>
    <x v="0"/>
    <x v="0"/>
  </r>
  <r>
    <x v="34"/>
    <s v="Dhruv"/>
    <s v="Doherty"/>
    <n v="85"/>
    <n v="89"/>
    <n v="91"/>
    <n v="88"/>
    <n v="88.25"/>
    <x v="34"/>
    <x v="1"/>
    <x v="11"/>
    <x v="1"/>
    <x v="1"/>
  </r>
  <r>
    <x v="35"/>
    <s v="Josie"/>
    <s v="Kirk"/>
    <n v="30"/>
    <n v="56"/>
    <n v="40"/>
    <n v="42"/>
    <n v="42"/>
    <x v="35"/>
    <x v="0"/>
    <x v="10"/>
    <x v="0"/>
    <x v="0"/>
  </r>
  <r>
    <x v="36"/>
    <s v="Aliza"/>
    <s v="Wolf"/>
    <n v="33"/>
    <n v="49"/>
    <n v="31"/>
    <n v="37"/>
    <n v="37.5"/>
    <x v="36"/>
    <x v="0"/>
    <x v="5"/>
    <x v="0"/>
    <x v="0"/>
  </r>
  <r>
    <x v="37"/>
    <s v="Caitlin"/>
    <s v="Cisneros"/>
    <n v="100"/>
    <n v="91"/>
    <n v="99"/>
    <n v="96"/>
    <n v="96.5"/>
    <x v="37"/>
    <x v="6"/>
    <x v="1"/>
    <x v="1"/>
    <x v="1"/>
  </r>
  <r>
    <x v="38"/>
    <s v="Steve"/>
    <s v="Lindsay"/>
    <n v="93"/>
    <n v="93"/>
    <n v="98"/>
    <n v="94"/>
    <n v="94.5"/>
    <x v="38"/>
    <x v="6"/>
    <x v="4"/>
    <x v="1"/>
    <x v="1"/>
  </r>
  <r>
    <x v="39"/>
    <s v="Shaun"/>
    <s v="Davis"/>
    <n v="66"/>
    <n v="67"/>
    <n v="66"/>
    <n v="66"/>
    <n v="66.25"/>
    <x v="39"/>
    <x v="4"/>
    <x v="13"/>
    <x v="1"/>
    <x v="0"/>
  </r>
  <r>
    <x v="40"/>
    <s v="Maya"/>
    <s v="Trujillo"/>
    <n v="70"/>
    <n v="77"/>
    <n v="75"/>
    <n v="74"/>
    <n v="74"/>
    <x v="40"/>
    <x v="2"/>
    <x v="4"/>
    <x v="1"/>
    <x v="0"/>
  </r>
  <r>
    <x v="41"/>
    <s v="Eric"/>
    <s v="Garrett"/>
    <n v="38"/>
    <n v="35"/>
    <n v="47"/>
    <n v="40"/>
    <n v="40"/>
    <x v="41"/>
    <x v="0"/>
    <x v="12"/>
    <x v="0"/>
    <x v="0"/>
  </r>
  <r>
    <x v="42"/>
    <s v="Kaya"/>
    <s v="Conner"/>
    <n v="30"/>
    <n v="39"/>
    <n v="64"/>
    <n v="44"/>
    <n v="44.25"/>
    <x v="42"/>
    <x v="0"/>
    <x v="6"/>
    <x v="0"/>
    <x v="0"/>
  </r>
  <r>
    <x v="43"/>
    <s v="Brendon"/>
    <s v="Gallagher"/>
    <n v="63"/>
    <n v="67"/>
    <n v="65"/>
    <n v="65"/>
    <n v="65"/>
    <x v="43"/>
    <x v="4"/>
    <x v="1"/>
    <x v="1"/>
    <x v="0"/>
  </r>
  <r>
    <x v="44"/>
    <s v="Gary"/>
    <s v="O'Doherty"/>
    <n v="40"/>
    <n v="33"/>
    <n v="41"/>
    <n v="38"/>
    <n v="38"/>
    <x v="44"/>
    <x v="0"/>
    <x v="12"/>
    <x v="0"/>
    <x v="0"/>
  </r>
  <r>
    <x v="45"/>
    <s v="Subhan"/>
    <s v="Gonzalez"/>
    <n v="95"/>
    <n v="91"/>
    <n v="92"/>
    <n v="92"/>
    <n v="92.5"/>
    <x v="45"/>
    <x v="7"/>
    <x v="1"/>
    <x v="1"/>
    <x v="1"/>
  </r>
  <r>
    <x v="46"/>
    <s v="Rafael"/>
    <s v="Bowen"/>
    <n v="74"/>
    <n v="80"/>
    <n v="88"/>
    <n v="80"/>
    <n v="80.5"/>
    <x v="46"/>
    <x v="8"/>
    <x v="14"/>
    <x v="1"/>
    <x v="0"/>
  </r>
  <r>
    <x v="47"/>
    <s v="Delores"/>
    <s v="Cook"/>
    <n v="45"/>
    <n v="36"/>
    <n v="58"/>
    <n v="46"/>
    <n v="46.25"/>
    <x v="47"/>
    <x v="0"/>
    <x v="6"/>
    <x v="0"/>
    <x v="0"/>
  </r>
  <r>
    <x v="48"/>
    <s v="Ava"/>
    <s v="Singleton"/>
    <n v="45"/>
    <n v="33"/>
    <n v="55"/>
    <n v="44"/>
    <n v="44.25"/>
    <x v="48"/>
    <x v="0"/>
    <x v="10"/>
    <x v="0"/>
    <x v="0"/>
  </r>
  <r>
    <x v="49"/>
    <s v="Ayub"/>
    <s v="Richardson"/>
    <n v="41"/>
    <n v="34"/>
    <n v="62"/>
    <n v="45"/>
    <n v="45.5"/>
    <x v="49"/>
    <x v="0"/>
    <x v="12"/>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684AF7-0C0D-0B40-A85F-30D22413DA6A}" name="PivotTable2" cacheId="5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rowHeaderCaption="Academic Probation">
  <location ref="A3:B5" firstHeaderRow="1" firstDataRow="1" firstDataCol="1"/>
  <pivotFields count="13">
    <pivotField multipleItemSelectionAllowed="1" showAll="0">
      <items count="51">
        <item h="1" x="22"/>
        <item h="1" x="3"/>
        <item h="1" x="41"/>
        <item h="1" x="45"/>
        <item h="1" x="34"/>
        <item h="1" x="39"/>
        <item h="1" x="13"/>
        <item h="1" x="19"/>
        <item h="1" x="9"/>
        <item h="1" x="8"/>
        <item h="1" x="6"/>
        <item h="1" x="4"/>
        <item h="1" x="14"/>
        <item h="1" x="31"/>
        <item h="1" x="47"/>
        <item h="1" x="29"/>
        <item h="1" x="30"/>
        <item h="1" x="5"/>
        <item h="1" x="16"/>
        <item h="1" x="25"/>
        <item h="1" x="2"/>
        <item h="1" x="1"/>
        <item h="1" x="49"/>
        <item h="1" x="7"/>
        <item h="1" x="44"/>
        <item h="1" x="18"/>
        <item h="1" x="43"/>
        <item h="1" x="48"/>
        <item h="1" x="23"/>
        <item h="1" x="38"/>
        <item h="1" x="32"/>
        <item h="1" x="12"/>
        <item h="1" x="20"/>
        <item h="1" x="42"/>
        <item h="1" x="36"/>
        <item h="1" x="21"/>
        <item h="1" x="17"/>
        <item h="1" x="27"/>
        <item h="1" x="11"/>
        <item h="1" x="10"/>
        <item h="1" x="37"/>
        <item h="1" x="46"/>
        <item h="1" x="35"/>
        <item h="1" x="0"/>
        <item h="1" x="15"/>
        <item h="1" x="24"/>
        <item h="1" x="26"/>
        <item h="1" x="40"/>
        <item h="1" x="28"/>
        <item h="1" x="33"/>
        <item t="default"/>
      </items>
    </pivotField>
    <pivotField showAll="0"/>
    <pivotField showAll="0"/>
    <pivotField showAll="0"/>
    <pivotField showAll="0"/>
    <pivotField showAll="0"/>
    <pivotField showAll="0"/>
    <pivotField showAll="0"/>
    <pivotField numFmtId="2" showAll="0">
      <items count="51">
        <item x="17"/>
        <item x="36"/>
        <item x="19"/>
        <item x="44"/>
        <item x="8"/>
        <item x="41"/>
        <item x="13"/>
        <item x="25"/>
        <item x="33"/>
        <item x="9"/>
        <item x="35"/>
        <item x="14"/>
        <item x="48"/>
        <item x="42"/>
        <item x="6"/>
        <item x="20"/>
        <item x="49"/>
        <item x="32"/>
        <item x="47"/>
        <item x="0"/>
        <item x="30"/>
        <item x="10"/>
        <item x="21"/>
        <item x="43"/>
        <item x="39"/>
        <item x="7"/>
        <item x="12"/>
        <item x="5"/>
        <item x="27"/>
        <item x="28"/>
        <item x="40"/>
        <item x="23"/>
        <item x="16"/>
        <item x="18"/>
        <item x="2"/>
        <item x="3"/>
        <item x="15"/>
        <item x="4"/>
        <item x="46"/>
        <item x="11"/>
        <item x="31"/>
        <item x="26"/>
        <item x="29"/>
        <item x="34"/>
        <item x="1"/>
        <item x="45"/>
        <item x="38"/>
        <item x="22"/>
        <item x="24"/>
        <item x="37"/>
        <item t="default"/>
      </items>
    </pivotField>
    <pivotField showAll="0">
      <items count="10">
        <item x="6"/>
        <item x="7"/>
        <item x="5"/>
        <item x="8"/>
        <item x="1"/>
        <item x="2"/>
        <item x="3"/>
        <item x="4"/>
        <item x="0"/>
        <item t="default"/>
      </items>
    </pivotField>
    <pivotField showAll="0">
      <items count="16">
        <item x="11"/>
        <item x="8"/>
        <item x="1"/>
        <item x="9"/>
        <item x="4"/>
        <item x="2"/>
        <item x="3"/>
        <item x="14"/>
        <item x="13"/>
        <item x="10"/>
        <item x="7"/>
        <item x="0"/>
        <item x="5"/>
        <item x="6"/>
        <item x="12"/>
        <item t="default"/>
      </items>
    </pivotField>
    <pivotField axis="axisRow" dataField="1" showAll="0">
      <items count="3">
        <item x="1"/>
        <item x="0"/>
        <item t="default"/>
      </items>
    </pivotField>
    <pivotField showAll="0">
      <items count="3">
        <item x="0"/>
        <item x="1"/>
        <item t="default"/>
      </items>
    </pivotField>
  </pivotFields>
  <rowFields count="1">
    <field x="11"/>
  </rowFields>
  <rowItems count="2">
    <i>
      <x/>
    </i>
    <i>
      <x v="1"/>
    </i>
  </rowItems>
  <colItems count="1">
    <i/>
  </colItems>
  <dataFields count="1">
    <dataField name="Count of Academic Probation" fld="11" subtotal="count" baseField="0" baseItem="0"/>
  </dataFields>
  <formats count="12">
    <format dxfId="80">
      <pivotArea type="all" dataOnly="0" outline="0" fieldPosition="0"/>
    </format>
    <format dxfId="79">
      <pivotArea outline="0" collapsedLevelsAreSubtotals="1" fieldPosition="0"/>
    </format>
    <format dxfId="78">
      <pivotArea field="11" type="button" dataOnly="0" labelOnly="1" outline="0" axis="axisRow" fieldPosition="0"/>
    </format>
    <format dxfId="77">
      <pivotArea dataOnly="0" labelOnly="1" fieldPosition="0">
        <references count="1">
          <reference field="11" count="0"/>
        </references>
      </pivotArea>
    </format>
    <format dxfId="76">
      <pivotArea dataOnly="0" labelOnly="1" outline="0" axis="axisValues" fieldPosition="0"/>
    </format>
    <format dxfId="75">
      <pivotArea type="all" dataOnly="0" outline="0" fieldPosition="0"/>
    </format>
    <format dxfId="74">
      <pivotArea outline="0" collapsedLevelsAreSubtotals="1" fieldPosition="0"/>
    </format>
    <format dxfId="73">
      <pivotArea field="11" type="button" dataOnly="0" labelOnly="1" outline="0" axis="axisRow" fieldPosition="0"/>
    </format>
    <format dxfId="72">
      <pivotArea dataOnly="0" labelOnly="1" fieldPosition="0">
        <references count="1">
          <reference field="11" count="0"/>
        </references>
      </pivotArea>
    </format>
    <format dxfId="71">
      <pivotArea dataOnly="0" labelOnly="1" outline="0" axis="axisValues" fieldPosition="0"/>
    </format>
    <format dxfId="70">
      <pivotArea field="11" type="button" dataOnly="0" labelOnly="1" outline="0" axis="axisRow" fieldPosition="0"/>
    </format>
    <format dxfId="69">
      <pivotArea dataOnly="0" labelOnly="1" outline="0" axis="axisValues" fieldPosition="0"/>
    </format>
  </formats>
  <chartFormats count="3">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1" count="1" selected="0">
            <x v="0"/>
          </reference>
        </references>
      </pivotArea>
    </chartFormat>
    <chartFormat chart="2" format="2">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773563-0138-B849-83FF-3B7B8CDA81B7}" name="PivotTable4" cacheId="5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 rowHeaderCaption="Honors">
  <location ref="M3:N4" firstHeaderRow="1" firstDataRow="1" firstDataCol="1"/>
  <pivotFields count="13">
    <pivotField showAll="0"/>
    <pivotField showAll="0"/>
    <pivotField showAll="0"/>
    <pivotField showAll="0"/>
    <pivotField showAll="0"/>
    <pivotField showAll="0"/>
    <pivotField showAll="0"/>
    <pivotField showAll="0"/>
    <pivotField numFmtId="2" showAll="0"/>
    <pivotField showAll="0"/>
    <pivotField showAll="0"/>
    <pivotField showAll="0"/>
    <pivotField axis="axisRow" dataField="1" showAll="0">
      <items count="3">
        <item h="1" x="0"/>
        <item x="1"/>
        <item t="default"/>
      </items>
    </pivotField>
  </pivotFields>
  <rowFields count="1">
    <field x="12"/>
  </rowFields>
  <rowItems count="1">
    <i>
      <x v="1"/>
    </i>
  </rowItems>
  <colItems count="1">
    <i/>
  </colItems>
  <dataFields count="1">
    <dataField name="Count of Honors" fld="12" subtotal="count" baseField="0" baseItem="0"/>
  </dataFields>
  <formats count="12">
    <format dxfId="92">
      <pivotArea type="all" dataOnly="0" outline="0" fieldPosition="0"/>
    </format>
    <format dxfId="91">
      <pivotArea outline="0" collapsedLevelsAreSubtotals="1" fieldPosition="0"/>
    </format>
    <format dxfId="90">
      <pivotArea field="12" type="button" dataOnly="0" labelOnly="1" outline="0" axis="axisRow" fieldPosition="0"/>
    </format>
    <format dxfId="89">
      <pivotArea dataOnly="0" labelOnly="1" fieldPosition="0">
        <references count="1">
          <reference field="12" count="0"/>
        </references>
      </pivotArea>
    </format>
    <format dxfId="88">
      <pivotArea dataOnly="0" labelOnly="1" outline="0" axis="axisValues" fieldPosition="0"/>
    </format>
    <format dxfId="87">
      <pivotArea type="all" dataOnly="0" outline="0" fieldPosition="0"/>
    </format>
    <format dxfId="86">
      <pivotArea outline="0" collapsedLevelsAreSubtotals="1" fieldPosition="0"/>
    </format>
    <format dxfId="85">
      <pivotArea field="12" type="button" dataOnly="0" labelOnly="1" outline="0" axis="axisRow" fieldPosition="0"/>
    </format>
    <format dxfId="84">
      <pivotArea dataOnly="0" labelOnly="1" fieldPosition="0">
        <references count="1">
          <reference field="12" count="0"/>
        </references>
      </pivotArea>
    </format>
    <format dxfId="83">
      <pivotArea dataOnly="0" labelOnly="1" outline="0" axis="axisValues" fieldPosition="0"/>
    </format>
    <format dxfId="82">
      <pivotArea field="12" type="button" dataOnly="0" labelOnly="1" outline="0" axis="axisRow" fieldPosition="0"/>
    </format>
    <format dxfId="81">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49BF5ED-F92C-4165-9CF9-39DE8CFB0FDC}" name="PivotTable3" cacheId="5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5">
  <location ref="A1:H11" firstHeaderRow="0" firstDataRow="1" firstDataCol="1"/>
  <pivotFields count="13">
    <pivotField dataField="1" compact="0" outline="0" showAll="0">
      <items count="51">
        <item x="22"/>
        <item x="3"/>
        <item x="41"/>
        <item x="45"/>
        <item x="34"/>
        <item x="39"/>
        <item x="13"/>
        <item x="19"/>
        <item x="9"/>
        <item x="8"/>
        <item x="6"/>
        <item x="4"/>
        <item x="14"/>
        <item x="31"/>
        <item x="47"/>
        <item x="29"/>
        <item x="30"/>
        <item x="5"/>
        <item x="16"/>
        <item x="25"/>
        <item x="2"/>
        <item x="1"/>
        <item x="49"/>
        <item x="7"/>
        <item x="44"/>
        <item x="18"/>
        <item x="43"/>
        <item x="48"/>
        <item x="23"/>
        <item x="38"/>
        <item x="32"/>
        <item x="12"/>
        <item x="20"/>
        <item x="42"/>
        <item x="36"/>
        <item x="21"/>
        <item x="17"/>
        <item x="27"/>
        <item x="11"/>
        <item x="10"/>
        <item x="37"/>
        <item x="46"/>
        <item x="35"/>
        <item x="0"/>
        <item x="15"/>
        <item x="24"/>
        <item x="26"/>
        <item x="40"/>
        <item x="28"/>
        <item x="33"/>
        <item t="default"/>
      </items>
    </pivotField>
    <pivotField compact="0" outline="0" showAll="0"/>
    <pivotField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compact="0" numFmtId="2" outline="0" showAll="0"/>
    <pivotField axis="axisRow" compact="0" outline="0" showAll="0">
      <items count="10">
        <item x="6"/>
        <item x="7"/>
        <item x="5"/>
        <item x="8"/>
        <item x="1"/>
        <item x="2"/>
        <item x="3"/>
        <item x="4"/>
        <item x="0"/>
        <item t="default"/>
      </items>
    </pivotField>
    <pivotField dataField="1" compact="0" outline="0" showAll="0"/>
    <pivotField compact="0" outline="0" showAll="0"/>
    <pivotField compact="0" outline="0" showAll="0"/>
  </pivotFields>
  <rowFields count="1">
    <field x="9"/>
  </rowFields>
  <rowItems count="10">
    <i>
      <x/>
    </i>
    <i>
      <x v="1"/>
    </i>
    <i>
      <x v="2"/>
    </i>
    <i>
      <x v="3"/>
    </i>
    <i>
      <x v="4"/>
    </i>
    <i>
      <x v="5"/>
    </i>
    <i>
      <x v="6"/>
    </i>
    <i>
      <x v="7"/>
    </i>
    <i>
      <x v="8"/>
    </i>
    <i t="grand">
      <x/>
    </i>
  </rowItems>
  <colFields count="1">
    <field x="-2"/>
  </colFields>
  <colItems count="7">
    <i>
      <x/>
    </i>
    <i i="1">
      <x v="1"/>
    </i>
    <i i="2">
      <x v="2"/>
    </i>
    <i i="3">
      <x v="3"/>
    </i>
    <i i="4">
      <x v="4"/>
    </i>
    <i i="5">
      <x v="5"/>
    </i>
    <i i="6">
      <x v="6"/>
    </i>
  </colItems>
  <dataFields count="7">
    <dataField name="Count of StudentID" fld="0" subtotal="count" baseField="0" baseItem="0"/>
    <dataField name="Average of Exam 1" fld="3" subtotal="average" baseField="0" baseItem="0"/>
    <dataField name="Average of Exam 2" fld="4" subtotal="average" baseField="0" baseItem="0"/>
    <dataField name="Average of Final Exam" fld="5" subtotal="average" baseField="0" baseItem="0"/>
    <dataField name="Average of Assignments" fld="6" subtotal="average" baseField="0" baseItem="0"/>
    <dataField name="Average of Project" fld="7" subtotal="average" baseField="0" baseItem="0"/>
    <dataField name="Average of Absent Days" fld="10" subtotal="average" baseField="0" baseItem="0"/>
  </dataFields>
  <formats count="24">
    <format dxfId="46">
      <pivotArea outline="0" fieldPosition="0">
        <references count="1">
          <reference field="9" count="0" selected="0"/>
        </references>
      </pivotArea>
    </format>
    <format dxfId="45">
      <pivotArea outline="0" fieldPosition="0">
        <references count="2">
          <reference field="4294967294" count="1" selected="0">
            <x v="0"/>
          </reference>
          <reference field="9" count="0" selected="0"/>
        </references>
      </pivotArea>
    </format>
    <format dxfId="44">
      <pivotArea field="9" type="button" dataOnly="0" labelOnly="1" outline="0" axis="axisRow" fieldPosition="0"/>
    </format>
    <format dxfId="43">
      <pivotArea dataOnly="0" labelOnly="1" outline="0" fieldPosition="0">
        <references count="1">
          <reference field="4294967294" count="7">
            <x v="0"/>
            <x v="1"/>
            <x v="2"/>
            <x v="3"/>
            <x v="4"/>
            <x v="5"/>
            <x v="6"/>
          </reference>
        </references>
      </pivotArea>
    </format>
    <format dxfId="42">
      <pivotArea field="9" type="button" dataOnly="0" labelOnly="1" outline="0" axis="axisRow" fieldPosition="0"/>
    </format>
    <format dxfId="41">
      <pivotArea dataOnly="0" labelOnly="1" outline="0" fieldPosition="0">
        <references count="1">
          <reference field="4294967294" count="7">
            <x v="0"/>
            <x v="1"/>
            <x v="2"/>
            <x v="3"/>
            <x v="4"/>
            <x v="5"/>
            <x v="6"/>
          </reference>
        </references>
      </pivotArea>
    </format>
    <format dxfId="40">
      <pivotArea field="9" type="button" dataOnly="0" labelOnly="1" outline="0" axis="axisRow" fieldPosition="0"/>
    </format>
    <format dxfId="39">
      <pivotArea dataOnly="0" labelOnly="1" outline="0" fieldPosition="0">
        <references count="1">
          <reference field="4294967294" count="7">
            <x v="0"/>
            <x v="1"/>
            <x v="2"/>
            <x v="3"/>
            <x v="4"/>
            <x v="5"/>
            <x v="6"/>
          </reference>
        </references>
      </pivotArea>
    </format>
    <format dxfId="38">
      <pivotArea grandRow="1" outline="0" collapsedLevelsAreSubtotals="1" fieldPosition="0"/>
    </format>
    <format dxfId="37">
      <pivotArea dataOnly="0" labelOnly="1" grandRow="1" outline="0" fieldPosition="0"/>
    </format>
    <format dxfId="36">
      <pivotArea type="all" dataOnly="0" outline="0" fieldPosition="0"/>
    </format>
    <format dxfId="35">
      <pivotArea outline="0" collapsedLevelsAreSubtotals="1" fieldPosition="0"/>
    </format>
    <format dxfId="34">
      <pivotArea field="9" type="button" dataOnly="0" labelOnly="1" outline="0" axis="axisRow" fieldPosition="0"/>
    </format>
    <format dxfId="33">
      <pivotArea dataOnly="0" labelOnly="1" outline="0" fieldPosition="0">
        <references count="1">
          <reference field="9" count="0"/>
        </references>
      </pivotArea>
    </format>
    <format dxfId="32">
      <pivotArea dataOnly="0" labelOnly="1" grandRow="1" outline="0" fieldPosition="0"/>
    </format>
    <format dxfId="31">
      <pivotArea dataOnly="0" labelOnly="1" outline="0" fieldPosition="0">
        <references count="1">
          <reference field="4294967294" count="7">
            <x v="0"/>
            <x v="1"/>
            <x v="2"/>
            <x v="3"/>
            <x v="4"/>
            <x v="5"/>
            <x v="6"/>
          </reference>
        </references>
      </pivotArea>
    </format>
    <format dxfId="30">
      <pivotArea type="all" dataOnly="0" outline="0" fieldPosition="0"/>
    </format>
    <format dxfId="29">
      <pivotArea outline="0" collapsedLevelsAreSubtotals="1" fieldPosition="0"/>
    </format>
    <format dxfId="28">
      <pivotArea field="9" type="button" dataOnly="0" labelOnly="1" outline="0" axis="axisRow" fieldPosition="0"/>
    </format>
    <format dxfId="27">
      <pivotArea dataOnly="0" labelOnly="1" outline="0" fieldPosition="0">
        <references count="1">
          <reference field="9" count="0"/>
        </references>
      </pivotArea>
    </format>
    <format dxfId="26">
      <pivotArea dataOnly="0" labelOnly="1" grandRow="1" outline="0" fieldPosition="0"/>
    </format>
    <format dxfId="25">
      <pivotArea dataOnly="0" labelOnly="1" outline="0" fieldPosition="0">
        <references count="1">
          <reference field="4294967294" count="7">
            <x v="0"/>
            <x v="1"/>
            <x v="2"/>
            <x v="3"/>
            <x v="4"/>
            <x v="5"/>
            <x v="6"/>
          </reference>
        </references>
      </pivotArea>
    </format>
    <format dxfId="24">
      <pivotArea field="9" type="button" dataOnly="0" labelOnly="1" outline="0" axis="axisRow" fieldPosition="0"/>
    </format>
    <format dxfId="23">
      <pivotArea dataOnly="0" labelOnly="1" outline="0" fieldPosition="0">
        <references count="1">
          <reference field="4294967294" count="7">
            <x v="0"/>
            <x v="1"/>
            <x v="2"/>
            <x v="3"/>
            <x v="4"/>
            <x v="5"/>
            <x v="6"/>
          </reference>
        </references>
      </pivotArea>
    </format>
  </formats>
  <chartFormats count="3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series="1">
      <pivotArea type="data" outline="0" fieldPosition="0">
        <references count="1">
          <reference field="4294967294" count="1" selected="0">
            <x v="6"/>
          </reference>
        </references>
      </pivotArea>
    </chartFormat>
    <chartFormat chart="1" format="7" series="1">
      <pivotArea type="data" outline="0" fieldPosition="0">
        <references count="1">
          <reference field="4294967294" count="1" selected="0">
            <x v="0"/>
          </reference>
        </references>
      </pivotArea>
    </chartFormat>
    <chartFormat chart="1" format="8" series="1">
      <pivotArea type="data" outline="0" fieldPosition="0">
        <references count="1">
          <reference field="4294967294" count="1" selected="0">
            <x v="1"/>
          </reference>
        </references>
      </pivotArea>
    </chartFormat>
    <chartFormat chart="1" format="9" series="1">
      <pivotArea type="data" outline="0" fieldPosition="0">
        <references count="1">
          <reference field="4294967294" count="1" selected="0">
            <x v="2"/>
          </reference>
        </references>
      </pivotArea>
    </chartFormat>
    <chartFormat chart="1" format="10" series="1">
      <pivotArea type="data" outline="0" fieldPosition="0">
        <references count="1">
          <reference field="4294967294" count="1" selected="0">
            <x v="3"/>
          </reference>
        </references>
      </pivotArea>
    </chartFormat>
    <chartFormat chart="1" format="11" series="1">
      <pivotArea type="data" outline="0" fieldPosition="0">
        <references count="1">
          <reference field="4294967294" count="1" selected="0">
            <x v="4"/>
          </reference>
        </references>
      </pivotArea>
    </chartFormat>
    <chartFormat chart="1" format="12" series="1">
      <pivotArea type="data" outline="0" fieldPosition="0">
        <references count="1">
          <reference field="4294967294" count="1" selected="0">
            <x v="5"/>
          </reference>
        </references>
      </pivotArea>
    </chartFormat>
    <chartFormat chart="1" format="13" series="1">
      <pivotArea type="data" outline="0" fieldPosition="0">
        <references count="1">
          <reference field="4294967294" count="1" selected="0">
            <x v="6"/>
          </reference>
        </references>
      </pivotArea>
    </chartFormat>
    <chartFormat chart="2" format="14" series="1">
      <pivotArea type="data" outline="0" fieldPosition="0">
        <references count="1">
          <reference field="4294967294" count="1" selected="0">
            <x v="0"/>
          </reference>
        </references>
      </pivotArea>
    </chartFormat>
    <chartFormat chart="2" format="15" series="1">
      <pivotArea type="data" outline="0" fieldPosition="0">
        <references count="1">
          <reference field="4294967294" count="1" selected="0">
            <x v="1"/>
          </reference>
        </references>
      </pivotArea>
    </chartFormat>
    <chartFormat chart="2" format="16" series="1">
      <pivotArea type="data" outline="0" fieldPosition="0">
        <references count="1">
          <reference field="4294967294" count="1" selected="0">
            <x v="2"/>
          </reference>
        </references>
      </pivotArea>
    </chartFormat>
    <chartFormat chart="2" format="17" series="1">
      <pivotArea type="data" outline="0" fieldPosition="0">
        <references count="1">
          <reference field="4294967294" count="1" selected="0">
            <x v="3"/>
          </reference>
        </references>
      </pivotArea>
    </chartFormat>
    <chartFormat chart="2" format="18" series="1">
      <pivotArea type="data" outline="0" fieldPosition="0">
        <references count="1">
          <reference field="4294967294" count="1" selected="0">
            <x v="4"/>
          </reference>
        </references>
      </pivotArea>
    </chartFormat>
    <chartFormat chart="2" format="19" series="1">
      <pivotArea type="data" outline="0" fieldPosition="0">
        <references count="1">
          <reference field="4294967294" count="1" selected="0">
            <x v="5"/>
          </reference>
        </references>
      </pivotArea>
    </chartFormat>
    <chartFormat chart="2" format="20" series="1">
      <pivotArea type="data" outline="0" fieldPosition="0">
        <references count="1">
          <reference field="4294967294" count="1" selected="0">
            <x v="6"/>
          </reference>
        </references>
      </pivotArea>
    </chartFormat>
    <chartFormat chart="3" format="21" series="1">
      <pivotArea type="data" outline="0" fieldPosition="0">
        <references count="1">
          <reference field="4294967294" count="1" selected="0">
            <x v="0"/>
          </reference>
        </references>
      </pivotArea>
    </chartFormat>
    <chartFormat chart="3" format="22" series="1">
      <pivotArea type="data" outline="0" fieldPosition="0">
        <references count="1">
          <reference field="4294967294" count="1" selected="0">
            <x v="1"/>
          </reference>
        </references>
      </pivotArea>
    </chartFormat>
    <chartFormat chart="3" format="23" series="1">
      <pivotArea type="data" outline="0" fieldPosition="0">
        <references count="1">
          <reference field="4294967294" count="1" selected="0">
            <x v="2"/>
          </reference>
        </references>
      </pivotArea>
    </chartFormat>
    <chartFormat chart="3" format="24" series="1">
      <pivotArea type="data" outline="0" fieldPosition="0">
        <references count="1">
          <reference field="4294967294" count="1" selected="0">
            <x v="3"/>
          </reference>
        </references>
      </pivotArea>
    </chartFormat>
    <chartFormat chart="3" format="25" series="1">
      <pivotArea type="data" outline="0" fieldPosition="0">
        <references count="1">
          <reference field="4294967294" count="1" selected="0">
            <x v="4"/>
          </reference>
        </references>
      </pivotArea>
    </chartFormat>
    <chartFormat chart="3" format="26" series="1">
      <pivotArea type="data" outline="0" fieldPosition="0">
        <references count="1">
          <reference field="4294967294" count="1" selected="0">
            <x v="5"/>
          </reference>
        </references>
      </pivotArea>
    </chartFormat>
    <chartFormat chart="3" format="27" series="1">
      <pivotArea type="data" outline="0" fieldPosition="0">
        <references count="1">
          <reference field="4294967294" count="1" selected="0">
            <x v="6"/>
          </reference>
        </references>
      </pivotArea>
    </chartFormat>
    <chartFormat chart="4" format="28" series="1">
      <pivotArea type="data" outline="0" fieldPosition="0">
        <references count="1">
          <reference field="4294967294" count="1" selected="0">
            <x v="0"/>
          </reference>
        </references>
      </pivotArea>
    </chartFormat>
    <chartFormat chart="4" format="29" series="1">
      <pivotArea type="data" outline="0" fieldPosition="0">
        <references count="1">
          <reference field="4294967294" count="1" selected="0">
            <x v="1"/>
          </reference>
        </references>
      </pivotArea>
    </chartFormat>
    <chartFormat chart="4" format="30" series="1">
      <pivotArea type="data" outline="0" fieldPosition="0">
        <references count="1">
          <reference field="4294967294" count="1" selected="0">
            <x v="2"/>
          </reference>
        </references>
      </pivotArea>
    </chartFormat>
    <chartFormat chart="4" format="31" series="1">
      <pivotArea type="data" outline="0" fieldPosition="0">
        <references count="1">
          <reference field="4294967294" count="1" selected="0">
            <x v="3"/>
          </reference>
        </references>
      </pivotArea>
    </chartFormat>
    <chartFormat chart="4" format="32" series="1">
      <pivotArea type="data" outline="0" fieldPosition="0">
        <references count="1">
          <reference field="4294967294" count="1" selected="0">
            <x v="4"/>
          </reference>
        </references>
      </pivotArea>
    </chartFormat>
    <chartFormat chart="4" format="33" series="1">
      <pivotArea type="data" outline="0" fieldPosition="0">
        <references count="1">
          <reference field="4294967294" count="1" selected="0">
            <x v="5"/>
          </reference>
        </references>
      </pivotArea>
    </chartFormat>
    <chartFormat chart="4" format="34" series="1">
      <pivotArea type="data" outline="0" fieldPosition="0">
        <references count="1">
          <reference field="429496729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nors" xr10:uid="{4088FDFC-41E5-BA4A-9536-DDDACDC3F94C}" sourceName="Honors">
  <pivotTables>
    <pivotTable tabId="18" name="PivotTable4"/>
  </pivotTables>
  <data>
    <tabular pivotCacheId="1039447060">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onors" xr10:uid="{41013323-1FAD-184A-936B-7ADA6134A73F}" cache="Slicer_Honors" caption="Honors"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5F20EA1-7760-4EED-A50C-37FEE3C7DE6B}" name="Table1" displayName="Table1" ref="B5:F55" totalsRowShown="0" headerRowDxfId="60" dataDxfId="58" headerRowBorderDxfId="59" tableBorderDxfId="57" totalsRowBorderDxfId="56">
  <autoFilter ref="B5:F55" xr:uid="{D5F20EA1-7760-4EED-A50C-37FEE3C7DE6B}"/>
  <sortState xmlns:xlrd2="http://schemas.microsoft.com/office/spreadsheetml/2017/richdata2" ref="B6:F55">
    <sortCondition ref="D5:D55"/>
  </sortState>
  <tableColumns count="5">
    <tableColumn id="1" xr3:uid="{817A44C5-7D60-4FA1-A427-3A3584674EDE}" name="Student ID" dataDxfId="55"/>
    <tableColumn id="2" xr3:uid="{B3F580DD-F430-4CC1-A678-ECA0F5A4C6E1}" name="First Name" dataDxfId="54"/>
    <tableColumn id="3" xr3:uid="{7814080F-71A8-43CC-9366-66848478C31D}" name="Last Name" dataDxfId="53"/>
    <tableColumn id="4" xr3:uid="{509C19FA-1888-4614-BFED-164B8F6342DE}" name="Behavior Score" dataDxfId="52"/>
    <tableColumn id="5" xr3:uid="{BA0BE130-F674-4F72-ACF1-2ED32F3B4F46}" name="Evaluation" dataDxfId="51">
      <calculatedColumnFormula>IF(E6=1,"Unsatisfactory",IF(E6=2,"Basic",IF(E6=3,"Proficient",IF(E6=4,"Advanced","0"))))</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E853A75-D3FD-415B-A059-3F27BF365FFB}" name="Table4" displayName="Table4" ref="A1:M51" totalsRowShown="0" headerRowDxfId="17" dataDxfId="15" headerRowBorderDxfId="16" tableBorderDxfId="14" totalsRowBorderDxfId="13">
  <autoFilter ref="A1:M51" xr:uid="{5E853A75-D3FD-415B-A059-3F27BF365FFB}"/>
  <tableColumns count="13">
    <tableColumn id="1" xr3:uid="{7EEC52D3-61BE-4CBA-A2BA-D5B53CCA8402}" name="StudentID" dataDxfId="12"/>
    <tableColumn id="2" xr3:uid="{AB8C358C-0626-44BD-9E44-921C08B9694F}" name="Last Name" dataDxfId="11"/>
    <tableColumn id="3" xr3:uid="{EEFE4A5C-F16C-4E5B-ACED-0BB5A5336612}" name="First Name" dataDxfId="10"/>
    <tableColumn id="4" xr3:uid="{88F1BD71-C866-4F3B-9EBF-5C6BDA40500A}" name="Exam 1" dataDxfId="9"/>
    <tableColumn id="5" xr3:uid="{63466121-48DB-457F-861C-48DDB7EEDE45}" name="Exam 2" dataDxfId="8"/>
    <tableColumn id="6" xr3:uid="{B5DC6989-CA8E-4318-9F64-DC0F7293F608}" name="Final Exam" dataDxfId="7"/>
    <tableColumn id="7" xr3:uid="{83879483-B87B-4668-B3C8-CC5C9534AC21}" name="Assignments" dataDxfId="6"/>
    <tableColumn id="8" xr3:uid="{6E82A1BD-9E18-4CAF-B2AE-C4D9F5B322F0}" name="Project" dataDxfId="5"/>
    <tableColumn id="9" xr3:uid="{EDF4F335-040D-422D-BAA5-5AB4571D7470}" name="Final Grade" dataDxfId="4">
      <calculatedColumnFormula>(22.5%*D2)+(22.5%*E2)+(25%*F2)+(5%*G2)+(25%*H2)</calculatedColumnFormula>
    </tableColumn>
    <tableColumn id="10" xr3:uid="{3DF5C095-1374-44B7-9792-4B694E573E60}" name="Letter Grade" dataDxfId="3">
      <calculatedColumnFormula>IF(I2&gt;=93,"A",IF(I2&gt;=90,"A-",IF(I2&gt;=87,"B+",IF(I2&gt;=83,"B",IF(I2&gt;=80,"B-",IF(I2&gt;=77,"C+",IF(I2&gt;=73,"C",IF(I2&gt;=70,"C-",IF(I2&gt;=60,"D",IF(I2&lt;60,"F"))))))))))</calculatedColumnFormula>
    </tableColumn>
    <tableColumn id="11" xr3:uid="{B898C2A7-A1D4-4B54-9ED6-20596872ADF7}" name="Absent Days" dataDxfId="2">
      <calculatedColumnFormula>IF(I2&lt;50,RANDBETWEEN(10,15),RANDBETWEEN(0,9))</calculatedColumnFormula>
    </tableColumn>
    <tableColumn id="12" xr3:uid="{2AE49829-C59C-4DF5-9221-7A2D7C132E01}" name="Academic Probation" dataDxfId="1">
      <calculatedColumnFormula>IF(AND(I2&lt;=60,K2&gt;=10),"Yes","No")</calculatedColumnFormula>
    </tableColumn>
    <tableColumn id="13" xr3:uid="{B0A98615-C6FF-434E-B2B8-142D6D0D7DD9}" name="Honors" dataDxfId="0">
      <calculatedColumnFormula>IF(AND(I2&gt;=87,K2&lt;=5),"Yes","No")</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image" Target="../media/image7.png"/></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hyperlink" Target="https://cuny-my.sharepoint.com/:x:/g/personal/laura_mitznahuatl48_qmail_cuny_edu/EYjeOSvV-CBGp-kHBEn1-30Bjj69b-pGx9aUIDY-krzwyQ?e=02f1dP&amp;nav=MTVfezZGMDg5Rjk0LTE3RTYtQjY0RS1CQjE4LUNBM0Q2NkU1RTNEN30"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cuny-my.sharepoint.com/:x:/g/personal/laura_mitznahuatl48_qmail_cuny_edu/EYjeOSvV-CBGp-kHBEn1-30Bjj69b-pGx9aUIDY-krzwyQ?e=BBqdGf&amp;nav=MTVfezk3MjBBRDQ4LUQ0OEYtNzc0MC04MTA0LTBGRjhDNDM1OTUwMH0"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cuny-my.sharepoint.com/:x:/g/personal/laura_mitznahuatl48_qmail_cuny_edu/EYjeOSvV-CBGp-kHBEn1-30Bjj69b-pGx9aUIDY-krzwyQ?e=hd4btP&amp;nav=MTVfezU1QjdCQTgxLTFEMDEtREM0Ri1CRjE2LUM5MkU0QjZGMjdDM30"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44489-15AB-2B4D-9EAA-7C629CCC5732}">
  <sheetPr codeName="Sheet1"/>
  <dimension ref="M12:AB47"/>
  <sheetViews>
    <sheetView tabSelected="1" topLeftCell="A30" zoomScale="110" zoomScaleNormal="110" workbookViewId="0">
      <selection activeCell="AE39" sqref="AE39"/>
    </sheetView>
  </sheetViews>
  <sheetFormatPr baseColWidth="10" defaultColWidth="11" defaultRowHeight="16" x14ac:dyDescent="0.2"/>
  <sheetData>
    <row r="12" spans="13:28" ht="29" customHeight="1" x14ac:dyDescent="0.45">
      <c r="O12" s="1"/>
      <c r="P12" s="1"/>
      <c r="Q12" s="120"/>
      <c r="R12" s="120"/>
      <c r="S12" s="120"/>
      <c r="T12" s="120"/>
      <c r="U12" s="120"/>
      <c r="V12" s="120"/>
      <c r="W12" s="120"/>
      <c r="X12" s="1"/>
    </row>
    <row r="13" spans="13:28" ht="29" customHeight="1" x14ac:dyDescent="0.45">
      <c r="O13" s="1"/>
      <c r="P13" s="1"/>
      <c r="Q13" s="1"/>
      <c r="R13" s="1"/>
      <c r="S13" s="120"/>
      <c r="T13" s="120"/>
      <c r="U13" s="120"/>
      <c r="V13" s="1"/>
      <c r="W13" s="1"/>
      <c r="X13" s="1"/>
    </row>
    <row r="14" spans="13:28" ht="29" customHeight="1" x14ac:dyDescent="0.45">
      <c r="O14" s="1"/>
      <c r="P14" s="1"/>
      <c r="Q14" s="1"/>
      <c r="R14" s="120"/>
      <c r="S14" s="120"/>
      <c r="T14" s="120"/>
      <c r="U14" s="120"/>
      <c r="V14" s="120"/>
      <c r="W14" s="1"/>
      <c r="X14" s="1"/>
    </row>
    <row r="15" spans="13:28" ht="29" customHeight="1" x14ac:dyDescent="0.45">
      <c r="O15" s="1"/>
      <c r="P15" s="1"/>
      <c r="Q15" s="121"/>
      <c r="R15" s="121"/>
      <c r="S15" s="121"/>
      <c r="T15" s="121"/>
      <c r="U15" s="121"/>
      <c r="V15" s="121"/>
      <c r="W15" s="1"/>
      <c r="X15" s="1"/>
    </row>
    <row r="16" spans="13:28" ht="29" customHeight="1" x14ac:dyDescent="0.4">
      <c r="M16" s="120"/>
      <c r="N16" s="120"/>
      <c r="O16" s="120"/>
      <c r="P16" s="120"/>
      <c r="Q16" s="120"/>
      <c r="R16" s="120"/>
      <c r="S16" s="120"/>
      <c r="T16" s="120"/>
      <c r="U16" s="120"/>
      <c r="V16" s="120"/>
      <c r="W16" s="120"/>
      <c r="X16" s="120"/>
      <c r="Y16" s="120"/>
      <c r="Z16" s="120"/>
      <c r="AA16" s="120"/>
      <c r="AB16" s="120"/>
    </row>
    <row r="17" spans="15:22" ht="29" customHeight="1" x14ac:dyDescent="0.45">
      <c r="O17" s="1"/>
      <c r="P17" s="2"/>
      <c r="Q17" s="1"/>
      <c r="R17" s="1"/>
      <c r="S17" s="1"/>
      <c r="T17" s="1"/>
      <c r="U17" s="1"/>
      <c r="V17" s="1"/>
    </row>
    <row r="37" spans="15:24" x14ac:dyDescent="0.2">
      <c r="O37" s="119" t="s">
        <v>0</v>
      </c>
      <c r="P37" s="119"/>
      <c r="Q37" s="119"/>
      <c r="V37" s="119" t="s">
        <v>1</v>
      </c>
      <c r="W37" s="119"/>
      <c r="X37" s="119"/>
    </row>
    <row r="39" spans="15:24" x14ac:dyDescent="0.2">
      <c r="O39" s="119" t="s">
        <v>2</v>
      </c>
      <c r="P39" s="119"/>
      <c r="Q39" s="119"/>
      <c r="V39" s="119" t="s">
        <v>3</v>
      </c>
      <c r="W39" s="119"/>
      <c r="X39" s="119"/>
    </row>
    <row r="41" spans="15:24" x14ac:dyDescent="0.2">
      <c r="O41" s="119" t="s">
        <v>4</v>
      </c>
      <c r="P41" s="119"/>
      <c r="Q41" s="119"/>
      <c r="V41" s="119" t="s">
        <v>5</v>
      </c>
      <c r="W41" s="119"/>
      <c r="X41" s="119"/>
    </row>
    <row r="43" spans="15:24" x14ac:dyDescent="0.2">
      <c r="O43" s="119" t="s">
        <v>6</v>
      </c>
      <c r="P43" s="119"/>
      <c r="Q43" s="119"/>
      <c r="V43" s="119" t="s">
        <v>7</v>
      </c>
      <c r="W43" s="119"/>
      <c r="X43" s="119"/>
    </row>
    <row r="45" spans="15:24" x14ac:dyDescent="0.2">
      <c r="O45" s="119" t="s">
        <v>8</v>
      </c>
      <c r="P45" s="119"/>
      <c r="Q45" s="119"/>
      <c r="V45" s="119" t="s">
        <v>9</v>
      </c>
      <c r="W45" s="119"/>
      <c r="X45" s="119"/>
    </row>
    <row r="47" spans="15:24" x14ac:dyDescent="0.2">
      <c r="O47" s="119" t="s">
        <v>10</v>
      </c>
      <c r="P47" s="119"/>
      <c r="Q47" s="119"/>
    </row>
  </sheetData>
  <mergeCells count="16">
    <mergeCell ref="S13:U13"/>
    <mergeCell ref="Q12:W12"/>
    <mergeCell ref="M16:AB16"/>
    <mergeCell ref="R14:V14"/>
    <mergeCell ref="Q15:V15"/>
    <mergeCell ref="O43:Q43"/>
    <mergeCell ref="O45:Q45"/>
    <mergeCell ref="O47:Q47"/>
    <mergeCell ref="V37:X37"/>
    <mergeCell ref="V39:X39"/>
    <mergeCell ref="V41:X41"/>
    <mergeCell ref="V43:X43"/>
    <mergeCell ref="V45:X45"/>
    <mergeCell ref="O37:Q37"/>
    <mergeCell ref="O41:Q41"/>
    <mergeCell ref="O39:Q39"/>
  </mergeCells>
  <hyperlinks>
    <hyperlink ref="O37" location="Dashboard!A1" display="1) Dash Board" xr:uid="{92E97726-7A68-FE40-A00D-7284C26DBD74}"/>
    <hyperlink ref="V37" location="'Pivot Table'!A1" display="7) Pivot Table" xr:uid="{DB07EDBB-CD6C-9646-901F-4F63D209472F}"/>
    <hyperlink ref="V39" location="'One Variable Data'!A1" display="8) One Variable Data" xr:uid="{1FEA855E-B43E-DE4A-BBEC-30F8515C1FB1}"/>
    <hyperlink ref="V41" location="'Two Variable Data'!A1" display="9) Two Variable Data" xr:uid="{135BA7F8-95B3-E440-8928-C9EE229ADF7B}"/>
    <hyperlink ref="V43" location="'Sorted Grades'!A1" display="10) Sorted Grades" xr:uid="{C780A38C-4478-3A4E-ABDF-A47B7EDA5D96}"/>
    <hyperlink ref="V45" location="'Scenario Summary'!A1" display="11) Scenario Summary" xr:uid="{6E904712-78FF-124D-A4A5-8C95186E227F}"/>
    <hyperlink ref="O47" location="Performance!A1" display="6) Performance" xr:uid="{6F416A9D-D8BE-AE48-B3EF-DD15E8BBE916}"/>
    <hyperlink ref="O45" location="Behavior!A1" display="5) Behavior" xr:uid="{C25D81C5-379A-B843-880A-2D9BC0ABBD79}"/>
    <hyperlink ref="O43" location="'Summary Statistics'!A1" display="4) Summary Statistics" xr:uid="{48BA0F77-2C29-0041-9AA9-EB27E68CADB8}"/>
    <hyperlink ref="O41" location="Charts!A1" display="3) Charts" xr:uid="{6E1D9A04-DC19-FA47-B08D-A851035253B2}"/>
    <hyperlink ref="O39" location="Data!A1" display="2) Data" xr:uid="{6DA5C495-DE21-5544-B007-37F5506F8F43}"/>
    <hyperlink ref="O37:Q37" location="Dashboard!A1" display="1) Dashboard" xr:uid="{7852986C-038C-FB4B-961A-71721A0B5092}"/>
  </hyperlinks>
  <pageMargins left="0.7" right="0.7" top="0.75" bottom="0.75" header="0.3" footer="0.3"/>
  <drawing r:id="rId1"/>
  <legacyDrawing r:id="rId2"/>
  <picture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Simple_MsgBox">
                <anchor moveWithCells="1" sizeWithCells="1">
                  <from>
                    <xdr:col>18</xdr:col>
                    <xdr:colOff>88900</xdr:colOff>
                    <xdr:row>37</xdr:row>
                    <xdr:rowOff>88900</xdr:rowOff>
                  </from>
                  <to>
                    <xdr:col>20</xdr:col>
                    <xdr:colOff>254000</xdr:colOff>
                    <xdr:row>41</xdr:row>
                    <xdr:rowOff>38100</xdr:rowOff>
                  </to>
                </anchor>
              </controlPr>
            </control>
          </mc:Choice>
        </mc:AlternateContent>
        <mc:AlternateContent xmlns:mc="http://schemas.openxmlformats.org/markup-compatibility/2006">
          <mc:Choice Requires="x14">
            <control shapeId="1026" r:id="rId5" name="Button 2">
              <controlPr defaultSize="0" autoFill="0" autoPict="0" macro="[0]!Help_Box">
                <anchor moveWithCells="1" sizeWithCells="1">
                  <from>
                    <xdr:col>18</xdr:col>
                    <xdr:colOff>88900</xdr:colOff>
                    <xdr:row>42</xdr:row>
                    <xdr:rowOff>101600</xdr:rowOff>
                  </from>
                  <to>
                    <xdr:col>20</xdr:col>
                    <xdr:colOff>254000</xdr:colOff>
                    <xdr:row>45</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0D15A-27AE-5A4C-A324-2BE1BDC4B17A}">
  <sheetPr codeName="Sheet2"/>
  <dimension ref="A1:M23"/>
  <sheetViews>
    <sheetView workbookViewId="0"/>
  </sheetViews>
  <sheetFormatPr baseColWidth="10" defaultColWidth="11" defaultRowHeight="16" x14ac:dyDescent="0.2"/>
  <cols>
    <col min="1" max="1" width="11.33203125" style="4" bestFit="1" customWidth="1"/>
    <col min="2" max="2" width="18.6640625" style="4" customWidth="1"/>
    <col min="3" max="3" width="29.33203125" style="4" customWidth="1"/>
    <col min="4" max="5" width="11" style="4"/>
    <col min="6" max="6" width="11.83203125" style="4" bestFit="1" customWidth="1"/>
    <col min="7" max="7" width="13.5" style="4" bestFit="1" customWidth="1"/>
    <col min="8" max="8" width="12.6640625" style="4" customWidth="1"/>
    <col min="9" max="9" width="12.5" style="4" bestFit="1" customWidth="1"/>
    <col min="10" max="10" width="13.5" style="4" bestFit="1" customWidth="1"/>
    <col min="11" max="11" width="13.1640625" style="4" bestFit="1" customWidth="1"/>
    <col min="12" max="12" width="20.5" style="4" customWidth="1"/>
    <col min="13" max="16384" width="11" style="4"/>
  </cols>
  <sheetData>
    <row r="1" spans="1:13" x14ac:dyDescent="0.2">
      <c r="A1" s="42" t="s">
        <v>11</v>
      </c>
      <c r="B1" s="42" t="s">
        <v>12</v>
      </c>
      <c r="C1" s="42" t="s">
        <v>13</v>
      </c>
      <c r="D1" s="42" t="s">
        <v>14</v>
      </c>
      <c r="E1" s="42" t="s">
        <v>15</v>
      </c>
      <c r="F1" s="42" t="s">
        <v>16</v>
      </c>
      <c r="G1" s="42" t="s">
        <v>17</v>
      </c>
      <c r="H1" s="42" t="s">
        <v>18</v>
      </c>
      <c r="I1" s="42" t="s">
        <v>19</v>
      </c>
      <c r="J1" s="42" t="s">
        <v>20</v>
      </c>
      <c r="K1" s="42" t="s">
        <v>21</v>
      </c>
      <c r="L1" s="42" t="s">
        <v>22</v>
      </c>
      <c r="M1" s="42" t="s">
        <v>23</v>
      </c>
    </row>
    <row r="2" spans="1:13" x14ac:dyDescent="0.2">
      <c r="A2" s="3">
        <v>23569340</v>
      </c>
      <c r="B2" s="3" t="str">
        <f>VLOOKUP(A2,Data!A8:M57,2,FALSE)</f>
        <v>Lisa</v>
      </c>
      <c r="C2" s="3" t="str">
        <f>VLOOKUP(A2,Data!A8:M57,3,FALSE)</f>
        <v>Cochran</v>
      </c>
      <c r="D2" s="3">
        <f>VLOOKUP(A2,Data!A8:M57,4,FALSE)</f>
        <v>76</v>
      </c>
      <c r="E2" s="3">
        <f>VLOOKUP(A2,Data!A8:M57,5,FALSE)</f>
        <v>75</v>
      </c>
      <c r="F2" s="3">
        <f>VLOOKUP(A2,Data!A8:M57,6,FALSE)</f>
        <v>79</v>
      </c>
      <c r="G2" s="3">
        <f>VLOOKUP(A2,Data!A8:M57,7,FALSE)</f>
        <v>76</v>
      </c>
      <c r="H2" s="3">
        <f>VLOOKUP(A2,Data!A8:M57,8,FALSE)</f>
        <v>76.5</v>
      </c>
      <c r="I2" s="10">
        <f>VLOOKUP(A2,Data!A8:M57,9,FALSE)</f>
        <v>76.650000000000006</v>
      </c>
      <c r="J2" s="3" t="str">
        <f>VLOOKUP(A2,Data!A8:M57,10,FALSE)</f>
        <v>C</v>
      </c>
      <c r="K2" s="3">
        <f>VLOOKUP(A2,Data!A8:M57,11,FALSE)</f>
        <v>6</v>
      </c>
      <c r="L2" s="3" t="str">
        <f>VLOOKUP(A2,Data!A8:M57,12,FALSE)</f>
        <v>No</v>
      </c>
      <c r="M2" s="3" t="str">
        <f>VLOOKUP(A2,Data!A8:M57,13,FALSE)</f>
        <v>No</v>
      </c>
    </row>
    <row r="8" spans="1:13" x14ac:dyDescent="0.2">
      <c r="I8" s="7"/>
    </row>
    <row r="13" spans="1:13" ht="23" x14ac:dyDescent="0.3">
      <c r="A13" s="41" t="s">
        <v>24</v>
      </c>
      <c r="B13" s="41" t="s">
        <v>25</v>
      </c>
      <c r="C13" s="41" t="s">
        <v>26</v>
      </c>
    </row>
    <row r="14" spans="1:13" ht="23" x14ac:dyDescent="0.3">
      <c r="A14" s="8">
        <v>1</v>
      </c>
      <c r="B14" s="8">
        <f t="shared" ref="B14:B23" si="0">INDEX(StudentID,MATCH(C14,Grades,0))</f>
        <v>23648989</v>
      </c>
      <c r="C14" s="9" cm="1">
        <f t="array" ref="C14:C23">LARGE(Grades,{1;2;3;4;5;6;7;8;9;10})</f>
        <v>96.649999999999991</v>
      </c>
    </row>
    <row r="15" spans="1:13" ht="23" x14ac:dyDescent="0.3">
      <c r="A15" s="8">
        <v>2</v>
      </c>
      <c r="B15" s="8">
        <f t="shared" si="0"/>
        <v>23686037</v>
      </c>
      <c r="C15" s="9">
        <v>95.387500000000003</v>
      </c>
    </row>
    <row r="16" spans="1:13" ht="23" x14ac:dyDescent="0.3">
      <c r="A16" s="8">
        <v>3</v>
      </c>
      <c r="B16" s="8">
        <f t="shared" si="0"/>
        <v>23501390</v>
      </c>
      <c r="C16" s="9">
        <v>95.237500000000011</v>
      </c>
    </row>
    <row r="17" spans="1:3" ht="23" x14ac:dyDescent="0.3">
      <c r="A17" s="8">
        <v>4</v>
      </c>
      <c r="B17" s="8">
        <f t="shared" si="0"/>
        <v>23599332</v>
      </c>
      <c r="C17" s="9">
        <v>94.674999999999997</v>
      </c>
    </row>
    <row r="18" spans="1:3" ht="23" x14ac:dyDescent="0.3">
      <c r="A18" s="8">
        <v>5</v>
      </c>
      <c r="B18" s="8">
        <f t="shared" si="0"/>
        <v>23512527</v>
      </c>
      <c r="C18" s="9">
        <v>92.574999999999989</v>
      </c>
    </row>
    <row r="19" spans="1:3" ht="23" x14ac:dyDescent="0.3">
      <c r="A19" s="8">
        <v>6</v>
      </c>
      <c r="B19" s="8">
        <f t="shared" si="0"/>
        <v>23570945</v>
      </c>
      <c r="C19" s="9">
        <v>89.412500000000009</v>
      </c>
    </row>
    <row r="20" spans="1:3" ht="23" x14ac:dyDescent="0.3">
      <c r="A20" s="8">
        <v>7</v>
      </c>
      <c r="B20" s="8">
        <f t="shared" si="0"/>
        <v>23512829</v>
      </c>
      <c r="C20" s="9">
        <v>88.362500000000011</v>
      </c>
    </row>
    <row r="21" spans="1:3" ht="23" x14ac:dyDescent="0.3">
      <c r="A21" s="8">
        <v>8</v>
      </c>
      <c r="B21" s="8">
        <f t="shared" si="0"/>
        <v>23552303</v>
      </c>
      <c r="C21" s="9">
        <v>87.649999999999991</v>
      </c>
    </row>
    <row r="22" spans="1:3" ht="23" x14ac:dyDescent="0.3">
      <c r="A22" s="8">
        <v>9</v>
      </c>
      <c r="B22" s="8">
        <f t="shared" si="0"/>
        <v>23688909</v>
      </c>
      <c r="C22" s="9">
        <v>87.075000000000003</v>
      </c>
    </row>
    <row r="23" spans="1:3" ht="23" x14ac:dyDescent="0.3">
      <c r="A23" s="8">
        <v>10</v>
      </c>
      <c r="B23" s="8">
        <f t="shared" si="0"/>
        <v>23551669</v>
      </c>
      <c r="C23" s="9">
        <v>85.724999999999994</v>
      </c>
    </row>
  </sheetData>
  <conditionalFormatting sqref="D2:H2">
    <cfRule type="dataBar" priority="9">
      <dataBar>
        <cfvo type="min"/>
        <cfvo type="max"/>
        <color rgb="FF638EC6"/>
      </dataBar>
      <extLst>
        <ext xmlns:x14="http://schemas.microsoft.com/office/spreadsheetml/2009/9/main" uri="{B025F937-C7B1-47D3-B67F-A62EFF666E3E}">
          <x14:id>{CD243171-A899-AA45-AAB4-FF091C5D5EE1}</x14:id>
        </ext>
      </extLst>
    </cfRule>
  </conditionalFormatting>
  <conditionalFormatting sqref="I2">
    <cfRule type="cellIs" dxfId="110" priority="6" operator="greaterThan">
      <formula>69</formula>
    </cfRule>
    <cfRule type="cellIs" dxfId="109" priority="7" operator="lessThanOrEqual">
      <formula>69</formula>
    </cfRule>
    <cfRule type="cellIs" dxfId="108" priority="8" operator="lessThanOrEqual">
      <formula>60</formula>
    </cfRule>
  </conditionalFormatting>
  <conditionalFormatting sqref="L2">
    <cfRule type="expression" dxfId="107" priority="5">
      <formula>IF(L2="Yes",TRUE,FALSE)</formula>
    </cfRule>
  </conditionalFormatting>
  <conditionalFormatting sqref="M2">
    <cfRule type="expression" dxfId="106" priority="4">
      <formula>IF(M2="Yes",TRUE,FALSE)</formula>
    </cfRule>
  </conditionalFormatting>
  <conditionalFormatting sqref="J2">
    <cfRule type="expression" dxfId="105" priority="3">
      <formula>IF(OR(J2="D",J2="F"),TRUE,FALSE)</formula>
    </cfRule>
  </conditionalFormatting>
  <conditionalFormatting sqref="C14:C23">
    <cfRule type="dataBar" priority="1">
      <dataBar>
        <cfvo type="min"/>
        <cfvo type="max"/>
        <color rgb="FF638EC6"/>
      </dataBar>
      <extLst>
        <ext xmlns:x14="http://schemas.microsoft.com/office/spreadsheetml/2009/9/main" uri="{B025F937-C7B1-47D3-B67F-A62EFF666E3E}">
          <x14:id>{F1C30B6B-1BF5-CD44-B1AF-DC6F76C14A23}</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D243171-A899-AA45-AAB4-FF091C5D5EE1}">
            <x14:dataBar minLength="0" maxLength="100" border="1" negativeBarBorderColorSameAsPositive="0">
              <x14:cfvo type="autoMin"/>
              <x14:cfvo type="autoMax"/>
              <x14:borderColor rgb="FF638EC6"/>
              <x14:negativeFillColor rgb="FFFF0000"/>
              <x14:negativeBorderColor rgb="FFFF0000"/>
              <x14:axisColor rgb="FF000000"/>
            </x14:dataBar>
          </x14:cfRule>
          <xm:sqref>D2:H2</xm:sqref>
        </x14:conditionalFormatting>
        <x14:conditionalFormatting xmlns:xm="http://schemas.microsoft.com/office/excel/2006/main">
          <x14:cfRule type="dataBar" id="{F1C30B6B-1BF5-CD44-B1AF-DC6F76C14A23}">
            <x14:dataBar minLength="0" maxLength="100" border="1" negativeBarBorderColorSameAsPositive="0">
              <x14:cfvo type="autoMin"/>
              <x14:cfvo type="autoMax"/>
              <x14:borderColor rgb="FF638EC6"/>
              <x14:negativeFillColor rgb="FFFF0000"/>
              <x14:negativeBorderColor rgb="FFFF0000"/>
              <x14:axisColor rgb="FF000000"/>
            </x14:dataBar>
          </x14:cfRule>
          <xm:sqref>C14:C23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60F6993-0355-4834-92F6-84D4E8AE36BC}">
          <x14:formula1>
            <xm:f>Data!$A$8:$A$57</xm:f>
          </x14:formula1>
          <xm:sqref>A2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466C9-BA78-1C42-BD33-0720EA808196}">
  <sheetPr codeName="Sheet3"/>
  <dimension ref="A1:M57"/>
  <sheetViews>
    <sheetView zoomScale="140" zoomScaleNormal="140" workbookViewId="0"/>
  </sheetViews>
  <sheetFormatPr baseColWidth="10" defaultColWidth="11" defaultRowHeight="16" x14ac:dyDescent="0.2"/>
  <cols>
    <col min="1" max="1" width="12" style="4" customWidth="1"/>
    <col min="2" max="3" width="11" style="4" bestFit="1" customWidth="1"/>
    <col min="4" max="5" width="11" style="4"/>
    <col min="6" max="6" width="11" style="4" bestFit="1" customWidth="1"/>
    <col min="7" max="7" width="11.6640625" style="4" bestFit="1" customWidth="1"/>
    <col min="8" max="8" width="11" style="4"/>
    <col min="9" max="10" width="11" style="4" bestFit="1" customWidth="1"/>
    <col min="11" max="11" width="13.6640625" style="4" customWidth="1"/>
    <col min="12" max="12" width="17.6640625" style="4" bestFit="1" customWidth="1"/>
    <col min="13" max="16384" width="11" style="4"/>
  </cols>
  <sheetData>
    <row r="1" spans="1:13" x14ac:dyDescent="0.2">
      <c r="A1" s="42" t="s">
        <v>11</v>
      </c>
      <c r="B1" s="42" t="s">
        <v>12</v>
      </c>
      <c r="C1" s="42" t="s">
        <v>13</v>
      </c>
      <c r="D1" s="42" t="s">
        <v>14</v>
      </c>
      <c r="E1" s="42" t="s">
        <v>15</v>
      </c>
      <c r="F1" s="42" t="s">
        <v>16</v>
      </c>
      <c r="G1" s="42" t="s">
        <v>17</v>
      </c>
      <c r="H1" s="42" t="s">
        <v>18</v>
      </c>
      <c r="I1" s="42" t="s">
        <v>19</v>
      </c>
      <c r="J1" s="42" t="s">
        <v>20</v>
      </c>
      <c r="K1" s="42" t="s">
        <v>21</v>
      </c>
      <c r="L1" s="42" t="s">
        <v>22</v>
      </c>
      <c r="M1" s="42" t="s">
        <v>23</v>
      </c>
    </row>
    <row r="2" spans="1:13" x14ac:dyDescent="0.2">
      <c r="A2" s="3">
        <v>23672743</v>
      </c>
      <c r="B2" s="3" t="str">
        <f>VLOOKUP($A$2,$A$7:$M$57,2,FALSE)</f>
        <v>Emilio</v>
      </c>
      <c r="C2" s="3" t="str">
        <f>VLOOKUP($A$2,$A$7:$M$57,3,FALSE)</f>
        <v>Potts</v>
      </c>
      <c r="D2" s="3">
        <f>VLOOKUP($A$2,$A$7:$M$57,4,FALSE)</f>
        <v>57</v>
      </c>
      <c r="E2" s="3">
        <f>VLOOKUP($A$2,$A$7:$M$57,5,FALSE)</f>
        <v>49</v>
      </c>
      <c r="F2" s="3">
        <f>VLOOKUP($A$2,$A$7:$M$57,6,FALSE)</f>
        <v>37</v>
      </c>
      <c r="G2" s="3">
        <f>VLOOKUP($A$2,$A$7:$M$57,7,FALSE)</f>
        <v>47</v>
      </c>
      <c r="H2" s="3">
        <f>VLOOKUP($A$2,$A$7:$M$57,8,FALSE)</f>
        <v>47.5</v>
      </c>
      <c r="I2" s="10">
        <f>VLOOKUP($A$2,$A$7:$M$57,9,FALSE)</f>
        <v>47.325000000000003</v>
      </c>
      <c r="J2" s="3" t="str">
        <f>VLOOKUP($A$2,$A$7:$M$57,10,FALSE)</f>
        <v>F</v>
      </c>
      <c r="K2" s="3">
        <f>VLOOKUP($A$2,$A$7:$M$57,11,FALSE)</f>
        <v>12</v>
      </c>
      <c r="L2" s="3" t="str">
        <f>VLOOKUP($A$2,$A$7:$M$57,12,FALSE)</f>
        <v>Yes</v>
      </c>
      <c r="M2" s="3" t="str">
        <f>VLOOKUP($A$2,$A$7:$M$57,13,FALSE)</f>
        <v>No</v>
      </c>
    </row>
    <row r="7" spans="1:13" x14ac:dyDescent="0.2">
      <c r="A7" s="3" t="s">
        <v>11</v>
      </c>
      <c r="B7" s="3" t="s">
        <v>12</v>
      </c>
      <c r="C7" s="3" t="s">
        <v>13</v>
      </c>
      <c r="D7" s="3" t="s">
        <v>14</v>
      </c>
      <c r="E7" s="3" t="s">
        <v>15</v>
      </c>
      <c r="F7" s="3" t="s">
        <v>16</v>
      </c>
      <c r="G7" s="3" t="s">
        <v>17</v>
      </c>
      <c r="H7" s="3" t="s">
        <v>18</v>
      </c>
      <c r="I7" s="3" t="s">
        <v>19</v>
      </c>
      <c r="J7" s="3" t="s">
        <v>20</v>
      </c>
      <c r="K7" s="3" t="s">
        <v>21</v>
      </c>
      <c r="L7" s="3" t="s">
        <v>22</v>
      </c>
      <c r="M7" s="3" t="s">
        <v>23</v>
      </c>
    </row>
    <row r="8" spans="1:13" x14ac:dyDescent="0.2">
      <c r="A8" s="3">
        <v>23672743</v>
      </c>
      <c r="B8" s="3" t="s">
        <v>27</v>
      </c>
      <c r="C8" s="3" t="s">
        <v>28</v>
      </c>
      <c r="D8" s="3">
        <v>57</v>
      </c>
      <c r="E8" s="3">
        <v>49</v>
      </c>
      <c r="F8" s="3">
        <v>37</v>
      </c>
      <c r="G8" s="3">
        <v>47</v>
      </c>
      <c r="H8" s="3">
        <v>47.5</v>
      </c>
      <c r="I8" s="10">
        <f>(22.5%*D8)+(22.5%*E8)+(25%*F8)+(5%*G8)+(25%*H8)</f>
        <v>47.325000000000003</v>
      </c>
      <c r="J8" s="3" t="str">
        <f>IF(I8&gt;=93,"A",IF(I8&gt;=90,"A-",IF(I8&gt;=87,"B+",IF(I8&gt;=83,"B",IF(I8&gt;=80,"B-",IF(I8&gt;=77,"C+",IF(I8&gt;=73,"C",IF(I8&gt;=70,"C-",IF(I8&gt;=60,"D",IF(I8&lt;60,"F"))))))))))</f>
        <v>F</v>
      </c>
      <c r="K8" s="3">
        <v>12</v>
      </c>
      <c r="L8" s="3" t="str">
        <f>IF(AND(I8&lt;=60,K8&gt;=10),"Yes","No")</f>
        <v>Yes</v>
      </c>
      <c r="M8" s="3" t="str">
        <f>IF(AND(I8&gt;=87,K8&lt;=5),"Yes","No")</f>
        <v>No</v>
      </c>
    </row>
    <row r="9" spans="1:13" x14ac:dyDescent="0.2">
      <c r="A9" s="3">
        <v>23570945</v>
      </c>
      <c r="B9" s="3" t="s">
        <v>29</v>
      </c>
      <c r="C9" s="3" t="s">
        <v>30</v>
      </c>
      <c r="D9" s="3">
        <v>88</v>
      </c>
      <c r="E9" s="3">
        <v>86</v>
      </c>
      <c r="F9" s="3">
        <v>94</v>
      </c>
      <c r="G9" s="3">
        <v>89</v>
      </c>
      <c r="H9" s="3">
        <v>89.25</v>
      </c>
      <c r="I9" s="10">
        <f t="shared" ref="I9:I57" si="0">(22.5%*D9)+(22.5%*E9)+(25%*F9)+(5%*G9)+(25%*H9)</f>
        <v>89.412500000000009</v>
      </c>
      <c r="J9" s="3" t="str">
        <f t="shared" ref="J9:J57" si="1">IF(I9&gt;=93,"A",IF(I9&gt;=90,"A-",IF(I9&gt;=87,"B+",IF(I9&gt;=83,"B",IF(I9&gt;=80,"B-",IF(I9&gt;=77,"C+",IF(I9&gt;=73,"C",IF(I9&gt;=70,"C-",IF(I9&gt;=60,"D",IF(I9&lt;60,"F"))))))))))</f>
        <v>B+</v>
      </c>
      <c r="K9" s="3">
        <v>3</v>
      </c>
      <c r="L9" s="3" t="str">
        <f t="shared" ref="L9:L57" si="2">IF(AND(I9&lt;=60,K9&gt;=10),"Yes","No")</f>
        <v>No</v>
      </c>
      <c r="M9" s="3" t="str">
        <f t="shared" ref="M9:M57" si="3">IF(AND(I9&gt;=87,K9&lt;=5),"Yes","No")</f>
        <v>Yes</v>
      </c>
    </row>
    <row r="10" spans="1:13" x14ac:dyDescent="0.2">
      <c r="A10" s="3">
        <v>23569340</v>
      </c>
      <c r="B10" s="3" t="s">
        <v>31</v>
      </c>
      <c r="C10" s="3" t="s">
        <v>32</v>
      </c>
      <c r="D10" s="3">
        <v>76</v>
      </c>
      <c r="E10" s="3">
        <v>75</v>
      </c>
      <c r="F10" s="3">
        <v>79</v>
      </c>
      <c r="G10" s="3">
        <v>76</v>
      </c>
      <c r="H10" s="3">
        <v>76.5</v>
      </c>
      <c r="I10" s="10">
        <f t="shared" si="0"/>
        <v>76.650000000000006</v>
      </c>
      <c r="J10" s="3" t="str">
        <f t="shared" si="1"/>
        <v>C</v>
      </c>
      <c r="K10" s="3">
        <v>6</v>
      </c>
      <c r="L10" s="3" t="str">
        <f t="shared" si="2"/>
        <v>No</v>
      </c>
      <c r="M10" s="3" t="str">
        <f t="shared" si="3"/>
        <v>No</v>
      </c>
    </row>
    <row r="11" spans="1:13" x14ac:dyDescent="0.2">
      <c r="A11" s="3">
        <v>23503674</v>
      </c>
      <c r="B11" s="3" t="s">
        <v>33</v>
      </c>
      <c r="C11" s="3" t="s">
        <v>34</v>
      </c>
      <c r="D11" s="3">
        <v>70</v>
      </c>
      <c r="E11" s="3">
        <v>78</v>
      </c>
      <c r="F11" s="3">
        <v>82</v>
      </c>
      <c r="G11" s="3">
        <v>76</v>
      </c>
      <c r="H11" s="3">
        <v>76.5</v>
      </c>
      <c r="I11" s="10">
        <f t="shared" si="0"/>
        <v>76.724999999999994</v>
      </c>
      <c r="J11" s="3" t="str">
        <f t="shared" si="1"/>
        <v>C</v>
      </c>
      <c r="K11" s="3">
        <v>6</v>
      </c>
      <c r="L11" s="3" t="str">
        <f t="shared" si="2"/>
        <v>No</v>
      </c>
      <c r="M11" s="3" t="str">
        <f t="shared" si="3"/>
        <v>No</v>
      </c>
    </row>
    <row r="12" spans="1:13" x14ac:dyDescent="0.2">
      <c r="A12" s="3">
        <v>23545029</v>
      </c>
      <c r="B12" s="3" t="s">
        <v>35</v>
      </c>
      <c r="C12" s="3" t="s">
        <v>36</v>
      </c>
      <c r="D12" s="3">
        <v>77</v>
      </c>
      <c r="E12" s="3">
        <v>79</v>
      </c>
      <c r="F12" s="3">
        <v>81</v>
      </c>
      <c r="G12" s="3">
        <v>79</v>
      </c>
      <c r="H12" s="3">
        <v>79</v>
      </c>
      <c r="I12" s="10">
        <f t="shared" si="0"/>
        <v>79.050000000000011</v>
      </c>
      <c r="J12" s="3" t="str">
        <f t="shared" si="1"/>
        <v>C+</v>
      </c>
      <c r="K12" s="3">
        <v>7</v>
      </c>
      <c r="L12" s="3" t="str">
        <f t="shared" si="2"/>
        <v>No</v>
      </c>
      <c r="M12" s="3" t="str">
        <f t="shared" si="3"/>
        <v>No</v>
      </c>
    </row>
    <row r="13" spans="1:13" x14ac:dyDescent="0.2">
      <c r="A13" s="3">
        <v>23555563</v>
      </c>
      <c r="B13" s="3" t="s">
        <v>37</v>
      </c>
      <c r="C13" s="3" t="s">
        <v>38</v>
      </c>
      <c r="D13" s="3">
        <v>65</v>
      </c>
      <c r="E13" s="3">
        <v>66</v>
      </c>
      <c r="F13" s="3">
        <v>72</v>
      </c>
      <c r="G13" s="3">
        <v>67</v>
      </c>
      <c r="H13" s="3">
        <v>67.5</v>
      </c>
      <c r="I13" s="10">
        <f t="shared" si="0"/>
        <v>67.7</v>
      </c>
      <c r="J13" s="3" t="str">
        <f t="shared" si="1"/>
        <v>D</v>
      </c>
      <c r="K13" s="3">
        <v>5</v>
      </c>
      <c r="L13" s="3" t="str">
        <f t="shared" si="2"/>
        <v>No</v>
      </c>
      <c r="M13" s="3" t="str">
        <f t="shared" si="3"/>
        <v>No</v>
      </c>
    </row>
    <row r="14" spans="1:13" x14ac:dyDescent="0.2">
      <c r="A14" s="3">
        <v>23544190</v>
      </c>
      <c r="B14" s="3" t="s">
        <v>39</v>
      </c>
      <c r="C14" s="3" t="s">
        <v>40</v>
      </c>
      <c r="D14" s="3">
        <v>53</v>
      </c>
      <c r="E14" s="3">
        <v>42</v>
      </c>
      <c r="F14" s="3">
        <v>40</v>
      </c>
      <c r="G14" s="3">
        <v>45</v>
      </c>
      <c r="H14" s="3">
        <v>45</v>
      </c>
      <c r="I14" s="10">
        <f t="shared" si="0"/>
        <v>44.875</v>
      </c>
      <c r="J14" s="3" t="str">
        <f t="shared" si="1"/>
        <v>F</v>
      </c>
      <c r="K14" s="3">
        <v>13</v>
      </c>
      <c r="L14" s="3" t="str">
        <f t="shared" si="2"/>
        <v>Yes</v>
      </c>
      <c r="M14" s="3" t="str">
        <f t="shared" si="3"/>
        <v>No</v>
      </c>
    </row>
    <row r="15" spans="1:13" x14ac:dyDescent="0.2">
      <c r="A15" s="3">
        <v>23578756</v>
      </c>
      <c r="B15" s="3" t="s">
        <v>41</v>
      </c>
      <c r="C15" s="3" t="s">
        <v>42</v>
      </c>
      <c r="D15" s="3">
        <v>64</v>
      </c>
      <c r="E15" s="3">
        <v>65</v>
      </c>
      <c r="F15" s="3">
        <v>70</v>
      </c>
      <c r="G15" s="3">
        <v>66</v>
      </c>
      <c r="H15" s="3">
        <v>66.25</v>
      </c>
      <c r="I15" s="10">
        <f t="shared" si="0"/>
        <v>66.387499999999989</v>
      </c>
      <c r="J15" s="3" t="str">
        <f t="shared" si="1"/>
        <v>D</v>
      </c>
      <c r="K15" s="3">
        <v>7</v>
      </c>
      <c r="L15" s="3" t="str">
        <f t="shared" si="2"/>
        <v>No</v>
      </c>
      <c r="M15" s="3" t="str">
        <f t="shared" si="3"/>
        <v>No</v>
      </c>
    </row>
    <row r="16" spans="1:13" x14ac:dyDescent="0.2">
      <c r="A16" s="3">
        <v>23538914</v>
      </c>
      <c r="B16" s="3" t="s">
        <v>43</v>
      </c>
      <c r="C16" s="3" t="s">
        <v>44</v>
      </c>
      <c r="D16" s="3">
        <v>48</v>
      </c>
      <c r="E16" s="3">
        <v>32</v>
      </c>
      <c r="F16" s="3">
        <v>39</v>
      </c>
      <c r="G16" s="3">
        <v>39</v>
      </c>
      <c r="H16" s="3">
        <v>39.5</v>
      </c>
      <c r="I16" s="10">
        <f t="shared" si="0"/>
        <v>39.575000000000003</v>
      </c>
      <c r="J16" s="3" t="str">
        <f t="shared" si="1"/>
        <v>F</v>
      </c>
      <c r="K16" s="3">
        <v>14</v>
      </c>
      <c r="L16" s="3" t="str">
        <f t="shared" si="2"/>
        <v>Yes</v>
      </c>
      <c r="M16" s="3" t="str">
        <f t="shared" si="3"/>
        <v>No</v>
      </c>
    </row>
    <row r="17" spans="1:13" x14ac:dyDescent="0.2">
      <c r="A17" s="3">
        <v>23536981</v>
      </c>
      <c r="B17" s="3" t="s">
        <v>45</v>
      </c>
      <c r="C17" s="3" t="s">
        <v>46</v>
      </c>
      <c r="D17" s="3">
        <v>45</v>
      </c>
      <c r="E17" s="3">
        <v>30</v>
      </c>
      <c r="F17" s="3">
        <v>49</v>
      </c>
      <c r="G17" s="3">
        <v>41</v>
      </c>
      <c r="H17" s="3">
        <v>41.25</v>
      </c>
      <c r="I17" s="10">
        <f t="shared" si="0"/>
        <v>41.487499999999997</v>
      </c>
      <c r="J17" s="3" t="str">
        <f t="shared" si="1"/>
        <v>F</v>
      </c>
      <c r="K17" s="3">
        <v>11</v>
      </c>
      <c r="L17" s="3" t="str">
        <f t="shared" si="2"/>
        <v>Yes</v>
      </c>
      <c r="M17" s="3" t="str">
        <f t="shared" si="3"/>
        <v>No</v>
      </c>
    </row>
    <row r="18" spans="1:13" x14ac:dyDescent="0.2">
      <c r="A18" s="3">
        <v>23643612</v>
      </c>
      <c r="B18" s="3" t="s">
        <v>47</v>
      </c>
      <c r="C18" s="3" t="s">
        <v>48</v>
      </c>
      <c r="D18" s="3">
        <v>55</v>
      </c>
      <c r="E18" s="3">
        <v>55</v>
      </c>
      <c r="F18" s="3">
        <v>41</v>
      </c>
      <c r="G18" s="3">
        <v>50</v>
      </c>
      <c r="H18" s="3">
        <v>50.25</v>
      </c>
      <c r="I18" s="10">
        <f t="shared" si="0"/>
        <v>50.0625</v>
      </c>
      <c r="J18" s="3" t="str">
        <f t="shared" si="1"/>
        <v>F</v>
      </c>
      <c r="K18" s="3">
        <v>1</v>
      </c>
      <c r="L18" s="3" t="str">
        <f t="shared" si="2"/>
        <v>No</v>
      </c>
      <c r="M18" s="3" t="str">
        <f t="shared" si="3"/>
        <v>No</v>
      </c>
    </row>
    <row r="19" spans="1:13" x14ac:dyDescent="0.2">
      <c r="A19" s="3">
        <v>23635346</v>
      </c>
      <c r="B19" s="3" t="s">
        <v>49</v>
      </c>
      <c r="C19" s="3" t="s">
        <v>50</v>
      </c>
      <c r="D19" s="3">
        <v>77</v>
      </c>
      <c r="E19" s="3">
        <v>80</v>
      </c>
      <c r="F19" s="3">
        <v>93</v>
      </c>
      <c r="G19" s="3">
        <v>83</v>
      </c>
      <c r="H19" s="3">
        <v>83.25</v>
      </c>
      <c r="I19" s="10">
        <f t="shared" si="0"/>
        <v>83.537499999999994</v>
      </c>
      <c r="J19" s="3" t="str">
        <f t="shared" si="1"/>
        <v>B</v>
      </c>
      <c r="K19" s="3">
        <v>1</v>
      </c>
      <c r="L19" s="3" t="str">
        <f t="shared" si="2"/>
        <v>No</v>
      </c>
      <c r="M19" s="3" t="str">
        <f t="shared" si="3"/>
        <v>No</v>
      </c>
    </row>
    <row r="20" spans="1:13" x14ac:dyDescent="0.2">
      <c r="A20" s="3">
        <v>23602899</v>
      </c>
      <c r="B20" s="3" t="s">
        <v>51</v>
      </c>
      <c r="C20" s="3" t="s">
        <v>52</v>
      </c>
      <c r="D20" s="3">
        <v>60</v>
      </c>
      <c r="E20" s="3">
        <v>69</v>
      </c>
      <c r="F20" s="3">
        <v>71</v>
      </c>
      <c r="G20" s="3">
        <v>66</v>
      </c>
      <c r="H20" s="3">
        <v>66.5</v>
      </c>
      <c r="I20" s="10">
        <f t="shared" si="0"/>
        <v>66.699999999999989</v>
      </c>
      <c r="J20" s="3" t="str">
        <f t="shared" si="1"/>
        <v>D</v>
      </c>
      <c r="K20" s="3">
        <v>4</v>
      </c>
      <c r="L20" s="3" t="str">
        <f t="shared" si="2"/>
        <v>No</v>
      </c>
      <c r="M20" s="3" t="str">
        <f t="shared" si="3"/>
        <v>No</v>
      </c>
    </row>
    <row r="21" spans="1:13" x14ac:dyDescent="0.2">
      <c r="A21" s="3">
        <v>23518502</v>
      </c>
      <c r="B21" s="3" t="s">
        <v>53</v>
      </c>
      <c r="C21" s="3" t="s">
        <v>54</v>
      </c>
      <c r="D21" s="3">
        <v>50</v>
      </c>
      <c r="E21" s="3">
        <v>33</v>
      </c>
      <c r="F21" s="3">
        <v>38</v>
      </c>
      <c r="G21" s="3">
        <v>40</v>
      </c>
      <c r="H21" s="3">
        <v>40.25</v>
      </c>
      <c r="I21" s="10">
        <f t="shared" si="0"/>
        <v>40.237499999999997</v>
      </c>
      <c r="J21" s="3" t="str">
        <f t="shared" si="1"/>
        <v>F</v>
      </c>
      <c r="K21" s="3">
        <v>12</v>
      </c>
      <c r="L21" s="3" t="str">
        <f t="shared" si="2"/>
        <v>Yes</v>
      </c>
      <c r="M21" s="3" t="str">
        <f t="shared" si="3"/>
        <v>No</v>
      </c>
    </row>
    <row r="22" spans="1:13" x14ac:dyDescent="0.2">
      <c r="A22" s="3">
        <v>23545298</v>
      </c>
      <c r="B22" s="3" t="s">
        <v>55</v>
      </c>
      <c r="C22" s="3" t="s">
        <v>56</v>
      </c>
      <c r="D22" s="3">
        <v>47</v>
      </c>
      <c r="E22" s="3">
        <v>44</v>
      </c>
      <c r="F22" s="3">
        <v>43</v>
      </c>
      <c r="G22" s="3">
        <v>44</v>
      </c>
      <c r="H22" s="3">
        <v>44.5</v>
      </c>
      <c r="I22" s="10">
        <f t="shared" si="0"/>
        <v>44.550000000000004</v>
      </c>
      <c r="J22" s="3" t="str">
        <f t="shared" si="1"/>
        <v>F</v>
      </c>
      <c r="K22" s="3">
        <v>10</v>
      </c>
      <c r="L22" s="3" t="str">
        <f t="shared" si="2"/>
        <v>Yes</v>
      </c>
      <c r="M22" s="3" t="str">
        <f t="shared" si="3"/>
        <v>No</v>
      </c>
    </row>
    <row r="23" spans="1:13" x14ac:dyDescent="0.2">
      <c r="A23" s="3">
        <v>23681588</v>
      </c>
      <c r="B23" s="3" t="s">
        <v>57</v>
      </c>
      <c r="C23" s="3" t="s">
        <v>58</v>
      </c>
      <c r="D23" s="3">
        <v>71</v>
      </c>
      <c r="E23" s="3">
        <v>78</v>
      </c>
      <c r="F23" s="3">
        <v>82</v>
      </c>
      <c r="G23" s="3">
        <v>77</v>
      </c>
      <c r="H23" s="3">
        <v>77</v>
      </c>
      <c r="I23" s="10">
        <f t="shared" si="0"/>
        <v>77.125</v>
      </c>
      <c r="J23" s="3" t="str">
        <f t="shared" si="1"/>
        <v>C+</v>
      </c>
      <c r="K23" s="3">
        <v>0</v>
      </c>
      <c r="L23" s="3" t="str">
        <f t="shared" si="2"/>
        <v>No</v>
      </c>
      <c r="M23" s="3" t="str">
        <f t="shared" si="3"/>
        <v>No</v>
      </c>
    </row>
    <row r="24" spans="1:13" x14ac:dyDescent="0.2">
      <c r="A24" s="3">
        <v>23558031</v>
      </c>
      <c r="B24" s="3" t="s">
        <v>59</v>
      </c>
      <c r="C24" s="3" t="s">
        <v>60</v>
      </c>
      <c r="D24" s="3">
        <v>71</v>
      </c>
      <c r="E24" s="3">
        <v>78</v>
      </c>
      <c r="F24" s="3">
        <v>77</v>
      </c>
      <c r="G24" s="3">
        <v>75</v>
      </c>
      <c r="H24" s="3">
        <v>75.25</v>
      </c>
      <c r="I24" s="10">
        <f t="shared" si="0"/>
        <v>75.337500000000006</v>
      </c>
      <c r="J24" s="3" t="str">
        <f t="shared" si="1"/>
        <v>C</v>
      </c>
      <c r="K24" s="3">
        <v>0</v>
      </c>
      <c r="L24" s="3" t="str">
        <f t="shared" si="2"/>
        <v>No</v>
      </c>
      <c r="M24" s="3" t="str">
        <f t="shared" si="3"/>
        <v>No</v>
      </c>
    </row>
    <row r="25" spans="1:13" x14ac:dyDescent="0.2">
      <c r="A25" s="3">
        <v>23630771</v>
      </c>
      <c r="B25" s="3" t="s">
        <v>61</v>
      </c>
      <c r="C25" s="3" t="s">
        <v>62</v>
      </c>
      <c r="D25" s="3">
        <v>30</v>
      </c>
      <c r="E25" s="3">
        <v>32</v>
      </c>
      <c r="F25" s="3">
        <v>46</v>
      </c>
      <c r="G25" s="3">
        <v>36</v>
      </c>
      <c r="H25" s="3">
        <v>36</v>
      </c>
      <c r="I25" s="10">
        <f t="shared" si="0"/>
        <v>36.25</v>
      </c>
      <c r="J25" s="3" t="str">
        <f t="shared" si="1"/>
        <v>F</v>
      </c>
      <c r="K25" s="3">
        <v>14</v>
      </c>
      <c r="L25" s="3" t="str">
        <f t="shared" si="2"/>
        <v>Yes</v>
      </c>
      <c r="M25" s="3" t="str">
        <f t="shared" si="3"/>
        <v>No</v>
      </c>
    </row>
    <row r="26" spans="1:13" x14ac:dyDescent="0.2">
      <c r="A26" s="3">
        <v>23580679</v>
      </c>
      <c r="B26" s="3" t="s">
        <v>63</v>
      </c>
      <c r="C26" s="3" t="s">
        <v>64</v>
      </c>
      <c r="D26" s="3">
        <v>73</v>
      </c>
      <c r="E26" s="3">
        <v>78</v>
      </c>
      <c r="F26" s="3">
        <v>77</v>
      </c>
      <c r="G26" s="3">
        <v>76</v>
      </c>
      <c r="H26" s="3">
        <v>76</v>
      </c>
      <c r="I26" s="10">
        <f t="shared" si="0"/>
        <v>76.025000000000006</v>
      </c>
      <c r="J26" s="3" t="str">
        <f t="shared" si="1"/>
        <v>C</v>
      </c>
      <c r="K26" s="3">
        <v>4</v>
      </c>
      <c r="L26" s="3" t="str">
        <f t="shared" si="2"/>
        <v>No</v>
      </c>
      <c r="M26" s="3" t="str">
        <f t="shared" si="3"/>
        <v>No</v>
      </c>
    </row>
    <row r="27" spans="1:13" x14ac:dyDescent="0.2">
      <c r="A27" s="3">
        <v>23521122</v>
      </c>
      <c r="B27" s="3" t="s">
        <v>65</v>
      </c>
      <c r="C27" s="3" t="s">
        <v>66</v>
      </c>
      <c r="D27" s="3">
        <v>32</v>
      </c>
      <c r="E27" s="3">
        <v>44</v>
      </c>
      <c r="F27" s="3">
        <v>38</v>
      </c>
      <c r="G27" s="3">
        <v>38</v>
      </c>
      <c r="H27" s="3">
        <v>38</v>
      </c>
      <c r="I27" s="10">
        <f t="shared" si="0"/>
        <v>38</v>
      </c>
      <c r="J27" s="3" t="str">
        <f t="shared" si="1"/>
        <v>F</v>
      </c>
      <c r="K27" s="3">
        <v>12</v>
      </c>
      <c r="L27" s="3" t="str">
        <f t="shared" si="2"/>
        <v>Yes</v>
      </c>
      <c r="M27" s="3" t="str">
        <f t="shared" si="3"/>
        <v>No</v>
      </c>
    </row>
    <row r="28" spans="1:13" x14ac:dyDescent="0.2">
      <c r="A28" s="3">
        <v>23607530</v>
      </c>
      <c r="B28" s="3" t="s">
        <v>67</v>
      </c>
      <c r="C28" s="3" t="s">
        <v>68</v>
      </c>
      <c r="D28" s="3">
        <v>55</v>
      </c>
      <c r="E28" s="3">
        <v>36</v>
      </c>
      <c r="F28" s="3">
        <v>46</v>
      </c>
      <c r="G28" s="3">
        <v>45</v>
      </c>
      <c r="H28" s="3">
        <v>45.5</v>
      </c>
      <c r="I28" s="10">
        <f t="shared" si="0"/>
        <v>45.6</v>
      </c>
      <c r="J28" s="3" t="str">
        <f t="shared" si="1"/>
        <v>F</v>
      </c>
      <c r="K28" s="3">
        <v>14</v>
      </c>
      <c r="L28" s="3" t="str">
        <f t="shared" si="2"/>
        <v>Yes</v>
      </c>
      <c r="M28" s="3" t="str">
        <f t="shared" si="3"/>
        <v>No</v>
      </c>
    </row>
    <row r="29" spans="1:13" x14ac:dyDescent="0.2">
      <c r="A29" s="3">
        <v>23625004</v>
      </c>
      <c r="B29" s="3" t="s">
        <v>69</v>
      </c>
      <c r="C29" s="3" t="s">
        <v>70</v>
      </c>
      <c r="D29" s="3">
        <v>36</v>
      </c>
      <c r="E29" s="3">
        <v>53</v>
      </c>
      <c r="F29" s="3">
        <v>65</v>
      </c>
      <c r="G29" s="3">
        <v>51</v>
      </c>
      <c r="H29" s="3">
        <v>51.25</v>
      </c>
      <c r="I29" s="10">
        <f t="shared" si="0"/>
        <v>51.637499999999996</v>
      </c>
      <c r="J29" s="3" t="str">
        <f t="shared" si="1"/>
        <v>F</v>
      </c>
      <c r="K29" s="3">
        <v>6</v>
      </c>
      <c r="L29" s="3" t="str">
        <f t="shared" si="2"/>
        <v>No</v>
      </c>
      <c r="M29" s="3" t="str">
        <f t="shared" si="3"/>
        <v>No</v>
      </c>
    </row>
    <row r="30" spans="1:13" x14ac:dyDescent="0.2">
      <c r="A30" s="3">
        <v>23501390</v>
      </c>
      <c r="B30" s="3" t="s">
        <v>71</v>
      </c>
      <c r="C30" s="3" t="s">
        <v>72</v>
      </c>
      <c r="D30" s="3">
        <v>94</v>
      </c>
      <c r="E30" s="3">
        <v>99</v>
      </c>
      <c r="F30" s="3">
        <v>93</v>
      </c>
      <c r="G30" s="3">
        <v>95</v>
      </c>
      <c r="H30" s="3">
        <v>95.25</v>
      </c>
      <c r="I30" s="10">
        <f t="shared" si="0"/>
        <v>95.237500000000011</v>
      </c>
      <c r="J30" s="3" t="str">
        <f t="shared" si="1"/>
        <v>A</v>
      </c>
      <c r="K30" s="3">
        <v>7</v>
      </c>
      <c r="L30" s="3" t="str">
        <f t="shared" si="2"/>
        <v>No</v>
      </c>
      <c r="M30" s="3" t="str">
        <f t="shared" si="3"/>
        <v>No</v>
      </c>
    </row>
    <row r="31" spans="1:13" x14ac:dyDescent="0.2">
      <c r="A31" s="3">
        <v>23591771</v>
      </c>
      <c r="B31" s="3" t="s">
        <v>73</v>
      </c>
      <c r="C31" s="3" t="s">
        <v>74</v>
      </c>
      <c r="D31" s="3">
        <v>69</v>
      </c>
      <c r="E31" s="3">
        <v>70</v>
      </c>
      <c r="F31" s="3">
        <v>85</v>
      </c>
      <c r="G31" s="3">
        <v>74</v>
      </c>
      <c r="H31" s="3">
        <v>74.5</v>
      </c>
      <c r="I31" s="10">
        <f t="shared" si="0"/>
        <v>74.849999999999994</v>
      </c>
      <c r="J31" s="3" t="str">
        <f t="shared" si="1"/>
        <v>C</v>
      </c>
      <c r="K31" s="3">
        <v>6</v>
      </c>
      <c r="L31" s="3" t="str">
        <f t="shared" si="2"/>
        <v>No</v>
      </c>
      <c r="M31" s="3" t="str">
        <f t="shared" si="3"/>
        <v>No</v>
      </c>
    </row>
    <row r="32" spans="1:13" x14ac:dyDescent="0.2">
      <c r="A32" s="3">
        <v>23686037</v>
      </c>
      <c r="B32" s="3" t="s">
        <v>75</v>
      </c>
      <c r="C32" s="3" t="s">
        <v>76</v>
      </c>
      <c r="D32" s="3">
        <v>93</v>
      </c>
      <c r="E32" s="3">
        <v>94</v>
      </c>
      <c r="F32" s="3">
        <v>99</v>
      </c>
      <c r="G32" s="3">
        <v>95</v>
      </c>
      <c r="H32" s="3">
        <v>95.25</v>
      </c>
      <c r="I32" s="10">
        <f t="shared" si="0"/>
        <v>95.387500000000003</v>
      </c>
      <c r="J32" s="3" t="str">
        <f t="shared" si="1"/>
        <v>A</v>
      </c>
      <c r="K32" s="3">
        <v>6</v>
      </c>
      <c r="L32" s="3" t="str">
        <f t="shared" si="2"/>
        <v>No</v>
      </c>
      <c r="M32" s="3" t="str">
        <f t="shared" si="3"/>
        <v>No</v>
      </c>
    </row>
    <row r="33" spans="1:13" x14ac:dyDescent="0.2">
      <c r="A33" s="3">
        <v>23563708</v>
      </c>
      <c r="B33" s="3" t="s">
        <v>77</v>
      </c>
      <c r="C33" s="3" t="s">
        <v>78</v>
      </c>
      <c r="D33" s="3">
        <v>31</v>
      </c>
      <c r="E33" s="3">
        <v>37</v>
      </c>
      <c r="F33" s="3">
        <v>52</v>
      </c>
      <c r="G33" s="3">
        <v>40</v>
      </c>
      <c r="H33" s="3">
        <v>40</v>
      </c>
      <c r="I33" s="10">
        <f t="shared" si="0"/>
        <v>40.299999999999997</v>
      </c>
      <c r="J33" s="3" t="str">
        <f t="shared" si="1"/>
        <v>F</v>
      </c>
      <c r="K33" s="3">
        <v>15</v>
      </c>
      <c r="L33" s="3" t="str">
        <f t="shared" si="2"/>
        <v>Yes</v>
      </c>
      <c r="M33" s="3" t="str">
        <f t="shared" si="3"/>
        <v>No</v>
      </c>
    </row>
    <row r="34" spans="1:13" x14ac:dyDescent="0.2">
      <c r="A34" s="3">
        <v>23688909</v>
      </c>
      <c r="B34" s="3" t="s">
        <v>79</v>
      </c>
      <c r="C34" s="3" t="s">
        <v>80</v>
      </c>
      <c r="D34" s="3">
        <v>85</v>
      </c>
      <c r="E34" s="3">
        <v>86</v>
      </c>
      <c r="F34" s="3">
        <v>90</v>
      </c>
      <c r="G34" s="3">
        <v>87</v>
      </c>
      <c r="H34" s="3">
        <v>87</v>
      </c>
      <c r="I34" s="10">
        <f t="shared" si="0"/>
        <v>87.075000000000003</v>
      </c>
      <c r="J34" s="3" t="str">
        <f t="shared" si="1"/>
        <v>B+</v>
      </c>
      <c r="K34" s="3">
        <v>1</v>
      </c>
      <c r="L34" s="3" t="str">
        <f t="shared" si="2"/>
        <v>No</v>
      </c>
      <c r="M34" s="3" t="str">
        <f t="shared" si="3"/>
        <v>Yes</v>
      </c>
    </row>
    <row r="35" spans="1:13" x14ac:dyDescent="0.2">
      <c r="A35" s="3">
        <v>23634419</v>
      </c>
      <c r="B35" s="3" t="s">
        <v>81</v>
      </c>
      <c r="C35" s="3" t="s">
        <v>82</v>
      </c>
      <c r="D35" s="3">
        <v>67</v>
      </c>
      <c r="E35" s="3">
        <v>69</v>
      </c>
      <c r="F35" s="3">
        <v>68</v>
      </c>
      <c r="G35" s="3">
        <v>68</v>
      </c>
      <c r="H35" s="3">
        <v>68</v>
      </c>
      <c r="I35" s="10">
        <f t="shared" si="0"/>
        <v>68</v>
      </c>
      <c r="J35" s="3" t="str">
        <f t="shared" si="1"/>
        <v>D</v>
      </c>
      <c r="K35" s="3">
        <v>0</v>
      </c>
      <c r="L35" s="3" t="str">
        <f t="shared" si="2"/>
        <v>No</v>
      </c>
      <c r="M35" s="3" t="str">
        <f t="shared" si="3"/>
        <v>No</v>
      </c>
    </row>
    <row r="36" spans="1:13" x14ac:dyDescent="0.2">
      <c r="A36" s="3">
        <v>23698407</v>
      </c>
      <c r="B36" s="3" t="s">
        <v>83</v>
      </c>
      <c r="C36" s="3" t="s">
        <v>84</v>
      </c>
      <c r="D36" s="3">
        <v>70</v>
      </c>
      <c r="E36" s="3">
        <v>75</v>
      </c>
      <c r="F36" s="3">
        <v>76</v>
      </c>
      <c r="G36" s="3">
        <v>73</v>
      </c>
      <c r="H36" s="3">
        <v>73.5</v>
      </c>
      <c r="I36" s="10">
        <f t="shared" si="0"/>
        <v>73.650000000000006</v>
      </c>
      <c r="J36" s="3" t="str">
        <f t="shared" si="1"/>
        <v>C</v>
      </c>
      <c r="K36" s="3">
        <v>0</v>
      </c>
      <c r="L36" s="3" t="str">
        <f t="shared" si="2"/>
        <v>No</v>
      </c>
      <c r="M36" s="3" t="str">
        <f t="shared" si="3"/>
        <v>No</v>
      </c>
    </row>
    <row r="37" spans="1:13" x14ac:dyDescent="0.2">
      <c r="A37" s="3">
        <v>23552303</v>
      </c>
      <c r="B37" s="3" t="s">
        <v>85</v>
      </c>
      <c r="C37" s="3" t="s">
        <v>86</v>
      </c>
      <c r="D37" s="3">
        <v>86</v>
      </c>
      <c r="E37" s="3">
        <v>87</v>
      </c>
      <c r="F37" s="3">
        <v>90</v>
      </c>
      <c r="G37" s="3">
        <v>87</v>
      </c>
      <c r="H37" s="3">
        <v>87.5</v>
      </c>
      <c r="I37" s="10">
        <f t="shared" si="0"/>
        <v>87.649999999999991</v>
      </c>
      <c r="J37" s="3" t="str">
        <f t="shared" si="1"/>
        <v>B+</v>
      </c>
      <c r="K37" s="3">
        <v>9</v>
      </c>
      <c r="L37" s="3" t="str">
        <f t="shared" si="2"/>
        <v>No</v>
      </c>
      <c r="M37" s="3" t="str">
        <f t="shared" si="3"/>
        <v>No</v>
      </c>
    </row>
    <row r="38" spans="1:13" x14ac:dyDescent="0.2">
      <c r="A38" s="3">
        <v>23554960</v>
      </c>
      <c r="B38" s="3" t="s">
        <v>87</v>
      </c>
      <c r="C38" s="3" t="s">
        <v>88</v>
      </c>
      <c r="D38" s="3">
        <v>50</v>
      </c>
      <c r="E38" s="3">
        <v>49</v>
      </c>
      <c r="F38" s="3">
        <v>50</v>
      </c>
      <c r="G38" s="3">
        <v>49</v>
      </c>
      <c r="H38" s="3">
        <v>49.5</v>
      </c>
      <c r="I38" s="10">
        <f t="shared" si="0"/>
        <v>49.6</v>
      </c>
      <c r="J38" s="3" t="str">
        <f t="shared" si="1"/>
        <v>F</v>
      </c>
      <c r="K38" s="3">
        <v>10</v>
      </c>
      <c r="L38" s="3" t="str">
        <f t="shared" si="2"/>
        <v>Yes</v>
      </c>
      <c r="M38" s="3" t="str">
        <f t="shared" si="3"/>
        <v>No</v>
      </c>
    </row>
    <row r="39" spans="1:13" x14ac:dyDescent="0.2">
      <c r="A39" s="3">
        <v>23551669</v>
      </c>
      <c r="B39" s="3" t="s">
        <v>89</v>
      </c>
      <c r="C39" s="3" t="s">
        <v>90</v>
      </c>
      <c r="D39" s="3">
        <v>81</v>
      </c>
      <c r="E39" s="3">
        <v>85</v>
      </c>
      <c r="F39" s="3">
        <v>91</v>
      </c>
      <c r="G39" s="3">
        <v>85</v>
      </c>
      <c r="H39" s="3">
        <v>85.5</v>
      </c>
      <c r="I39" s="10">
        <f t="shared" si="0"/>
        <v>85.724999999999994</v>
      </c>
      <c r="J39" s="3" t="str">
        <f t="shared" si="1"/>
        <v>B</v>
      </c>
      <c r="K39" s="3">
        <v>4</v>
      </c>
      <c r="L39" s="3" t="str">
        <f t="shared" si="2"/>
        <v>No</v>
      </c>
      <c r="M39" s="3" t="str">
        <f t="shared" si="3"/>
        <v>No</v>
      </c>
    </row>
    <row r="40" spans="1:13" x14ac:dyDescent="0.2">
      <c r="A40" s="3">
        <v>23602592</v>
      </c>
      <c r="B40" s="3" t="s">
        <v>91</v>
      </c>
      <c r="C40" s="3" t="s">
        <v>92</v>
      </c>
      <c r="D40" s="3">
        <v>35</v>
      </c>
      <c r="E40" s="3">
        <v>55</v>
      </c>
      <c r="F40" s="3">
        <v>49</v>
      </c>
      <c r="G40" s="3">
        <v>46</v>
      </c>
      <c r="H40" s="3">
        <v>46.25</v>
      </c>
      <c r="I40" s="10">
        <f t="shared" si="0"/>
        <v>46.362499999999997</v>
      </c>
      <c r="J40" s="3" t="str">
        <f t="shared" si="1"/>
        <v>F</v>
      </c>
      <c r="K40" s="3">
        <v>13</v>
      </c>
      <c r="L40" s="3" t="str">
        <f t="shared" si="2"/>
        <v>Yes</v>
      </c>
      <c r="M40" s="3" t="str">
        <f t="shared" si="3"/>
        <v>No</v>
      </c>
    </row>
    <row r="41" spans="1:13" x14ac:dyDescent="0.2">
      <c r="A41" s="3">
        <v>23698874</v>
      </c>
      <c r="B41" s="3" t="s">
        <v>93</v>
      </c>
      <c r="C41" s="3" t="s">
        <v>94</v>
      </c>
      <c r="D41" s="3">
        <v>56</v>
      </c>
      <c r="E41" s="3">
        <v>35</v>
      </c>
      <c r="F41" s="3">
        <v>33</v>
      </c>
      <c r="G41" s="3">
        <v>41</v>
      </c>
      <c r="H41" s="3">
        <v>41.25</v>
      </c>
      <c r="I41" s="10">
        <f t="shared" si="0"/>
        <v>41.087500000000006</v>
      </c>
      <c r="J41" s="3" t="str">
        <f t="shared" si="1"/>
        <v>F</v>
      </c>
      <c r="K41" s="3">
        <v>13</v>
      </c>
      <c r="L41" s="3" t="str">
        <f t="shared" si="2"/>
        <v>Yes</v>
      </c>
      <c r="M41" s="3" t="str">
        <f t="shared" si="3"/>
        <v>No</v>
      </c>
    </row>
    <row r="42" spans="1:13" x14ac:dyDescent="0.2">
      <c r="A42" s="3">
        <v>23512829</v>
      </c>
      <c r="B42" s="3" t="s">
        <v>95</v>
      </c>
      <c r="C42" s="3" t="s">
        <v>96</v>
      </c>
      <c r="D42" s="3">
        <v>85</v>
      </c>
      <c r="E42" s="3">
        <v>89</v>
      </c>
      <c r="F42" s="3">
        <v>91</v>
      </c>
      <c r="G42" s="3">
        <v>88</v>
      </c>
      <c r="H42" s="3">
        <v>88.25</v>
      </c>
      <c r="I42" s="10">
        <f t="shared" si="0"/>
        <v>88.362500000000011</v>
      </c>
      <c r="J42" s="3" t="str">
        <f t="shared" si="1"/>
        <v>B+</v>
      </c>
      <c r="K42" s="3">
        <v>0</v>
      </c>
      <c r="L42" s="3" t="str">
        <f t="shared" si="2"/>
        <v>No</v>
      </c>
      <c r="M42" s="3" t="str">
        <f t="shared" si="3"/>
        <v>Yes</v>
      </c>
    </row>
    <row r="43" spans="1:13" x14ac:dyDescent="0.2">
      <c r="A43" s="3">
        <v>23665210</v>
      </c>
      <c r="B43" s="3" t="s">
        <v>97</v>
      </c>
      <c r="C43" s="3" t="s">
        <v>98</v>
      </c>
      <c r="D43" s="3">
        <v>30</v>
      </c>
      <c r="E43" s="3">
        <v>56</v>
      </c>
      <c r="F43" s="3">
        <v>40</v>
      </c>
      <c r="G43" s="3">
        <v>42</v>
      </c>
      <c r="H43" s="3">
        <v>42</v>
      </c>
      <c r="I43" s="10">
        <f t="shared" si="0"/>
        <v>41.95</v>
      </c>
      <c r="J43" s="3" t="str">
        <f t="shared" si="1"/>
        <v>F</v>
      </c>
      <c r="K43" s="3">
        <v>10</v>
      </c>
      <c r="L43" s="3" t="str">
        <f t="shared" si="2"/>
        <v>Yes</v>
      </c>
      <c r="M43" s="3" t="str">
        <f t="shared" si="3"/>
        <v>No</v>
      </c>
    </row>
    <row r="44" spans="1:13" x14ac:dyDescent="0.2">
      <c r="A44" s="3">
        <v>23614752</v>
      </c>
      <c r="B44" s="3" t="s">
        <v>99</v>
      </c>
      <c r="C44" s="3" t="s">
        <v>100</v>
      </c>
      <c r="D44" s="3">
        <v>33</v>
      </c>
      <c r="E44" s="3">
        <v>49</v>
      </c>
      <c r="F44" s="3">
        <v>31</v>
      </c>
      <c r="G44" s="3">
        <v>37</v>
      </c>
      <c r="H44" s="3">
        <v>37.5</v>
      </c>
      <c r="I44" s="10">
        <f t="shared" si="0"/>
        <v>37.424999999999997</v>
      </c>
      <c r="J44" s="3" t="str">
        <f t="shared" si="1"/>
        <v>F</v>
      </c>
      <c r="K44" s="3">
        <v>13</v>
      </c>
      <c r="L44" s="3" t="str">
        <f t="shared" si="2"/>
        <v>Yes</v>
      </c>
      <c r="M44" s="3" t="str">
        <f t="shared" si="3"/>
        <v>No</v>
      </c>
    </row>
    <row r="45" spans="1:13" x14ac:dyDescent="0.2">
      <c r="A45" s="3">
        <v>23648989</v>
      </c>
      <c r="B45" s="3" t="s">
        <v>101</v>
      </c>
      <c r="C45" s="3" t="s">
        <v>102</v>
      </c>
      <c r="D45" s="3">
        <v>100</v>
      </c>
      <c r="E45" s="3">
        <v>91</v>
      </c>
      <c r="F45" s="3">
        <v>99</v>
      </c>
      <c r="G45" s="3">
        <v>96</v>
      </c>
      <c r="H45" s="3">
        <v>96.5</v>
      </c>
      <c r="I45" s="10">
        <f t="shared" si="0"/>
        <v>96.649999999999991</v>
      </c>
      <c r="J45" s="3" t="str">
        <f t="shared" si="1"/>
        <v>A</v>
      </c>
      <c r="K45" s="3">
        <v>3</v>
      </c>
      <c r="L45" s="3" t="str">
        <f t="shared" si="2"/>
        <v>No</v>
      </c>
      <c r="M45" s="3" t="str">
        <f t="shared" si="3"/>
        <v>Yes</v>
      </c>
    </row>
    <row r="46" spans="1:13" x14ac:dyDescent="0.2">
      <c r="A46" s="3">
        <v>23599332</v>
      </c>
      <c r="B46" s="3" t="s">
        <v>103</v>
      </c>
      <c r="C46" s="3" t="s">
        <v>104</v>
      </c>
      <c r="D46" s="3">
        <v>93</v>
      </c>
      <c r="E46" s="3">
        <v>93</v>
      </c>
      <c r="F46" s="3">
        <v>98</v>
      </c>
      <c r="G46" s="3">
        <v>94</v>
      </c>
      <c r="H46" s="3">
        <v>94.5</v>
      </c>
      <c r="I46" s="10">
        <f t="shared" si="0"/>
        <v>94.674999999999997</v>
      </c>
      <c r="J46" s="3" t="str">
        <f t="shared" si="1"/>
        <v>A</v>
      </c>
      <c r="K46" s="3">
        <v>5</v>
      </c>
      <c r="L46" s="3" t="str">
        <f t="shared" si="2"/>
        <v>No</v>
      </c>
      <c r="M46" s="3" t="str">
        <f t="shared" si="3"/>
        <v>Yes</v>
      </c>
    </row>
    <row r="47" spans="1:13" x14ac:dyDescent="0.2">
      <c r="A47" s="3">
        <v>23513165</v>
      </c>
      <c r="B47" s="3" t="s">
        <v>105</v>
      </c>
      <c r="C47" s="3" t="s">
        <v>106</v>
      </c>
      <c r="D47" s="3">
        <v>66</v>
      </c>
      <c r="E47" s="3">
        <v>67</v>
      </c>
      <c r="F47" s="3">
        <v>66</v>
      </c>
      <c r="G47" s="3">
        <v>66</v>
      </c>
      <c r="H47" s="3">
        <v>66.25</v>
      </c>
      <c r="I47" s="10">
        <f t="shared" si="0"/>
        <v>66.287499999999994</v>
      </c>
      <c r="J47" s="3" t="str">
        <f t="shared" si="1"/>
        <v>D</v>
      </c>
      <c r="K47" s="3">
        <v>9</v>
      </c>
      <c r="L47" s="3" t="str">
        <f t="shared" si="2"/>
        <v>No</v>
      </c>
      <c r="M47" s="3" t="str">
        <f t="shared" si="3"/>
        <v>No</v>
      </c>
    </row>
    <row r="48" spans="1:13" x14ac:dyDescent="0.2">
      <c r="A48" s="3">
        <v>23697900</v>
      </c>
      <c r="B48" s="3" t="s">
        <v>107</v>
      </c>
      <c r="C48" s="3" t="s">
        <v>108</v>
      </c>
      <c r="D48" s="3">
        <v>70</v>
      </c>
      <c r="E48" s="3">
        <v>77</v>
      </c>
      <c r="F48" s="3">
        <v>75</v>
      </c>
      <c r="G48" s="3">
        <v>74</v>
      </c>
      <c r="H48" s="3">
        <v>74</v>
      </c>
      <c r="I48" s="10">
        <f t="shared" si="0"/>
        <v>74.025000000000006</v>
      </c>
      <c r="J48" s="3" t="str">
        <f t="shared" si="1"/>
        <v>C</v>
      </c>
      <c r="K48" s="3">
        <v>5</v>
      </c>
      <c r="L48" s="3" t="str">
        <f t="shared" si="2"/>
        <v>No</v>
      </c>
      <c r="M48" s="3" t="str">
        <f t="shared" si="3"/>
        <v>No</v>
      </c>
    </row>
    <row r="49" spans="1:13" x14ac:dyDescent="0.2">
      <c r="A49" s="3">
        <v>23511179</v>
      </c>
      <c r="B49" s="3" t="s">
        <v>109</v>
      </c>
      <c r="C49" s="3" t="s">
        <v>110</v>
      </c>
      <c r="D49" s="3">
        <v>38</v>
      </c>
      <c r="E49" s="3">
        <v>35</v>
      </c>
      <c r="F49" s="3">
        <v>47</v>
      </c>
      <c r="G49" s="3">
        <v>40</v>
      </c>
      <c r="H49" s="3">
        <v>40</v>
      </c>
      <c r="I49" s="10">
        <f t="shared" si="0"/>
        <v>40.174999999999997</v>
      </c>
      <c r="J49" s="3" t="str">
        <f t="shared" si="1"/>
        <v>F</v>
      </c>
      <c r="K49" s="3">
        <v>15</v>
      </c>
      <c r="L49" s="3" t="str">
        <f t="shared" si="2"/>
        <v>Yes</v>
      </c>
      <c r="M49" s="3" t="str">
        <f t="shared" si="3"/>
        <v>No</v>
      </c>
    </row>
    <row r="50" spans="1:13" x14ac:dyDescent="0.2">
      <c r="A50" s="3">
        <v>23614522</v>
      </c>
      <c r="B50" s="3" t="s">
        <v>111</v>
      </c>
      <c r="C50" s="3" t="s">
        <v>35</v>
      </c>
      <c r="D50" s="3">
        <v>30</v>
      </c>
      <c r="E50" s="3">
        <v>39</v>
      </c>
      <c r="F50" s="3">
        <v>64</v>
      </c>
      <c r="G50" s="3">
        <v>44</v>
      </c>
      <c r="H50" s="3">
        <v>44.25</v>
      </c>
      <c r="I50" s="10">
        <f t="shared" si="0"/>
        <v>44.787500000000001</v>
      </c>
      <c r="J50" s="3" t="str">
        <f t="shared" si="1"/>
        <v>F</v>
      </c>
      <c r="K50" s="3">
        <v>14</v>
      </c>
      <c r="L50" s="3" t="str">
        <f t="shared" si="2"/>
        <v>Yes</v>
      </c>
      <c r="M50" s="3" t="str">
        <f t="shared" si="3"/>
        <v>No</v>
      </c>
    </row>
    <row r="51" spans="1:13" x14ac:dyDescent="0.2">
      <c r="A51" s="3">
        <v>23589906</v>
      </c>
      <c r="B51" s="3" t="s">
        <v>112</v>
      </c>
      <c r="C51" s="3" t="s">
        <v>113</v>
      </c>
      <c r="D51" s="3">
        <v>63</v>
      </c>
      <c r="E51" s="3">
        <v>67</v>
      </c>
      <c r="F51" s="3">
        <v>65</v>
      </c>
      <c r="G51" s="3">
        <v>65</v>
      </c>
      <c r="H51" s="3">
        <v>65</v>
      </c>
      <c r="I51" s="10">
        <f t="shared" si="0"/>
        <v>65</v>
      </c>
      <c r="J51" s="3" t="str">
        <f t="shared" si="1"/>
        <v>D</v>
      </c>
      <c r="K51" s="3">
        <v>3</v>
      </c>
      <c r="L51" s="3" t="str">
        <f t="shared" si="2"/>
        <v>No</v>
      </c>
      <c r="M51" s="3" t="str">
        <f t="shared" si="3"/>
        <v>No</v>
      </c>
    </row>
    <row r="52" spans="1:13" x14ac:dyDescent="0.2">
      <c r="A52" s="3">
        <v>23579559</v>
      </c>
      <c r="B52" s="3" t="s">
        <v>114</v>
      </c>
      <c r="C52" s="3" t="s">
        <v>115</v>
      </c>
      <c r="D52" s="3">
        <v>40</v>
      </c>
      <c r="E52" s="3">
        <v>33</v>
      </c>
      <c r="F52" s="3">
        <v>41</v>
      </c>
      <c r="G52" s="3">
        <v>38</v>
      </c>
      <c r="H52" s="3">
        <v>38</v>
      </c>
      <c r="I52" s="10">
        <f t="shared" si="0"/>
        <v>38.075000000000003</v>
      </c>
      <c r="J52" s="3" t="str">
        <f t="shared" si="1"/>
        <v>F</v>
      </c>
      <c r="K52" s="3">
        <v>15</v>
      </c>
      <c r="L52" s="3" t="str">
        <f t="shared" si="2"/>
        <v>Yes</v>
      </c>
      <c r="M52" s="3" t="str">
        <f t="shared" si="3"/>
        <v>No</v>
      </c>
    </row>
    <row r="53" spans="1:13" x14ac:dyDescent="0.2">
      <c r="A53" s="3">
        <v>23512527</v>
      </c>
      <c r="B53" s="3" t="s">
        <v>116</v>
      </c>
      <c r="C53" s="3" t="s">
        <v>117</v>
      </c>
      <c r="D53" s="3">
        <v>95</v>
      </c>
      <c r="E53" s="3">
        <v>91</v>
      </c>
      <c r="F53" s="3">
        <v>92</v>
      </c>
      <c r="G53" s="3">
        <v>92</v>
      </c>
      <c r="H53" s="3">
        <v>92.5</v>
      </c>
      <c r="I53" s="10">
        <f t="shared" si="0"/>
        <v>92.574999999999989</v>
      </c>
      <c r="J53" s="3" t="str">
        <f t="shared" si="1"/>
        <v>A-</v>
      </c>
      <c r="K53" s="3">
        <v>3</v>
      </c>
      <c r="L53" s="3" t="str">
        <f t="shared" si="2"/>
        <v>No</v>
      </c>
      <c r="M53" s="3" t="str">
        <f t="shared" si="3"/>
        <v>Yes</v>
      </c>
    </row>
    <row r="54" spans="1:13" x14ac:dyDescent="0.2">
      <c r="A54" s="3">
        <v>23655570</v>
      </c>
      <c r="B54" s="3" t="s">
        <v>118</v>
      </c>
      <c r="C54" s="3" t="s">
        <v>119</v>
      </c>
      <c r="D54" s="3">
        <v>74</v>
      </c>
      <c r="E54" s="3">
        <v>80</v>
      </c>
      <c r="F54" s="3">
        <v>88</v>
      </c>
      <c r="G54" s="3">
        <v>80</v>
      </c>
      <c r="H54" s="3">
        <v>80.5</v>
      </c>
      <c r="I54" s="10">
        <f t="shared" si="0"/>
        <v>80.775000000000006</v>
      </c>
      <c r="J54" s="3" t="str">
        <f t="shared" si="1"/>
        <v>B-</v>
      </c>
      <c r="K54" s="3">
        <v>8</v>
      </c>
      <c r="L54" s="3" t="str">
        <f t="shared" si="2"/>
        <v>No</v>
      </c>
      <c r="M54" s="3" t="str">
        <f t="shared" si="3"/>
        <v>No</v>
      </c>
    </row>
    <row r="55" spans="1:13" x14ac:dyDescent="0.2">
      <c r="A55" s="3">
        <v>23552203</v>
      </c>
      <c r="B55" s="3" t="s">
        <v>120</v>
      </c>
      <c r="C55" s="3" t="s">
        <v>121</v>
      </c>
      <c r="D55" s="3">
        <v>45</v>
      </c>
      <c r="E55" s="3">
        <v>36</v>
      </c>
      <c r="F55" s="3">
        <v>58</v>
      </c>
      <c r="G55" s="3">
        <v>46</v>
      </c>
      <c r="H55" s="3">
        <v>46.25</v>
      </c>
      <c r="I55" s="10">
        <f t="shared" si="0"/>
        <v>46.587499999999999</v>
      </c>
      <c r="J55" s="3" t="str">
        <f t="shared" si="1"/>
        <v>F</v>
      </c>
      <c r="K55" s="3">
        <v>14</v>
      </c>
      <c r="L55" s="3" t="str">
        <f t="shared" si="2"/>
        <v>Yes</v>
      </c>
      <c r="M55" s="3" t="str">
        <f t="shared" si="3"/>
        <v>No</v>
      </c>
    </row>
    <row r="56" spans="1:13" x14ac:dyDescent="0.2">
      <c r="A56" s="3">
        <v>23590970</v>
      </c>
      <c r="B56" s="3" t="s">
        <v>122</v>
      </c>
      <c r="C56" s="3" t="s">
        <v>123</v>
      </c>
      <c r="D56" s="3">
        <v>45</v>
      </c>
      <c r="E56" s="3">
        <v>33</v>
      </c>
      <c r="F56" s="3">
        <v>55</v>
      </c>
      <c r="G56" s="3">
        <v>44</v>
      </c>
      <c r="H56" s="3">
        <v>44.25</v>
      </c>
      <c r="I56" s="10">
        <f t="shared" si="0"/>
        <v>44.5625</v>
      </c>
      <c r="J56" s="3" t="str">
        <f t="shared" si="1"/>
        <v>F</v>
      </c>
      <c r="K56" s="3">
        <v>10</v>
      </c>
      <c r="L56" s="3" t="str">
        <f t="shared" si="2"/>
        <v>Yes</v>
      </c>
      <c r="M56" s="3" t="str">
        <f t="shared" si="3"/>
        <v>No</v>
      </c>
    </row>
    <row r="57" spans="1:13" x14ac:dyDescent="0.2">
      <c r="A57" s="3">
        <v>23574855</v>
      </c>
      <c r="B57" s="3" t="s">
        <v>124</v>
      </c>
      <c r="C57" s="3" t="s">
        <v>125</v>
      </c>
      <c r="D57" s="3">
        <v>41</v>
      </c>
      <c r="E57" s="3">
        <v>34</v>
      </c>
      <c r="F57" s="3">
        <v>62</v>
      </c>
      <c r="G57" s="3">
        <v>45</v>
      </c>
      <c r="H57" s="3">
        <v>45.5</v>
      </c>
      <c r="I57" s="10">
        <f t="shared" si="0"/>
        <v>46</v>
      </c>
      <c r="J57" s="3" t="str">
        <f t="shared" si="1"/>
        <v>F</v>
      </c>
      <c r="K57" s="3">
        <v>15</v>
      </c>
      <c r="L57" s="3" t="str">
        <f t="shared" si="2"/>
        <v>Yes</v>
      </c>
      <c r="M57" s="3" t="str">
        <f t="shared" si="3"/>
        <v>No</v>
      </c>
    </row>
  </sheetData>
  <conditionalFormatting sqref="I8:I57">
    <cfRule type="cellIs" dxfId="104" priority="24" operator="greaterThan">
      <formula>69</formula>
    </cfRule>
    <cfRule type="cellIs" dxfId="103" priority="25" operator="lessThanOrEqual">
      <formula>69</formula>
    </cfRule>
    <cfRule type="cellIs" dxfId="102" priority="26" operator="lessThanOrEqual">
      <formula>60</formula>
    </cfRule>
  </conditionalFormatting>
  <conditionalFormatting sqref="D8:H1048576">
    <cfRule type="dataBar" priority="11">
      <dataBar>
        <cfvo type="min"/>
        <cfvo type="max"/>
        <color rgb="FF638EC6"/>
      </dataBar>
      <extLst>
        <ext xmlns:x14="http://schemas.microsoft.com/office/spreadsheetml/2009/9/main" uri="{B025F937-C7B1-47D3-B67F-A62EFF666E3E}">
          <x14:id>{669EB54F-0288-C945-8448-5388084CC821}</x14:id>
        </ext>
      </extLst>
    </cfRule>
  </conditionalFormatting>
  <conditionalFormatting sqref="D2:H2">
    <cfRule type="dataBar" priority="10">
      <dataBar>
        <cfvo type="min"/>
        <cfvo type="max"/>
        <color rgb="FF638EC6"/>
      </dataBar>
      <extLst>
        <ext xmlns:x14="http://schemas.microsoft.com/office/spreadsheetml/2009/9/main" uri="{B025F937-C7B1-47D3-B67F-A62EFF666E3E}">
          <x14:id>{4BCFCABE-5E23-1844-8944-A44D5E210FAC}</x14:id>
        </ext>
      </extLst>
    </cfRule>
  </conditionalFormatting>
  <conditionalFormatting sqref="I2">
    <cfRule type="cellIs" dxfId="101" priority="7" operator="greaterThan">
      <formula>69</formula>
    </cfRule>
    <cfRule type="cellIs" dxfId="100" priority="8" operator="lessThanOrEqual">
      <formula>69</formula>
    </cfRule>
    <cfRule type="cellIs" dxfId="99" priority="9" operator="lessThanOrEqual">
      <formula>60</formula>
    </cfRule>
  </conditionalFormatting>
  <conditionalFormatting sqref="M8:M1048576">
    <cfRule type="expression" dxfId="98" priority="6">
      <formula>IF(M8="Yes",TRUE,FALSE)</formula>
    </cfRule>
  </conditionalFormatting>
  <conditionalFormatting sqref="L8:L1048576">
    <cfRule type="expression" dxfId="97" priority="5">
      <formula>IF(L8="Yes",TRUE,FALSE)</formula>
    </cfRule>
  </conditionalFormatting>
  <conditionalFormatting sqref="J8:J1048576">
    <cfRule type="expression" dxfId="96" priority="4">
      <formula>IF(OR(J8="D",J8="F"),TRUE,FALSE)</formula>
    </cfRule>
  </conditionalFormatting>
  <conditionalFormatting sqref="L2">
    <cfRule type="expression" dxfId="95" priority="3">
      <formula>IF(L2="Yes",TRUE,FALSE)</formula>
    </cfRule>
  </conditionalFormatting>
  <conditionalFormatting sqref="M2">
    <cfRule type="expression" dxfId="94" priority="2">
      <formula>IF(M2="Yes",TRUE,FALSE)</formula>
    </cfRule>
  </conditionalFormatting>
  <conditionalFormatting sqref="J2">
    <cfRule type="expression" dxfId="93" priority="1">
      <formula>IF(OR(J2="D",J2="F"),TRUE,FALSE)</formula>
    </cfRule>
  </conditionalFormatting>
  <dataValidations count="3">
    <dataValidation type="list" allowBlank="1" showInputMessage="1" showErrorMessage="1" sqref="A2" xr:uid="{19AF2C78-2C5E-C04E-A473-DA5170D09AB9}">
      <formula1>$A$8:$A$57</formula1>
    </dataValidation>
    <dataValidation type="custom" allowBlank="1" showInputMessage="1" showErrorMessage="1" sqref="B8:C1048576" xr:uid="{8A7C2472-3048-C641-BBB8-01000AC4E3F3}">
      <formula1>ISTEXT(B8)</formula1>
    </dataValidation>
    <dataValidation type="decimal" operator="greaterThanOrEqual" allowBlank="1" showInputMessage="1" showErrorMessage="1" sqref="D8:H1048576 I8:I57" xr:uid="{FC5D8CDC-B56A-794C-ABA0-742D64144723}">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2" r:id="rId3" name="Button 10">
              <controlPr defaultSize="0" print="0" autoFill="0" autoPict="0" macro="[0]!Instruction_Data">
                <anchor moveWithCells="1" sizeWithCells="1">
                  <from>
                    <xdr:col>11</xdr:col>
                    <xdr:colOff>660400</xdr:colOff>
                    <xdr:row>2</xdr:row>
                    <xdr:rowOff>177800</xdr:rowOff>
                  </from>
                  <to>
                    <xdr:col>12</xdr:col>
                    <xdr:colOff>838200</xdr:colOff>
                    <xdr:row>5</xdr:row>
                    <xdr:rowOff>63500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669EB54F-0288-C945-8448-5388084CC821}">
            <x14:dataBar minLength="0" maxLength="100" border="1" negativeBarBorderColorSameAsPositive="0">
              <x14:cfvo type="autoMin"/>
              <x14:cfvo type="autoMax"/>
              <x14:borderColor rgb="FF638EC6"/>
              <x14:negativeFillColor rgb="FFFF0000"/>
              <x14:negativeBorderColor rgb="FFFF0000"/>
              <x14:axisColor rgb="FF000000"/>
            </x14:dataBar>
          </x14:cfRule>
          <xm:sqref>D8:H1048576</xm:sqref>
        </x14:conditionalFormatting>
        <x14:conditionalFormatting xmlns:xm="http://schemas.microsoft.com/office/excel/2006/main">
          <x14:cfRule type="dataBar" id="{4BCFCABE-5E23-1844-8944-A44D5E210FAC}">
            <x14:dataBar minLength="0" maxLength="100" border="1" negativeBarBorderColorSameAsPositive="0">
              <x14:cfvo type="autoMin"/>
              <x14:cfvo type="autoMax"/>
              <x14:borderColor rgb="FF638EC6"/>
              <x14:negativeFillColor rgb="FFFF0000"/>
              <x14:negativeBorderColor rgb="FFFF0000"/>
              <x14:axisColor rgb="FF000000"/>
            </x14:dataBar>
          </x14:cfRule>
          <xm:sqref>D2:H2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02D5E-728B-4A4B-BC8A-062EECE60A44}">
  <sheetPr codeName="Sheet4"/>
  <dimension ref="A1:AD160"/>
  <sheetViews>
    <sheetView workbookViewId="0">
      <selection activeCell="R2" sqref="R2"/>
    </sheetView>
  </sheetViews>
  <sheetFormatPr baseColWidth="10" defaultColWidth="10.83203125" defaultRowHeight="16" x14ac:dyDescent="0.2"/>
  <cols>
    <col min="1" max="1" width="20.1640625" style="4" bestFit="1" customWidth="1"/>
    <col min="2" max="2" width="25.1640625" style="4" bestFit="1" customWidth="1"/>
    <col min="3" max="3" width="4" style="4" bestFit="1" customWidth="1"/>
    <col min="4" max="4" width="10.83203125" style="4" bestFit="1" customWidth="1"/>
    <col min="5" max="6" width="7.1640625" style="4" bestFit="1" customWidth="1"/>
    <col min="7" max="8" width="8.1640625" style="4" bestFit="1" customWidth="1"/>
    <col min="9" max="9" width="7.1640625" style="4" bestFit="1" customWidth="1"/>
    <col min="10" max="10" width="13" style="4" bestFit="1" customWidth="1"/>
    <col min="11" max="11" width="14.33203125" style="4" bestFit="1" customWidth="1"/>
    <col min="12" max="12" width="5.83203125" style="4" customWidth="1"/>
    <col min="13" max="13" width="14.83203125" style="4" customWidth="1"/>
    <col min="14" max="15" width="14.33203125" style="4" bestFit="1" customWidth="1"/>
    <col min="16" max="16" width="7.1640625" style="4" bestFit="1" customWidth="1"/>
    <col min="17" max="23" width="10.83203125" style="4"/>
    <col min="24" max="24" width="9.1640625" style="4" bestFit="1" customWidth="1"/>
    <col min="25" max="25" width="10" style="4" bestFit="1" customWidth="1"/>
    <col min="26" max="26" width="10.33203125" style="4" bestFit="1" customWidth="1"/>
    <col min="27" max="28" width="7.1640625" style="4" bestFit="1" customWidth="1"/>
    <col min="29" max="29" width="10.1640625" style="4" bestFit="1" customWidth="1"/>
    <col min="30" max="30" width="11.6640625" style="4" bestFit="1" customWidth="1"/>
    <col min="31" max="32" width="10.83203125" style="4"/>
    <col min="33" max="33" width="11.5" style="4" bestFit="1" customWidth="1"/>
    <col min="34" max="34" width="11.1640625" style="4" bestFit="1" customWidth="1"/>
    <col min="35" max="35" width="17.6640625" style="4" bestFit="1" customWidth="1"/>
    <col min="36" max="16384" width="10.83203125" style="4"/>
  </cols>
  <sheetData>
    <row r="1" spans="1:30" x14ac:dyDescent="0.2">
      <c r="R1" s="42" t="s">
        <v>11</v>
      </c>
      <c r="S1" s="42" t="s">
        <v>12</v>
      </c>
      <c r="T1" s="42" t="s">
        <v>13</v>
      </c>
      <c r="U1" s="42" t="s">
        <v>14</v>
      </c>
      <c r="V1" s="42" t="s">
        <v>15</v>
      </c>
      <c r="W1" s="42" t="s">
        <v>16</v>
      </c>
      <c r="X1" s="42" t="s">
        <v>17</v>
      </c>
      <c r="Y1" s="42" t="s">
        <v>18</v>
      </c>
      <c r="Z1" s="42" t="s">
        <v>19</v>
      </c>
      <c r="AA1" s="42" t="s">
        <v>20</v>
      </c>
      <c r="AB1" s="42" t="s">
        <v>21</v>
      </c>
      <c r="AC1" s="42" t="s">
        <v>22</v>
      </c>
      <c r="AD1" s="42" t="s">
        <v>23</v>
      </c>
    </row>
    <row r="2" spans="1:30" x14ac:dyDescent="0.2">
      <c r="R2" s="3">
        <v>23503674</v>
      </c>
      <c r="S2" s="3" t="str">
        <f>VLOOKUP($R$2,$A$110:$M$160,2,FALSE)</f>
        <v>Billy</v>
      </c>
      <c r="T2" s="3" t="str">
        <f>VLOOKUP($R$2,$A$110:$M$160,3,FALSE)</f>
        <v>Nelson</v>
      </c>
      <c r="U2" s="3">
        <f>VLOOKUP($R$2,$A$110:$M$160,4,FALSE)</f>
        <v>70</v>
      </c>
      <c r="V2" s="3">
        <f>VLOOKUP($R$2,$A$110:$M$160,5,FALSE)</f>
        <v>78</v>
      </c>
      <c r="W2" s="3">
        <f>VLOOKUP($R$2,$A$110:$M$160,6,FALSE)</f>
        <v>82</v>
      </c>
      <c r="X2" s="3">
        <f>VLOOKUP($R$2,$A$110:$M$160,7,FALSE)</f>
        <v>76</v>
      </c>
      <c r="Y2" s="3">
        <f>VLOOKUP($R$2,$A$110:$M$160,8,FALSE)</f>
        <v>76.5</v>
      </c>
      <c r="Z2" s="3">
        <f>VLOOKUP($R$2,$A$110:$M$160,9,FALSE)</f>
        <v>76.724999999999994</v>
      </c>
      <c r="AA2" s="3" t="str">
        <f>VLOOKUP($R$2,$A$110:$M$160,10,FALSE)</f>
        <v>C</v>
      </c>
      <c r="AB2" s="3">
        <f>VLOOKUP($R$2,$A$110:$M$160,11,FALSE)</f>
        <v>6</v>
      </c>
      <c r="AC2" s="3" t="str">
        <f>VLOOKUP($R$2,$A$110:$M$160,12,FALSE)</f>
        <v>No</v>
      </c>
      <c r="AD2" s="3" t="str">
        <f>VLOOKUP($R$2,$A$110:$M$160,13,FALSE)</f>
        <v>No</v>
      </c>
    </row>
    <row r="3" spans="1:30" x14ac:dyDescent="0.2">
      <c r="A3" s="42" t="s">
        <v>22</v>
      </c>
      <c r="B3" s="42" t="s">
        <v>126</v>
      </c>
      <c r="M3" s="42" t="s">
        <v>23</v>
      </c>
      <c r="N3" s="42" t="s">
        <v>127</v>
      </c>
    </row>
    <row r="4" spans="1:30" x14ac:dyDescent="0.2">
      <c r="A4" s="12" t="s">
        <v>128</v>
      </c>
      <c r="B4" s="3">
        <v>29</v>
      </c>
      <c r="M4" s="12" t="s">
        <v>129</v>
      </c>
      <c r="N4" s="3">
        <v>6</v>
      </c>
    </row>
    <row r="5" spans="1:30" x14ac:dyDescent="0.2">
      <c r="A5" s="12" t="s">
        <v>129</v>
      </c>
      <c r="B5" s="3">
        <v>21</v>
      </c>
    </row>
    <row r="110" spans="1:13" x14ac:dyDescent="0.2">
      <c r="A110" s="29" t="s">
        <v>11</v>
      </c>
      <c r="B110" s="29" t="s">
        <v>12</v>
      </c>
      <c r="C110" s="29" t="s">
        <v>13</v>
      </c>
      <c r="D110" s="29" t="s">
        <v>14</v>
      </c>
      <c r="E110" s="29" t="s">
        <v>15</v>
      </c>
      <c r="F110" s="29" t="s">
        <v>16</v>
      </c>
      <c r="G110" s="29" t="s">
        <v>17</v>
      </c>
      <c r="H110" s="29" t="s">
        <v>18</v>
      </c>
      <c r="I110" s="29" t="s">
        <v>19</v>
      </c>
      <c r="J110" s="29" t="s">
        <v>20</v>
      </c>
      <c r="K110" s="29" t="s">
        <v>21</v>
      </c>
      <c r="L110" s="29" t="s">
        <v>22</v>
      </c>
      <c r="M110" s="29" t="s">
        <v>23</v>
      </c>
    </row>
    <row r="111" spans="1:13" x14ac:dyDescent="0.2">
      <c r="A111" s="29">
        <v>23672743</v>
      </c>
      <c r="B111" s="29" t="s">
        <v>27</v>
      </c>
      <c r="C111" s="29" t="s">
        <v>28</v>
      </c>
      <c r="D111" s="29">
        <v>57</v>
      </c>
      <c r="E111" s="29">
        <v>49</v>
      </c>
      <c r="F111" s="29">
        <v>37</v>
      </c>
      <c r="G111" s="29">
        <v>47</v>
      </c>
      <c r="H111" s="29">
        <v>47.5</v>
      </c>
      <c r="I111" s="53">
        <f>(22.5%*D111)+(22.5%*E111)+(25%*F111)+(5%*G111)+(25%*H111)</f>
        <v>47.325000000000003</v>
      </c>
      <c r="J111" s="29" t="str">
        <f>IF(I111&gt;=93,"A",IF(I111&gt;=90,"A-",IF(I111&gt;=87,"B+",IF(I111&gt;=83,"B",IF(I111&gt;=80,"B-",IF(I111&gt;=77,"C+",IF(I111&gt;=73,"C",IF(I111&gt;=70,"C-",IF(I111&gt;=60,"D",IF(I111&lt;60,"F"))))))))))</f>
        <v>F</v>
      </c>
      <c r="K111" s="29">
        <v>12</v>
      </c>
      <c r="L111" s="29" t="str">
        <f>IF(AND(I111&lt;=60,K111&gt;=10),"Yes","No")</f>
        <v>Yes</v>
      </c>
      <c r="M111" s="29" t="str">
        <f>IF(AND(I111&gt;=87,K111&lt;=5),"Yes","No")</f>
        <v>No</v>
      </c>
    </row>
    <row r="112" spans="1:13" x14ac:dyDescent="0.2">
      <c r="A112" s="29">
        <v>23570945</v>
      </c>
      <c r="B112" s="29" t="s">
        <v>29</v>
      </c>
      <c r="C112" s="29" t="s">
        <v>30</v>
      </c>
      <c r="D112" s="29">
        <v>88</v>
      </c>
      <c r="E112" s="29">
        <v>86</v>
      </c>
      <c r="F112" s="29">
        <v>94</v>
      </c>
      <c r="G112" s="29">
        <v>89</v>
      </c>
      <c r="H112" s="29">
        <v>89.25</v>
      </c>
      <c r="I112" s="53">
        <f t="shared" ref="I112:I160" si="0">(22.5%*D112)+(22.5%*E112)+(25%*F112)+(5%*G112)+(25%*H112)</f>
        <v>89.412500000000009</v>
      </c>
      <c r="J112" s="29" t="str">
        <f t="shared" ref="J112:J160" si="1">IF(I112&gt;=93,"A",IF(I112&gt;=90,"A-",IF(I112&gt;=87,"B+",IF(I112&gt;=83,"B",IF(I112&gt;=80,"B-",IF(I112&gt;=77,"C+",IF(I112&gt;=73,"C",IF(I112&gt;=70,"C-",IF(I112&gt;=60,"D",IF(I112&lt;60,"F"))))))))))</f>
        <v>B+</v>
      </c>
      <c r="K112" s="29">
        <v>3</v>
      </c>
      <c r="L112" s="29" t="str">
        <f t="shared" ref="L112:L160" si="2">IF(AND(I112&lt;=60,K112&gt;=10),"Yes","No")</f>
        <v>No</v>
      </c>
      <c r="M112" s="29" t="str">
        <f t="shared" ref="M112:M160" si="3">IF(AND(I112&gt;=87,K112&lt;=5),"Yes","No")</f>
        <v>Yes</v>
      </c>
    </row>
    <row r="113" spans="1:13" x14ac:dyDescent="0.2">
      <c r="A113" s="29">
        <v>23569340</v>
      </c>
      <c r="B113" s="29" t="s">
        <v>31</v>
      </c>
      <c r="C113" s="29" t="s">
        <v>32</v>
      </c>
      <c r="D113" s="29">
        <v>76</v>
      </c>
      <c r="E113" s="29">
        <v>75</v>
      </c>
      <c r="F113" s="29">
        <v>79</v>
      </c>
      <c r="G113" s="29">
        <v>76</v>
      </c>
      <c r="H113" s="29">
        <v>76.5</v>
      </c>
      <c r="I113" s="53">
        <f t="shared" si="0"/>
        <v>76.650000000000006</v>
      </c>
      <c r="J113" s="29" t="str">
        <f t="shared" si="1"/>
        <v>C</v>
      </c>
      <c r="K113" s="29">
        <v>6</v>
      </c>
      <c r="L113" s="29" t="str">
        <f t="shared" si="2"/>
        <v>No</v>
      </c>
      <c r="M113" s="29" t="str">
        <f t="shared" si="3"/>
        <v>No</v>
      </c>
    </row>
    <row r="114" spans="1:13" x14ac:dyDescent="0.2">
      <c r="A114" s="29">
        <v>23503674</v>
      </c>
      <c r="B114" s="29" t="s">
        <v>33</v>
      </c>
      <c r="C114" s="29" t="s">
        <v>34</v>
      </c>
      <c r="D114" s="29">
        <v>70</v>
      </c>
      <c r="E114" s="29">
        <v>78</v>
      </c>
      <c r="F114" s="29">
        <v>82</v>
      </c>
      <c r="G114" s="29">
        <v>76</v>
      </c>
      <c r="H114" s="29">
        <v>76.5</v>
      </c>
      <c r="I114" s="53">
        <f t="shared" si="0"/>
        <v>76.724999999999994</v>
      </c>
      <c r="J114" s="29" t="str">
        <f t="shared" si="1"/>
        <v>C</v>
      </c>
      <c r="K114" s="29">
        <v>6</v>
      </c>
      <c r="L114" s="29" t="str">
        <f t="shared" si="2"/>
        <v>No</v>
      </c>
      <c r="M114" s="29" t="str">
        <f t="shared" si="3"/>
        <v>No</v>
      </c>
    </row>
    <row r="115" spans="1:13" x14ac:dyDescent="0.2">
      <c r="A115" s="29">
        <v>23545029</v>
      </c>
      <c r="B115" s="29" t="s">
        <v>35</v>
      </c>
      <c r="C115" s="29" t="s">
        <v>36</v>
      </c>
      <c r="D115" s="29">
        <v>77</v>
      </c>
      <c r="E115" s="29">
        <v>79</v>
      </c>
      <c r="F115" s="29">
        <v>81</v>
      </c>
      <c r="G115" s="29">
        <v>79</v>
      </c>
      <c r="H115" s="29">
        <v>79</v>
      </c>
      <c r="I115" s="53">
        <f t="shared" si="0"/>
        <v>79.050000000000011</v>
      </c>
      <c r="J115" s="29" t="str">
        <f t="shared" si="1"/>
        <v>C+</v>
      </c>
      <c r="K115" s="29">
        <v>7</v>
      </c>
      <c r="L115" s="29" t="str">
        <f t="shared" si="2"/>
        <v>No</v>
      </c>
      <c r="M115" s="29" t="str">
        <f t="shared" si="3"/>
        <v>No</v>
      </c>
    </row>
    <row r="116" spans="1:13" x14ac:dyDescent="0.2">
      <c r="A116" s="29">
        <v>23555563</v>
      </c>
      <c r="B116" s="29" t="s">
        <v>37</v>
      </c>
      <c r="C116" s="29" t="s">
        <v>38</v>
      </c>
      <c r="D116" s="29">
        <v>65</v>
      </c>
      <c r="E116" s="29">
        <v>66</v>
      </c>
      <c r="F116" s="29">
        <v>72</v>
      </c>
      <c r="G116" s="29">
        <v>67</v>
      </c>
      <c r="H116" s="29">
        <v>67.5</v>
      </c>
      <c r="I116" s="53">
        <f t="shared" si="0"/>
        <v>67.7</v>
      </c>
      <c r="J116" s="29" t="str">
        <f t="shared" si="1"/>
        <v>D</v>
      </c>
      <c r="K116" s="29">
        <v>5</v>
      </c>
      <c r="L116" s="29" t="str">
        <f t="shared" si="2"/>
        <v>No</v>
      </c>
      <c r="M116" s="29" t="str">
        <f t="shared" si="3"/>
        <v>No</v>
      </c>
    </row>
    <row r="117" spans="1:13" x14ac:dyDescent="0.2">
      <c r="A117" s="29">
        <v>23544190</v>
      </c>
      <c r="B117" s="29" t="s">
        <v>39</v>
      </c>
      <c r="C117" s="29" t="s">
        <v>40</v>
      </c>
      <c r="D117" s="29">
        <v>53</v>
      </c>
      <c r="E117" s="29">
        <v>42</v>
      </c>
      <c r="F117" s="29">
        <v>40</v>
      </c>
      <c r="G117" s="29">
        <v>45</v>
      </c>
      <c r="H117" s="29">
        <v>45</v>
      </c>
      <c r="I117" s="53">
        <f t="shared" si="0"/>
        <v>44.875</v>
      </c>
      <c r="J117" s="29" t="str">
        <f t="shared" si="1"/>
        <v>F</v>
      </c>
      <c r="K117" s="29">
        <v>13</v>
      </c>
      <c r="L117" s="29" t="str">
        <f t="shared" si="2"/>
        <v>Yes</v>
      </c>
      <c r="M117" s="29" t="str">
        <f t="shared" si="3"/>
        <v>No</v>
      </c>
    </row>
    <row r="118" spans="1:13" x14ac:dyDescent="0.2">
      <c r="A118" s="29">
        <v>23578756</v>
      </c>
      <c r="B118" s="29" t="s">
        <v>41</v>
      </c>
      <c r="C118" s="29" t="s">
        <v>42</v>
      </c>
      <c r="D118" s="29">
        <v>64</v>
      </c>
      <c r="E118" s="29">
        <v>65</v>
      </c>
      <c r="F118" s="29">
        <v>70</v>
      </c>
      <c r="G118" s="29">
        <v>66</v>
      </c>
      <c r="H118" s="29">
        <v>66.25</v>
      </c>
      <c r="I118" s="53">
        <f t="shared" si="0"/>
        <v>66.387499999999989</v>
      </c>
      <c r="J118" s="29" t="str">
        <f t="shared" si="1"/>
        <v>D</v>
      </c>
      <c r="K118" s="29">
        <v>7</v>
      </c>
      <c r="L118" s="29" t="str">
        <f t="shared" si="2"/>
        <v>No</v>
      </c>
      <c r="M118" s="29" t="str">
        <f t="shared" si="3"/>
        <v>No</v>
      </c>
    </row>
    <row r="119" spans="1:13" x14ac:dyDescent="0.2">
      <c r="A119" s="29">
        <v>23538914</v>
      </c>
      <c r="B119" s="29" t="s">
        <v>43</v>
      </c>
      <c r="C119" s="29" t="s">
        <v>44</v>
      </c>
      <c r="D119" s="29">
        <v>48</v>
      </c>
      <c r="E119" s="29">
        <v>32</v>
      </c>
      <c r="F119" s="29">
        <v>39</v>
      </c>
      <c r="G119" s="29">
        <v>39</v>
      </c>
      <c r="H119" s="29">
        <v>39.5</v>
      </c>
      <c r="I119" s="53">
        <f t="shared" si="0"/>
        <v>39.575000000000003</v>
      </c>
      <c r="J119" s="29" t="str">
        <f t="shared" si="1"/>
        <v>F</v>
      </c>
      <c r="K119" s="29">
        <v>14</v>
      </c>
      <c r="L119" s="29" t="str">
        <f t="shared" si="2"/>
        <v>Yes</v>
      </c>
      <c r="M119" s="29" t="str">
        <f t="shared" si="3"/>
        <v>No</v>
      </c>
    </row>
    <row r="120" spans="1:13" x14ac:dyDescent="0.2">
      <c r="A120" s="29">
        <v>23536981</v>
      </c>
      <c r="B120" s="29" t="s">
        <v>45</v>
      </c>
      <c r="C120" s="29" t="s">
        <v>46</v>
      </c>
      <c r="D120" s="29">
        <v>45</v>
      </c>
      <c r="E120" s="29">
        <v>30</v>
      </c>
      <c r="F120" s="29">
        <v>49</v>
      </c>
      <c r="G120" s="29">
        <v>41</v>
      </c>
      <c r="H120" s="29">
        <v>41.25</v>
      </c>
      <c r="I120" s="53">
        <f t="shared" si="0"/>
        <v>41.487499999999997</v>
      </c>
      <c r="J120" s="29" t="str">
        <f t="shared" si="1"/>
        <v>F</v>
      </c>
      <c r="K120" s="29">
        <v>11</v>
      </c>
      <c r="L120" s="29" t="str">
        <f t="shared" si="2"/>
        <v>Yes</v>
      </c>
      <c r="M120" s="29" t="str">
        <f t="shared" si="3"/>
        <v>No</v>
      </c>
    </row>
    <row r="121" spans="1:13" x14ac:dyDescent="0.2">
      <c r="A121" s="29">
        <v>23643612</v>
      </c>
      <c r="B121" s="29" t="s">
        <v>47</v>
      </c>
      <c r="C121" s="29" t="s">
        <v>48</v>
      </c>
      <c r="D121" s="29">
        <v>55</v>
      </c>
      <c r="E121" s="29">
        <v>55</v>
      </c>
      <c r="F121" s="29">
        <v>41</v>
      </c>
      <c r="G121" s="29">
        <v>50</v>
      </c>
      <c r="H121" s="29">
        <v>50.25</v>
      </c>
      <c r="I121" s="53">
        <f t="shared" si="0"/>
        <v>50.0625</v>
      </c>
      <c r="J121" s="29" t="str">
        <f t="shared" si="1"/>
        <v>F</v>
      </c>
      <c r="K121" s="29">
        <v>1</v>
      </c>
      <c r="L121" s="29" t="str">
        <f t="shared" si="2"/>
        <v>No</v>
      </c>
      <c r="M121" s="29" t="str">
        <f t="shared" si="3"/>
        <v>No</v>
      </c>
    </row>
    <row r="122" spans="1:13" x14ac:dyDescent="0.2">
      <c r="A122" s="29">
        <v>23635346</v>
      </c>
      <c r="B122" s="29" t="s">
        <v>49</v>
      </c>
      <c r="C122" s="29" t="s">
        <v>50</v>
      </c>
      <c r="D122" s="29">
        <v>77</v>
      </c>
      <c r="E122" s="29">
        <v>80</v>
      </c>
      <c r="F122" s="29">
        <v>93</v>
      </c>
      <c r="G122" s="29">
        <v>83</v>
      </c>
      <c r="H122" s="29">
        <v>83.25</v>
      </c>
      <c r="I122" s="53">
        <f t="shared" si="0"/>
        <v>83.537499999999994</v>
      </c>
      <c r="J122" s="29" t="str">
        <f t="shared" si="1"/>
        <v>B</v>
      </c>
      <c r="K122" s="29">
        <v>1</v>
      </c>
      <c r="L122" s="29" t="str">
        <f t="shared" si="2"/>
        <v>No</v>
      </c>
      <c r="M122" s="29" t="str">
        <f t="shared" si="3"/>
        <v>No</v>
      </c>
    </row>
    <row r="123" spans="1:13" x14ac:dyDescent="0.2">
      <c r="A123" s="29">
        <v>23602899</v>
      </c>
      <c r="B123" s="29" t="s">
        <v>51</v>
      </c>
      <c r="C123" s="29" t="s">
        <v>52</v>
      </c>
      <c r="D123" s="29">
        <v>60</v>
      </c>
      <c r="E123" s="29">
        <v>69</v>
      </c>
      <c r="F123" s="29">
        <v>71</v>
      </c>
      <c r="G123" s="29">
        <v>66</v>
      </c>
      <c r="H123" s="29">
        <v>66.5</v>
      </c>
      <c r="I123" s="53">
        <f t="shared" si="0"/>
        <v>66.699999999999989</v>
      </c>
      <c r="J123" s="29" t="str">
        <f t="shared" si="1"/>
        <v>D</v>
      </c>
      <c r="K123" s="29">
        <v>4</v>
      </c>
      <c r="L123" s="29" t="str">
        <f t="shared" si="2"/>
        <v>No</v>
      </c>
      <c r="M123" s="29" t="str">
        <f t="shared" si="3"/>
        <v>No</v>
      </c>
    </row>
    <row r="124" spans="1:13" x14ac:dyDescent="0.2">
      <c r="A124" s="29">
        <v>23518502</v>
      </c>
      <c r="B124" s="29" t="s">
        <v>53</v>
      </c>
      <c r="C124" s="29" t="s">
        <v>54</v>
      </c>
      <c r="D124" s="29">
        <v>50</v>
      </c>
      <c r="E124" s="29">
        <v>33</v>
      </c>
      <c r="F124" s="29">
        <v>38</v>
      </c>
      <c r="G124" s="29">
        <v>40</v>
      </c>
      <c r="H124" s="29">
        <v>40.25</v>
      </c>
      <c r="I124" s="53">
        <f t="shared" si="0"/>
        <v>40.237499999999997</v>
      </c>
      <c r="J124" s="29" t="str">
        <f t="shared" si="1"/>
        <v>F</v>
      </c>
      <c r="K124" s="29">
        <v>12</v>
      </c>
      <c r="L124" s="29" t="str">
        <f t="shared" si="2"/>
        <v>Yes</v>
      </c>
      <c r="M124" s="29" t="str">
        <f t="shared" si="3"/>
        <v>No</v>
      </c>
    </row>
    <row r="125" spans="1:13" x14ac:dyDescent="0.2">
      <c r="A125" s="29">
        <v>23545298</v>
      </c>
      <c r="B125" s="29" t="s">
        <v>55</v>
      </c>
      <c r="C125" s="29" t="s">
        <v>56</v>
      </c>
      <c r="D125" s="29">
        <v>47</v>
      </c>
      <c r="E125" s="29">
        <v>44</v>
      </c>
      <c r="F125" s="29">
        <v>43</v>
      </c>
      <c r="G125" s="29">
        <v>44</v>
      </c>
      <c r="H125" s="29">
        <v>44.5</v>
      </c>
      <c r="I125" s="53">
        <f t="shared" si="0"/>
        <v>44.550000000000004</v>
      </c>
      <c r="J125" s="29" t="str">
        <f t="shared" si="1"/>
        <v>F</v>
      </c>
      <c r="K125" s="29">
        <v>10</v>
      </c>
      <c r="L125" s="29" t="str">
        <f t="shared" si="2"/>
        <v>Yes</v>
      </c>
      <c r="M125" s="29" t="str">
        <f t="shared" si="3"/>
        <v>No</v>
      </c>
    </row>
    <row r="126" spans="1:13" x14ac:dyDescent="0.2">
      <c r="A126" s="29">
        <v>23681588</v>
      </c>
      <c r="B126" s="29" t="s">
        <v>57</v>
      </c>
      <c r="C126" s="29" t="s">
        <v>58</v>
      </c>
      <c r="D126" s="29">
        <v>71</v>
      </c>
      <c r="E126" s="29">
        <v>78</v>
      </c>
      <c r="F126" s="29">
        <v>82</v>
      </c>
      <c r="G126" s="29">
        <v>77</v>
      </c>
      <c r="H126" s="29">
        <v>77</v>
      </c>
      <c r="I126" s="53">
        <f t="shared" si="0"/>
        <v>77.125</v>
      </c>
      <c r="J126" s="29" t="str">
        <f t="shared" si="1"/>
        <v>C+</v>
      </c>
      <c r="K126" s="29">
        <v>0</v>
      </c>
      <c r="L126" s="29" t="str">
        <f t="shared" si="2"/>
        <v>No</v>
      </c>
      <c r="M126" s="29" t="str">
        <f t="shared" si="3"/>
        <v>No</v>
      </c>
    </row>
    <row r="127" spans="1:13" x14ac:dyDescent="0.2">
      <c r="A127" s="29">
        <v>23558031</v>
      </c>
      <c r="B127" s="29" t="s">
        <v>59</v>
      </c>
      <c r="C127" s="29" t="s">
        <v>60</v>
      </c>
      <c r="D127" s="29">
        <v>71</v>
      </c>
      <c r="E127" s="29">
        <v>78</v>
      </c>
      <c r="F127" s="29">
        <v>77</v>
      </c>
      <c r="G127" s="29">
        <v>75</v>
      </c>
      <c r="H127" s="29">
        <v>75.25</v>
      </c>
      <c r="I127" s="53">
        <f t="shared" si="0"/>
        <v>75.337500000000006</v>
      </c>
      <c r="J127" s="29" t="str">
        <f t="shared" si="1"/>
        <v>C</v>
      </c>
      <c r="K127" s="29">
        <v>0</v>
      </c>
      <c r="L127" s="29" t="str">
        <f t="shared" si="2"/>
        <v>No</v>
      </c>
      <c r="M127" s="29" t="str">
        <f t="shared" si="3"/>
        <v>No</v>
      </c>
    </row>
    <row r="128" spans="1:13" x14ac:dyDescent="0.2">
      <c r="A128" s="29">
        <v>23630771</v>
      </c>
      <c r="B128" s="29" t="s">
        <v>61</v>
      </c>
      <c r="C128" s="29" t="s">
        <v>62</v>
      </c>
      <c r="D128" s="29">
        <v>30</v>
      </c>
      <c r="E128" s="29">
        <v>32</v>
      </c>
      <c r="F128" s="29">
        <v>46</v>
      </c>
      <c r="G128" s="29">
        <v>36</v>
      </c>
      <c r="H128" s="29">
        <v>36</v>
      </c>
      <c r="I128" s="53">
        <f t="shared" si="0"/>
        <v>36.25</v>
      </c>
      <c r="J128" s="29" t="str">
        <f t="shared" si="1"/>
        <v>F</v>
      </c>
      <c r="K128" s="29">
        <v>14</v>
      </c>
      <c r="L128" s="29" t="str">
        <f t="shared" si="2"/>
        <v>Yes</v>
      </c>
      <c r="M128" s="29" t="str">
        <f t="shared" si="3"/>
        <v>No</v>
      </c>
    </row>
    <row r="129" spans="1:13" x14ac:dyDescent="0.2">
      <c r="A129" s="29">
        <v>23580679</v>
      </c>
      <c r="B129" s="29" t="s">
        <v>63</v>
      </c>
      <c r="C129" s="29" t="s">
        <v>64</v>
      </c>
      <c r="D129" s="29">
        <v>73</v>
      </c>
      <c r="E129" s="29">
        <v>78</v>
      </c>
      <c r="F129" s="29">
        <v>77</v>
      </c>
      <c r="G129" s="29">
        <v>76</v>
      </c>
      <c r="H129" s="29">
        <v>76</v>
      </c>
      <c r="I129" s="53">
        <f t="shared" si="0"/>
        <v>76.025000000000006</v>
      </c>
      <c r="J129" s="29" t="str">
        <f t="shared" si="1"/>
        <v>C</v>
      </c>
      <c r="K129" s="29">
        <v>4</v>
      </c>
      <c r="L129" s="29" t="str">
        <f t="shared" si="2"/>
        <v>No</v>
      </c>
      <c r="M129" s="29" t="str">
        <f t="shared" si="3"/>
        <v>No</v>
      </c>
    </row>
    <row r="130" spans="1:13" x14ac:dyDescent="0.2">
      <c r="A130" s="29">
        <v>23521122</v>
      </c>
      <c r="B130" s="29" t="s">
        <v>65</v>
      </c>
      <c r="C130" s="29" t="s">
        <v>66</v>
      </c>
      <c r="D130" s="29">
        <v>32</v>
      </c>
      <c r="E130" s="29">
        <v>44</v>
      </c>
      <c r="F130" s="29">
        <v>38</v>
      </c>
      <c r="G130" s="29">
        <v>38</v>
      </c>
      <c r="H130" s="29">
        <v>38</v>
      </c>
      <c r="I130" s="53">
        <f t="shared" si="0"/>
        <v>38</v>
      </c>
      <c r="J130" s="29" t="str">
        <f t="shared" si="1"/>
        <v>F</v>
      </c>
      <c r="K130" s="29">
        <v>12</v>
      </c>
      <c r="L130" s="29" t="str">
        <f t="shared" si="2"/>
        <v>Yes</v>
      </c>
      <c r="M130" s="29" t="str">
        <f t="shared" si="3"/>
        <v>No</v>
      </c>
    </row>
    <row r="131" spans="1:13" x14ac:dyDescent="0.2">
      <c r="A131" s="29">
        <v>23607530</v>
      </c>
      <c r="B131" s="29" t="s">
        <v>67</v>
      </c>
      <c r="C131" s="29" t="s">
        <v>68</v>
      </c>
      <c r="D131" s="29">
        <v>55</v>
      </c>
      <c r="E131" s="29">
        <v>36</v>
      </c>
      <c r="F131" s="29">
        <v>46</v>
      </c>
      <c r="G131" s="29">
        <v>45</v>
      </c>
      <c r="H131" s="29">
        <v>45.5</v>
      </c>
      <c r="I131" s="53">
        <f t="shared" si="0"/>
        <v>45.6</v>
      </c>
      <c r="J131" s="29" t="str">
        <f t="shared" si="1"/>
        <v>F</v>
      </c>
      <c r="K131" s="29">
        <v>14</v>
      </c>
      <c r="L131" s="29" t="str">
        <f t="shared" si="2"/>
        <v>Yes</v>
      </c>
      <c r="M131" s="29" t="str">
        <f t="shared" si="3"/>
        <v>No</v>
      </c>
    </row>
    <row r="132" spans="1:13" x14ac:dyDescent="0.2">
      <c r="A132" s="29">
        <v>23625004</v>
      </c>
      <c r="B132" s="29" t="s">
        <v>69</v>
      </c>
      <c r="C132" s="29" t="s">
        <v>70</v>
      </c>
      <c r="D132" s="29">
        <v>36</v>
      </c>
      <c r="E132" s="29">
        <v>53</v>
      </c>
      <c r="F132" s="29">
        <v>65</v>
      </c>
      <c r="G132" s="29">
        <v>51</v>
      </c>
      <c r="H132" s="29">
        <v>51.25</v>
      </c>
      <c r="I132" s="53">
        <f t="shared" si="0"/>
        <v>51.637499999999996</v>
      </c>
      <c r="J132" s="29" t="str">
        <f t="shared" si="1"/>
        <v>F</v>
      </c>
      <c r="K132" s="29">
        <v>6</v>
      </c>
      <c r="L132" s="29" t="str">
        <f t="shared" si="2"/>
        <v>No</v>
      </c>
      <c r="M132" s="29" t="str">
        <f t="shared" si="3"/>
        <v>No</v>
      </c>
    </row>
    <row r="133" spans="1:13" x14ac:dyDescent="0.2">
      <c r="A133" s="29">
        <v>23501390</v>
      </c>
      <c r="B133" s="29" t="s">
        <v>71</v>
      </c>
      <c r="C133" s="29" t="s">
        <v>72</v>
      </c>
      <c r="D133" s="29">
        <v>94</v>
      </c>
      <c r="E133" s="29">
        <v>99</v>
      </c>
      <c r="F133" s="29">
        <v>93</v>
      </c>
      <c r="G133" s="29">
        <v>95</v>
      </c>
      <c r="H133" s="29">
        <v>95.25</v>
      </c>
      <c r="I133" s="53">
        <f t="shared" si="0"/>
        <v>95.237500000000011</v>
      </c>
      <c r="J133" s="29" t="str">
        <f t="shared" si="1"/>
        <v>A</v>
      </c>
      <c r="K133" s="29">
        <v>7</v>
      </c>
      <c r="L133" s="29" t="str">
        <f t="shared" si="2"/>
        <v>No</v>
      </c>
      <c r="M133" s="29" t="str">
        <f t="shared" si="3"/>
        <v>No</v>
      </c>
    </row>
    <row r="134" spans="1:13" x14ac:dyDescent="0.2">
      <c r="A134" s="29">
        <v>23591771</v>
      </c>
      <c r="B134" s="29" t="s">
        <v>73</v>
      </c>
      <c r="C134" s="29" t="s">
        <v>74</v>
      </c>
      <c r="D134" s="29">
        <v>69</v>
      </c>
      <c r="E134" s="29">
        <v>70</v>
      </c>
      <c r="F134" s="29">
        <v>85</v>
      </c>
      <c r="G134" s="29">
        <v>74</v>
      </c>
      <c r="H134" s="29">
        <v>74.5</v>
      </c>
      <c r="I134" s="53">
        <f t="shared" si="0"/>
        <v>74.849999999999994</v>
      </c>
      <c r="J134" s="29" t="str">
        <f t="shared" si="1"/>
        <v>C</v>
      </c>
      <c r="K134" s="29">
        <v>6</v>
      </c>
      <c r="L134" s="29" t="str">
        <f t="shared" si="2"/>
        <v>No</v>
      </c>
      <c r="M134" s="29" t="str">
        <f t="shared" si="3"/>
        <v>No</v>
      </c>
    </row>
    <row r="135" spans="1:13" x14ac:dyDescent="0.2">
      <c r="A135" s="29">
        <v>23686037</v>
      </c>
      <c r="B135" s="29" t="s">
        <v>75</v>
      </c>
      <c r="C135" s="29" t="s">
        <v>76</v>
      </c>
      <c r="D135" s="29">
        <v>93</v>
      </c>
      <c r="E135" s="29">
        <v>94</v>
      </c>
      <c r="F135" s="29">
        <v>99</v>
      </c>
      <c r="G135" s="29">
        <v>95</v>
      </c>
      <c r="H135" s="29">
        <v>95.25</v>
      </c>
      <c r="I135" s="53">
        <f t="shared" si="0"/>
        <v>95.387500000000003</v>
      </c>
      <c r="J135" s="29" t="str">
        <f t="shared" si="1"/>
        <v>A</v>
      </c>
      <c r="K135" s="29">
        <v>6</v>
      </c>
      <c r="L135" s="29" t="str">
        <f t="shared" si="2"/>
        <v>No</v>
      </c>
      <c r="M135" s="29" t="str">
        <f t="shared" si="3"/>
        <v>No</v>
      </c>
    </row>
    <row r="136" spans="1:13" x14ac:dyDescent="0.2">
      <c r="A136" s="29">
        <v>23563708</v>
      </c>
      <c r="B136" s="29" t="s">
        <v>77</v>
      </c>
      <c r="C136" s="29" t="s">
        <v>78</v>
      </c>
      <c r="D136" s="29">
        <v>31</v>
      </c>
      <c r="E136" s="29">
        <v>37</v>
      </c>
      <c r="F136" s="29">
        <v>52</v>
      </c>
      <c r="G136" s="29">
        <v>40</v>
      </c>
      <c r="H136" s="29">
        <v>40</v>
      </c>
      <c r="I136" s="53">
        <f t="shared" si="0"/>
        <v>40.299999999999997</v>
      </c>
      <c r="J136" s="29" t="str">
        <f t="shared" si="1"/>
        <v>F</v>
      </c>
      <c r="K136" s="29">
        <v>15</v>
      </c>
      <c r="L136" s="29" t="str">
        <f t="shared" si="2"/>
        <v>Yes</v>
      </c>
      <c r="M136" s="29" t="str">
        <f t="shared" si="3"/>
        <v>No</v>
      </c>
    </row>
    <row r="137" spans="1:13" x14ac:dyDescent="0.2">
      <c r="A137" s="29">
        <v>23688909</v>
      </c>
      <c r="B137" s="29" t="s">
        <v>79</v>
      </c>
      <c r="C137" s="29" t="s">
        <v>80</v>
      </c>
      <c r="D137" s="29">
        <v>85</v>
      </c>
      <c r="E137" s="29">
        <v>86</v>
      </c>
      <c r="F137" s="29">
        <v>90</v>
      </c>
      <c r="G137" s="29">
        <v>87</v>
      </c>
      <c r="H137" s="29">
        <v>87</v>
      </c>
      <c r="I137" s="53">
        <f t="shared" si="0"/>
        <v>87.075000000000003</v>
      </c>
      <c r="J137" s="29" t="str">
        <f t="shared" si="1"/>
        <v>B+</v>
      </c>
      <c r="K137" s="29">
        <v>1</v>
      </c>
      <c r="L137" s="29" t="str">
        <f t="shared" si="2"/>
        <v>No</v>
      </c>
      <c r="M137" s="29" t="str">
        <f t="shared" si="3"/>
        <v>Yes</v>
      </c>
    </row>
    <row r="138" spans="1:13" x14ac:dyDescent="0.2">
      <c r="A138" s="29">
        <v>23634419</v>
      </c>
      <c r="B138" s="29" t="s">
        <v>81</v>
      </c>
      <c r="C138" s="29" t="s">
        <v>82</v>
      </c>
      <c r="D138" s="29">
        <v>67</v>
      </c>
      <c r="E138" s="29">
        <v>69</v>
      </c>
      <c r="F138" s="29">
        <v>68</v>
      </c>
      <c r="G138" s="29">
        <v>68</v>
      </c>
      <c r="H138" s="29">
        <v>68</v>
      </c>
      <c r="I138" s="53">
        <f t="shared" si="0"/>
        <v>68</v>
      </c>
      <c r="J138" s="29" t="str">
        <f t="shared" si="1"/>
        <v>D</v>
      </c>
      <c r="K138" s="29">
        <v>0</v>
      </c>
      <c r="L138" s="29" t="str">
        <f t="shared" si="2"/>
        <v>No</v>
      </c>
      <c r="M138" s="29" t="str">
        <f t="shared" si="3"/>
        <v>No</v>
      </c>
    </row>
    <row r="139" spans="1:13" x14ac:dyDescent="0.2">
      <c r="A139" s="29">
        <v>23698407</v>
      </c>
      <c r="B139" s="29" t="s">
        <v>83</v>
      </c>
      <c r="C139" s="29" t="s">
        <v>84</v>
      </c>
      <c r="D139" s="29">
        <v>70</v>
      </c>
      <c r="E139" s="29">
        <v>75</v>
      </c>
      <c r="F139" s="29">
        <v>76</v>
      </c>
      <c r="G139" s="29">
        <v>73</v>
      </c>
      <c r="H139" s="29">
        <v>73.5</v>
      </c>
      <c r="I139" s="53">
        <f t="shared" si="0"/>
        <v>73.650000000000006</v>
      </c>
      <c r="J139" s="29" t="str">
        <f t="shared" si="1"/>
        <v>C</v>
      </c>
      <c r="K139" s="29">
        <v>0</v>
      </c>
      <c r="L139" s="29" t="str">
        <f t="shared" si="2"/>
        <v>No</v>
      </c>
      <c r="M139" s="29" t="str">
        <f t="shared" si="3"/>
        <v>No</v>
      </c>
    </row>
    <row r="140" spans="1:13" x14ac:dyDescent="0.2">
      <c r="A140" s="29">
        <v>23552303</v>
      </c>
      <c r="B140" s="29" t="s">
        <v>85</v>
      </c>
      <c r="C140" s="29" t="s">
        <v>86</v>
      </c>
      <c r="D140" s="29">
        <v>86</v>
      </c>
      <c r="E140" s="29">
        <v>87</v>
      </c>
      <c r="F140" s="29">
        <v>90</v>
      </c>
      <c r="G140" s="29">
        <v>87</v>
      </c>
      <c r="H140" s="29">
        <v>87.5</v>
      </c>
      <c r="I140" s="53">
        <f t="shared" si="0"/>
        <v>87.649999999999991</v>
      </c>
      <c r="J140" s="29" t="str">
        <f t="shared" si="1"/>
        <v>B+</v>
      </c>
      <c r="K140" s="29">
        <v>9</v>
      </c>
      <c r="L140" s="29" t="str">
        <f t="shared" si="2"/>
        <v>No</v>
      </c>
      <c r="M140" s="29" t="str">
        <f t="shared" si="3"/>
        <v>No</v>
      </c>
    </row>
    <row r="141" spans="1:13" x14ac:dyDescent="0.2">
      <c r="A141" s="29">
        <v>23554960</v>
      </c>
      <c r="B141" s="29" t="s">
        <v>87</v>
      </c>
      <c r="C141" s="29" t="s">
        <v>88</v>
      </c>
      <c r="D141" s="29">
        <v>50</v>
      </c>
      <c r="E141" s="29">
        <v>49</v>
      </c>
      <c r="F141" s="29">
        <v>50</v>
      </c>
      <c r="G141" s="29">
        <v>49</v>
      </c>
      <c r="H141" s="29">
        <v>49.5</v>
      </c>
      <c r="I141" s="53">
        <f t="shared" si="0"/>
        <v>49.6</v>
      </c>
      <c r="J141" s="29" t="str">
        <f t="shared" si="1"/>
        <v>F</v>
      </c>
      <c r="K141" s="29">
        <v>10</v>
      </c>
      <c r="L141" s="29" t="str">
        <f t="shared" si="2"/>
        <v>Yes</v>
      </c>
      <c r="M141" s="29" t="str">
        <f t="shared" si="3"/>
        <v>No</v>
      </c>
    </row>
    <row r="142" spans="1:13" x14ac:dyDescent="0.2">
      <c r="A142" s="29">
        <v>23551669</v>
      </c>
      <c r="B142" s="29" t="s">
        <v>89</v>
      </c>
      <c r="C142" s="29" t="s">
        <v>90</v>
      </c>
      <c r="D142" s="29">
        <v>81</v>
      </c>
      <c r="E142" s="29">
        <v>85</v>
      </c>
      <c r="F142" s="29">
        <v>91</v>
      </c>
      <c r="G142" s="29">
        <v>85</v>
      </c>
      <c r="H142" s="29">
        <v>85.5</v>
      </c>
      <c r="I142" s="53">
        <f t="shared" si="0"/>
        <v>85.724999999999994</v>
      </c>
      <c r="J142" s="29" t="str">
        <f t="shared" si="1"/>
        <v>B</v>
      </c>
      <c r="K142" s="29">
        <v>4</v>
      </c>
      <c r="L142" s="29" t="str">
        <f t="shared" si="2"/>
        <v>No</v>
      </c>
      <c r="M142" s="29" t="str">
        <f t="shared" si="3"/>
        <v>No</v>
      </c>
    </row>
    <row r="143" spans="1:13" x14ac:dyDescent="0.2">
      <c r="A143" s="29">
        <v>23602592</v>
      </c>
      <c r="B143" s="29" t="s">
        <v>91</v>
      </c>
      <c r="C143" s="29" t="s">
        <v>92</v>
      </c>
      <c r="D143" s="29">
        <v>35</v>
      </c>
      <c r="E143" s="29">
        <v>55</v>
      </c>
      <c r="F143" s="29">
        <v>49</v>
      </c>
      <c r="G143" s="29">
        <v>46</v>
      </c>
      <c r="H143" s="29">
        <v>46.25</v>
      </c>
      <c r="I143" s="53">
        <f t="shared" si="0"/>
        <v>46.362499999999997</v>
      </c>
      <c r="J143" s="29" t="str">
        <f t="shared" si="1"/>
        <v>F</v>
      </c>
      <c r="K143" s="29">
        <v>13</v>
      </c>
      <c r="L143" s="29" t="str">
        <f t="shared" si="2"/>
        <v>Yes</v>
      </c>
      <c r="M143" s="29" t="str">
        <f t="shared" si="3"/>
        <v>No</v>
      </c>
    </row>
    <row r="144" spans="1:13" x14ac:dyDescent="0.2">
      <c r="A144" s="29">
        <v>23698874</v>
      </c>
      <c r="B144" s="29" t="s">
        <v>93</v>
      </c>
      <c r="C144" s="29" t="s">
        <v>94</v>
      </c>
      <c r="D144" s="29">
        <v>56</v>
      </c>
      <c r="E144" s="29">
        <v>35</v>
      </c>
      <c r="F144" s="29">
        <v>33</v>
      </c>
      <c r="G144" s="29">
        <v>41</v>
      </c>
      <c r="H144" s="29">
        <v>41.25</v>
      </c>
      <c r="I144" s="53">
        <f t="shared" si="0"/>
        <v>41.087500000000006</v>
      </c>
      <c r="J144" s="29" t="str">
        <f t="shared" si="1"/>
        <v>F</v>
      </c>
      <c r="K144" s="29">
        <v>13</v>
      </c>
      <c r="L144" s="29" t="str">
        <f t="shared" si="2"/>
        <v>Yes</v>
      </c>
      <c r="M144" s="29" t="str">
        <f t="shared" si="3"/>
        <v>No</v>
      </c>
    </row>
    <row r="145" spans="1:13" x14ac:dyDescent="0.2">
      <c r="A145" s="29">
        <v>23512829</v>
      </c>
      <c r="B145" s="29" t="s">
        <v>95</v>
      </c>
      <c r="C145" s="29" t="s">
        <v>96</v>
      </c>
      <c r="D145" s="29">
        <v>85</v>
      </c>
      <c r="E145" s="29">
        <v>89</v>
      </c>
      <c r="F145" s="29">
        <v>91</v>
      </c>
      <c r="G145" s="29">
        <v>88</v>
      </c>
      <c r="H145" s="29">
        <v>88.25</v>
      </c>
      <c r="I145" s="53">
        <f t="shared" si="0"/>
        <v>88.362500000000011</v>
      </c>
      <c r="J145" s="29" t="str">
        <f t="shared" si="1"/>
        <v>B+</v>
      </c>
      <c r="K145" s="29">
        <v>0</v>
      </c>
      <c r="L145" s="29" t="str">
        <f t="shared" si="2"/>
        <v>No</v>
      </c>
      <c r="M145" s="29" t="str">
        <f t="shared" si="3"/>
        <v>Yes</v>
      </c>
    </row>
    <row r="146" spans="1:13" x14ac:dyDescent="0.2">
      <c r="A146" s="29">
        <v>23665210</v>
      </c>
      <c r="B146" s="29" t="s">
        <v>97</v>
      </c>
      <c r="C146" s="29" t="s">
        <v>98</v>
      </c>
      <c r="D146" s="29">
        <v>30</v>
      </c>
      <c r="E146" s="29">
        <v>56</v>
      </c>
      <c r="F146" s="29">
        <v>40</v>
      </c>
      <c r="G146" s="29">
        <v>42</v>
      </c>
      <c r="H146" s="29">
        <v>42</v>
      </c>
      <c r="I146" s="53">
        <f t="shared" si="0"/>
        <v>41.95</v>
      </c>
      <c r="J146" s="29" t="str">
        <f t="shared" si="1"/>
        <v>F</v>
      </c>
      <c r="K146" s="29">
        <v>10</v>
      </c>
      <c r="L146" s="29" t="str">
        <f t="shared" si="2"/>
        <v>Yes</v>
      </c>
      <c r="M146" s="29" t="str">
        <f t="shared" si="3"/>
        <v>No</v>
      </c>
    </row>
    <row r="147" spans="1:13" x14ac:dyDescent="0.2">
      <c r="A147" s="29">
        <v>23614752</v>
      </c>
      <c r="B147" s="29" t="s">
        <v>99</v>
      </c>
      <c r="C147" s="29" t="s">
        <v>100</v>
      </c>
      <c r="D147" s="29">
        <v>33</v>
      </c>
      <c r="E147" s="29">
        <v>49</v>
      </c>
      <c r="F147" s="29">
        <v>31</v>
      </c>
      <c r="G147" s="29">
        <v>37</v>
      </c>
      <c r="H147" s="29">
        <v>37.5</v>
      </c>
      <c r="I147" s="53">
        <f t="shared" si="0"/>
        <v>37.424999999999997</v>
      </c>
      <c r="J147" s="29" t="str">
        <f t="shared" si="1"/>
        <v>F</v>
      </c>
      <c r="K147" s="29">
        <v>13</v>
      </c>
      <c r="L147" s="29" t="str">
        <f t="shared" si="2"/>
        <v>Yes</v>
      </c>
      <c r="M147" s="29" t="str">
        <f t="shared" si="3"/>
        <v>No</v>
      </c>
    </row>
    <row r="148" spans="1:13" x14ac:dyDescent="0.2">
      <c r="A148" s="29">
        <v>23648989</v>
      </c>
      <c r="B148" s="29" t="s">
        <v>101</v>
      </c>
      <c r="C148" s="29" t="s">
        <v>102</v>
      </c>
      <c r="D148" s="29">
        <v>100</v>
      </c>
      <c r="E148" s="29">
        <v>91</v>
      </c>
      <c r="F148" s="29">
        <v>99</v>
      </c>
      <c r="G148" s="29">
        <v>96</v>
      </c>
      <c r="H148" s="29">
        <v>96.5</v>
      </c>
      <c r="I148" s="53">
        <f t="shared" si="0"/>
        <v>96.649999999999991</v>
      </c>
      <c r="J148" s="29" t="str">
        <f t="shared" si="1"/>
        <v>A</v>
      </c>
      <c r="K148" s="29">
        <v>3</v>
      </c>
      <c r="L148" s="29" t="str">
        <f t="shared" si="2"/>
        <v>No</v>
      </c>
      <c r="M148" s="29" t="str">
        <f t="shared" si="3"/>
        <v>Yes</v>
      </c>
    </row>
    <row r="149" spans="1:13" x14ac:dyDescent="0.2">
      <c r="A149" s="29">
        <v>23599332</v>
      </c>
      <c r="B149" s="29" t="s">
        <v>103</v>
      </c>
      <c r="C149" s="29" t="s">
        <v>104</v>
      </c>
      <c r="D149" s="29">
        <v>93</v>
      </c>
      <c r="E149" s="29">
        <v>93</v>
      </c>
      <c r="F149" s="29">
        <v>98</v>
      </c>
      <c r="G149" s="29">
        <v>94</v>
      </c>
      <c r="H149" s="29">
        <v>94.5</v>
      </c>
      <c r="I149" s="53">
        <f t="shared" si="0"/>
        <v>94.674999999999997</v>
      </c>
      <c r="J149" s="29" t="str">
        <f t="shared" si="1"/>
        <v>A</v>
      </c>
      <c r="K149" s="29">
        <v>5</v>
      </c>
      <c r="L149" s="29" t="str">
        <f t="shared" si="2"/>
        <v>No</v>
      </c>
      <c r="M149" s="29" t="str">
        <f t="shared" si="3"/>
        <v>Yes</v>
      </c>
    </row>
    <row r="150" spans="1:13" x14ac:dyDescent="0.2">
      <c r="A150" s="29">
        <v>23513165</v>
      </c>
      <c r="B150" s="29" t="s">
        <v>105</v>
      </c>
      <c r="C150" s="29" t="s">
        <v>106</v>
      </c>
      <c r="D150" s="29">
        <v>66</v>
      </c>
      <c r="E150" s="29">
        <v>67</v>
      </c>
      <c r="F150" s="29">
        <v>66</v>
      </c>
      <c r="G150" s="29">
        <v>66</v>
      </c>
      <c r="H150" s="29">
        <v>66.25</v>
      </c>
      <c r="I150" s="53">
        <f t="shared" si="0"/>
        <v>66.287499999999994</v>
      </c>
      <c r="J150" s="29" t="str">
        <f t="shared" si="1"/>
        <v>D</v>
      </c>
      <c r="K150" s="29">
        <v>9</v>
      </c>
      <c r="L150" s="29" t="str">
        <f t="shared" si="2"/>
        <v>No</v>
      </c>
      <c r="M150" s="29" t="str">
        <f t="shared" si="3"/>
        <v>No</v>
      </c>
    </row>
    <row r="151" spans="1:13" x14ac:dyDescent="0.2">
      <c r="A151" s="29">
        <v>23697900</v>
      </c>
      <c r="B151" s="29" t="s">
        <v>107</v>
      </c>
      <c r="C151" s="29" t="s">
        <v>108</v>
      </c>
      <c r="D151" s="29">
        <v>70</v>
      </c>
      <c r="E151" s="29">
        <v>77</v>
      </c>
      <c r="F151" s="29">
        <v>75</v>
      </c>
      <c r="G151" s="29">
        <v>74</v>
      </c>
      <c r="H151" s="29">
        <v>74</v>
      </c>
      <c r="I151" s="53">
        <f t="shared" si="0"/>
        <v>74.025000000000006</v>
      </c>
      <c r="J151" s="29" t="str">
        <f t="shared" si="1"/>
        <v>C</v>
      </c>
      <c r="K151" s="29">
        <v>5</v>
      </c>
      <c r="L151" s="29" t="str">
        <f t="shared" si="2"/>
        <v>No</v>
      </c>
      <c r="M151" s="29" t="str">
        <f t="shared" si="3"/>
        <v>No</v>
      </c>
    </row>
    <row r="152" spans="1:13" x14ac:dyDescent="0.2">
      <c r="A152" s="29">
        <v>23511179</v>
      </c>
      <c r="B152" s="29" t="s">
        <v>109</v>
      </c>
      <c r="C152" s="29" t="s">
        <v>110</v>
      </c>
      <c r="D152" s="29">
        <v>38</v>
      </c>
      <c r="E152" s="29">
        <v>35</v>
      </c>
      <c r="F152" s="29">
        <v>47</v>
      </c>
      <c r="G152" s="29">
        <v>40</v>
      </c>
      <c r="H152" s="29">
        <v>40</v>
      </c>
      <c r="I152" s="53">
        <f t="shared" si="0"/>
        <v>40.174999999999997</v>
      </c>
      <c r="J152" s="29" t="str">
        <f t="shared" si="1"/>
        <v>F</v>
      </c>
      <c r="K152" s="29">
        <v>15</v>
      </c>
      <c r="L152" s="29" t="str">
        <f t="shared" si="2"/>
        <v>Yes</v>
      </c>
      <c r="M152" s="29" t="str">
        <f t="shared" si="3"/>
        <v>No</v>
      </c>
    </row>
    <row r="153" spans="1:13" x14ac:dyDescent="0.2">
      <c r="A153" s="29">
        <v>23614522</v>
      </c>
      <c r="B153" s="29" t="s">
        <v>111</v>
      </c>
      <c r="C153" s="29" t="s">
        <v>35</v>
      </c>
      <c r="D153" s="29">
        <v>30</v>
      </c>
      <c r="E153" s="29">
        <v>39</v>
      </c>
      <c r="F153" s="29">
        <v>64</v>
      </c>
      <c r="G153" s="29">
        <v>44</v>
      </c>
      <c r="H153" s="29">
        <v>44.25</v>
      </c>
      <c r="I153" s="53">
        <f t="shared" si="0"/>
        <v>44.787500000000001</v>
      </c>
      <c r="J153" s="29" t="str">
        <f t="shared" si="1"/>
        <v>F</v>
      </c>
      <c r="K153" s="29">
        <v>14</v>
      </c>
      <c r="L153" s="29" t="str">
        <f t="shared" si="2"/>
        <v>Yes</v>
      </c>
      <c r="M153" s="29" t="str">
        <f t="shared" si="3"/>
        <v>No</v>
      </c>
    </row>
    <row r="154" spans="1:13" x14ac:dyDescent="0.2">
      <c r="A154" s="29">
        <v>23589906</v>
      </c>
      <c r="B154" s="29" t="s">
        <v>112</v>
      </c>
      <c r="C154" s="29" t="s">
        <v>113</v>
      </c>
      <c r="D154" s="29">
        <v>63</v>
      </c>
      <c r="E154" s="29">
        <v>67</v>
      </c>
      <c r="F154" s="29">
        <v>65</v>
      </c>
      <c r="G154" s="29">
        <v>65</v>
      </c>
      <c r="H154" s="29">
        <v>65</v>
      </c>
      <c r="I154" s="53">
        <f t="shared" si="0"/>
        <v>65</v>
      </c>
      <c r="J154" s="29" t="str">
        <f t="shared" si="1"/>
        <v>D</v>
      </c>
      <c r="K154" s="29">
        <v>3</v>
      </c>
      <c r="L154" s="29" t="str">
        <f t="shared" si="2"/>
        <v>No</v>
      </c>
      <c r="M154" s="29" t="str">
        <f t="shared" si="3"/>
        <v>No</v>
      </c>
    </row>
    <row r="155" spans="1:13" x14ac:dyDescent="0.2">
      <c r="A155" s="29">
        <v>23579559</v>
      </c>
      <c r="B155" s="29" t="s">
        <v>114</v>
      </c>
      <c r="C155" s="29" t="s">
        <v>115</v>
      </c>
      <c r="D155" s="29">
        <v>40</v>
      </c>
      <c r="E155" s="29">
        <v>33</v>
      </c>
      <c r="F155" s="29">
        <v>41</v>
      </c>
      <c r="G155" s="29">
        <v>38</v>
      </c>
      <c r="H155" s="29">
        <v>38</v>
      </c>
      <c r="I155" s="53">
        <f t="shared" si="0"/>
        <v>38.075000000000003</v>
      </c>
      <c r="J155" s="29" t="str">
        <f t="shared" si="1"/>
        <v>F</v>
      </c>
      <c r="K155" s="29">
        <v>15</v>
      </c>
      <c r="L155" s="29" t="str">
        <f t="shared" si="2"/>
        <v>Yes</v>
      </c>
      <c r="M155" s="29" t="str">
        <f t="shared" si="3"/>
        <v>No</v>
      </c>
    </row>
    <row r="156" spans="1:13" x14ac:dyDescent="0.2">
      <c r="A156" s="29">
        <v>23512527</v>
      </c>
      <c r="B156" s="29" t="s">
        <v>116</v>
      </c>
      <c r="C156" s="29" t="s">
        <v>117</v>
      </c>
      <c r="D156" s="29">
        <v>95</v>
      </c>
      <c r="E156" s="29">
        <v>91</v>
      </c>
      <c r="F156" s="29">
        <v>92</v>
      </c>
      <c r="G156" s="29">
        <v>92</v>
      </c>
      <c r="H156" s="29">
        <v>92.5</v>
      </c>
      <c r="I156" s="53">
        <f t="shared" si="0"/>
        <v>92.574999999999989</v>
      </c>
      <c r="J156" s="29" t="str">
        <f t="shared" si="1"/>
        <v>A-</v>
      </c>
      <c r="K156" s="29">
        <v>3</v>
      </c>
      <c r="L156" s="29" t="str">
        <f t="shared" si="2"/>
        <v>No</v>
      </c>
      <c r="M156" s="29" t="str">
        <f t="shared" si="3"/>
        <v>Yes</v>
      </c>
    </row>
    <row r="157" spans="1:13" x14ac:dyDescent="0.2">
      <c r="A157" s="29">
        <v>23655570</v>
      </c>
      <c r="B157" s="29" t="s">
        <v>118</v>
      </c>
      <c r="C157" s="29" t="s">
        <v>119</v>
      </c>
      <c r="D157" s="29">
        <v>74</v>
      </c>
      <c r="E157" s="29">
        <v>80</v>
      </c>
      <c r="F157" s="29">
        <v>88</v>
      </c>
      <c r="G157" s="29">
        <v>80</v>
      </c>
      <c r="H157" s="29">
        <v>80.5</v>
      </c>
      <c r="I157" s="53">
        <f t="shared" si="0"/>
        <v>80.775000000000006</v>
      </c>
      <c r="J157" s="29" t="str">
        <f t="shared" si="1"/>
        <v>B-</v>
      </c>
      <c r="K157" s="29">
        <v>8</v>
      </c>
      <c r="L157" s="29" t="str">
        <f t="shared" si="2"/>
        <v>No</v>
      </c>
      <c r="M157" s="29" t="str">
        <f t="shared" si="3"/>
        <v>No</v>
      </c>
    </row>
    <row r="158" spans="1:13" x14ac:dyDescent="0.2">
      <c r="A158" s="29">
        <v>23552203</v>
      </c>
      <c r="B158" s="29" t="s">
        <v>120</v>
      </c>
      <c r="C158" s="29" t="s">
        <v>121</v>
      </c>
      <c r="D158" s="29">
        <v>45</v>
      </c>
      <c r="E158" s="29">
        <v>36</v>
      </c>
      <c r="F158" s="29">
        <v>58</v>
      </c>
      <c r="G158" s="29">
        <v>46</v>
      </c>
      <c r="H158" s="29">
        <v>46.25</v>
      </c>
      <c r="I158" s="53">
        <f t="shared" si="0"/>
        <v>46.587499999999999</v>
      </c>
      <c r="J158" s="29" t="str">
        <f t="shared" si="1"/>
        <v>F</v>
      </c>
      <c r="K158" s="29">
        <v>14</v>
      </c>
      <c r="L158" s="29" t="str">
        <f t="shared" si="2"/>
        <v>Yes</v>
      </c>
      <c r="M158" s="29" t="str">
        <f t="shared" si="3"/>
        <v>No</v>
      </c>
    </row>
    <row r="159" spans="1:13" x14ac:dyDescent="0.2">
      <c r="A159" s="29">
        <v>23590970</v>
      </c>
      <c r="B159" s="29" t="s">
        <v>122</v>
      </c>
      <c r="C159" s="29" t="s">
        <v>123</v>
      </c>
      <c r="D159" s="29">
        <v>45</v>
      </c>
      <c r="E159" s="29">
        <v>33</v>
      </c>
      <c r="F159" s="29">
        <v>55</v>
      </c>
      <c r="G159" s="29">
        <v>44</v>
      </c>
      <c r="H159" s="29">
        <v>44.25</v>
      </c>
      <c r="I159" s="53">
        <f t="shared" si="0"/>
        <v>44.5625</v>
      </c>
      <c r="J159" s="29" t="str">
        <f t="shared" si="1"/>
        <v>F</v>
      </c>
      <c r="K159" s="29">
        <v>10</v>
      </c>
      <c r="L159" s="29" t="str">
        <f t="shared" si="2"/>
        <v>Yes</v>
      </c>
      <c r="M159" s="29" t="str">
        <f t="shared" si="3"/>
        <v>No</v>
      </c>
    </row>
    <row r="160" spans="1:13" x14ac:dyDescent="0.2">
      <c r="A160" s="29">
        <v>23574855</v>
      </c>
      <c r="B160" s="29" t="s">
        <v>124</v>
      </c>
      <c r="C160" s="29" t="s">
        <v>125</v>
      </c>
      <c r="D160" s="29">
        <v>41</v>
      </c>
      <c r="E160" s="29">
        <v>34</v>
      </c>
      <c r="F160" s="29">
        <v>62</v>
      </c>
      <c r="G160" s="29">
        <v>45</v>
      </c>
      <c r="H160" s="29">
        <v>45.5</v>
      </c>
      <c r="I160" s="53">
        <f t="shared" si="0"/>
        <v>46</v>
      </c>
      <c r="J160" s="29" t="str">
        <f t="shared" si="1"/>
        <v>F</v>
      </c>
      <c r="K160" s="29">
        <v>15</v>
      </c>
      <c r="L160" s="29" t="str">
        <f t="shared" si="2"/>
        <v>Yes</v>
      </c>
      <c r="M160" s="29" t="str">
        <f t="shared" si="3"/>
        <v>No</v>
      </c>
    </row>
  </sheetData>
  <dataValidations count="2">
    <dataValidation type="decimal" operator="greaterThanOrEqual" allowBlank="1" showInputMessage="1" showErrorMessage="1" sqref="D111:I160" xr:uid="{8BABFB28-6A1E-AF45-8F2B-ECB2A2A35835}">
      <formula1>0</formula1>
    </dataValidation>
    <dataValidation type="custom" allowBlank="1" showInputMessage="1" showErrorMessage="1" sqref="B111:C160" xr:uid="{684D7E66-A3F7-8E4C-B7A7-E5625B5FEE82}">
      <formula1>ISTEXT(B111)</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8444" r:id="rId5" name="Button 12">
              <controlPr defaultSize="0" print="0" autoFill="0" autoPict="0" macro="[0]!Instruction_Charts">
                <anchor moveWithCells="1" sizeWithCells="1">
                  <from>
                    <xdr:col>25</xdr:col>
                    <xdr:colOff>228600</xdr:colOff>
                    <xdr:row>6</xdr:row>
                    <xdr:rowOff>114300</xdr:rowOff>
                  </from>
                  <to>
                    <xdr:col>27</xdr:col>
                    <xdr:colOff>419100</xdr:colOff>
                    <xdr:row>8</xdr:row>
                    <xdr:rowOff>88900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93F68EC-B674-544E-9AC5-C765692D80E0}">
          <x14:formula1>
            <xm:f>Data!$A$8:$A$57</xm:f>
          </x14:formula1>
          <xm:sqref>R2</xm:sqref>
        </x14:dataValidation>
      </x14:dataValidations>
    </ext>
    <ext xmlns:x14="http://schemas.microsoft.com/office/spreadsheetml/2009/9/main" uri="{A8765BA9-456A-4dab-B4F3-ACF838C121DE}">
      <x14:slicerList>
        <x14:slicer r:id="rId6"/>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C6532-D075-984F-AAA2-5205A6B17D76}">
  <sheetPr codeName="Sheet14"/>
  <dimension ref="B4:M19"/>
  <sheetViews>
    <sheetView workbookViewId="0">
      <selection activeCell="N24" sqref="N24"/>
    </sheetView>
  </sheetViews>
  <sheetFormatPr baseColWidth="10" defaultColWidth="11" defaultRowHeight="16" x14ac:dyDescent="0.2"/>
  <cols>
    <col min="1" max="1" width="21.5" bestFit="1" customWidth="1"/>
    <col min="2" max="2" width="12.83203125" bestFit="1" customWidth="1"/>
    <col min="3" max="3" width="21.5" bestFit="1" customWidth="1"/>
    <col min="4" max="4" width="12.83203125" bestFit="1" customWidth="1"/>
    <col min="5" max="5" width="21.5" bestFit="1" customWidth="1"/>
    <col min="6" max="6" width="12.83203125" bestFit="1" customWidth="1"/>
    <col min="7" max="7" width="21.5" bestFit="1" customWidth="1"/>
    <col min="8" max="8" width="12.83203125" bestFit="1" customWidth="1"/>
    <col min="9" max="9" width="21.5" bestFit="1" customWidth="1"/>
    <col min="10" max="10" width="12.83203125" bestFit="1" customWidth="1"/>
    <col min="11" max="11" width="21.5" bestFit="1" customWidth="1"/>
  </cols>
  <sheetData>
    <row r="4" spans="2:13" x14ac:dyDescent="0.2">
      <c r="B4" s="122" t="s">
        <v>14</v>
      </c>
      <c r="C4" s="123"/>
      <c r="D4" s="122" t="s">
        <v>15</v>
      </c>
      <c r="E4" s="123"/>
      <c r="F4" s="122" t="s">
        <v>16</v>
      </c>
      <c r="G4" s="123"/>
      <c r="H4" s="122" t="s">
        <v>17</v>
      </c>
      <c r="I4" s="123"/>
      <c r="J4" s="122" t="s">
        <v>18</v>
      </c>
      <c r="K4" s="123"/>
      <c r="L4" s="122" t="s">
        <v>19</v>
      </c>
      <c r="M4" s="123"/>
    </row>
    <row r="5" spans="2:13" x14ac:dyDescent="0.2">
      <c r="B5" s="124"/>
      <c r="C5" s="125"/>
      <c r="D5" s="124"/>
      <c r="E5" s="125"/>
      <c r="F5" s="124"/>
      <c r="G5" s="125"/>
      <c r="H5" s="124"/>
      <c r="I5" s="125"/>
      <c r="J5" s="124"/>
      <c r="K5" s="125"/>
      <c r="L5" s="124"/>
      <c r="M5" s="125"/>
    </row>
    <row r="6" spans="2:13" x14ac:dyDescent="0.2">
      <c r="B6" s="55" t="s">
        <v>130</v>
      </c>
      <c r="C6" s="54">
        <v>61.3</v>
      </c>
      <c r="D6" s="55" t="s">
        <v>130</v>
      </c>
      <c r="E6" s="54">
        <v>61.86</v>
      </c>
      <c r="F6" s="55" t="s">
        <v>130</v>
      </c>
      <c r="G6" s="54">
        <v>66.16</v>
      </c>
      <c r="H6" s="55" t="s">
        <v>130</v>
      </c>
      <c r="I6" s="54">
        <v>62.74</v>
      </c>
      <c r="J6" s="55" t="s">
        <v>130</v>
      </c>
      <c r="K6" s="54">
        <v>63.015000000000001</v>
      </c>
      <c r="L6" s="55" t="s">
        <v>130</v>
      </c>
      <c r="M6" s="54">
        <v>63.141750000000009</v>
      </c>
    </row>
    <row r="7" spans="2:13" x14ac:dyDescent="0.2">
      <c r="B7" s="55" t="s">
        <v>131</v>
      </c>
      <c r="C7" s="54">
        <v>2.8567499729873567</v>
      </c>
      <c r="D7" s="55" t="s">
        <v>131</v>
      </c>
      <c r="E7" s="54">
        <v>3.0436296806039098</v>
      </c>
      <c r="F7" s="55" t="s">
        <v>131</v>
      </c>
      <c r="G7" s="54">
        <v>2.9799821941667743</v>
      </c>
      <c r="H7" s="55" t="s">
        <v>131</v>
      </c>
      <c r="I7" s="54">
        <v>2.8358938410227945</v>
      </c>
      <c r="J7" s="55" t="s">
        <v>131</v>
      </c>
      <c r="K7" s="54">
        <v>2.8415503996004334</v>
      </c>
      <c r="L7" s="55" t="s">
        <v>131</v>
      </c>
      <c r="M7" s="54">
        <v>2.8429103461012186</v>
      </c>
    </row>
    <row r="8" spans="2:13" x14ac:dyDescent="0.2">
      <c r="B8" s="55" t="s">
        <v>132</v>
      </c>
      <c r="C8" s="54">
        <v>63.5</v>
      </c>
      <c r="D8" s="55" t="s">
        <v>132</v>
      </c>
      <c r="E8" s="54">
        <v>66.5</v>
      </c>
      <c r="F8" s="55" t="s">
        <v>132</v>
      </c>
      <c r="G8" s="54">
        <v>67</v>
      </c>
      <c r="H8" s="55" t="s">
        <v>132</v>
      </c>
      <c r="I8" s="54">
        <v>66</v>
      </c>
      <c r="J8" s="55" t="s">
        <v>132</v>
      </c>
      <c r="K8" s="54">
        <v>66.25</v>
      </c>
      <c r="L8" s="55" t="s">
        <v>132</v>
      </c>
      <c r="M8" s="54">
        <v>66.337499999999991</v>
      </c>
    </row>
    <row r="9" spans="2:13" x14ac:dyDescent="0.2">
      <c r="B9" s="55" t="s">
        <v>133</v>
      </c>
      <c r="C9" s="54">
        <v>70</v>
      </c>
      <c r="D9" s="55" t="s">
        <v>133</v>
      </c>
      <c r="E9" s="54">
        <v>78</v>
      </c>
      <c r="F9" s="55" t="s">
        <v>133</v>
      </c>
      <c r="G9" s="54">
        <v>82</v>
      </c>
      <c r="H9" s="55" t="s">
        <v>133</v>
      </c>
      <c r="I9" s="54">
        <v>76</v>
      </c>
      <c r="J9" s="55" t="s">
        <v>133</v>
      </c>
      <c r="K9" s="54">
        <v>76.5</v>
      </c>
      <c r="L9" s="55" t="s">
        <v>133</v>
      </c>
      <c r="M9" s="54" t="e">
        <v>#N/A</v>
      </c>
    </row>
    <row r="10" spans="2:13" x14ac:dyDescent="0.2">
      <c r="B10" s="55" t="s">
        <v>134</v>
      </c>
      <c r="C10" s="54">
        <v>20.200272780538466</v>
      </c>
      <c r="D10" s="55" t="s">
        <v>134</v>
      </c>
      <c r="E10" s="54">
        <v>21.521711865756703</v>
      </c>
      <c r="F10" s="55" t="s">
        <v>134</v>
      </c>
      <c r="G10" s="54">
        <v>21.07165617310493</v>
      </c>
      <c r="H10" s="55" t="s">
        <v>134</v>
      </c>
      <c r="I10" s="54">
        <v>20.052797657123829</v>
      </c>
      <c r="J10" s="55" t="s">
        <v>134</v>
      </c>
      <c r="K10" s="54">
        <v>20.092795566408103</v>
      </c>
      <c r="L10" s="55" t="s">
        <v>134</v>
      </c>
      <c r="M10" s="54">
        <v>20.102411840335666</v>
      </c>
    </row>
    <row r="11" spans="2:13" x14ac:dyDescent="0.2">
      <c r="B11" s="55" t="s">
        <v>135</v>
      </c>
      <c r="C11" s="54">
        <v>408.05102040816325</v>
      </c>
      <c r="D11" s="55" t="s">
        <v>135</v>
      </c>
      <c r="E11" s="54">
        <v>463.18408163265286</v>
      </c>
      <c r="F11" s="55" t="s">
        <v>135</v>
      </c>
      <c r="G11" s="54">
        <v>444.01469387755105</v>
      </c>
      <c r="H11" s="55" t="s">
        <v>135</v>
      </c>
      <c r="I11" s="54">
        <v>402.11469387755091</v>
      </c>
      <c r="J11" s="55" t="s">
        <v>135</v>
      </c>
      <c r="K11" s="54">
        <v>403.72043367346919</v>
      </c>
      <c r="L11" s="55" t="s">
        <v>135</v>
      </c>
      <c r="M11" s="54">
        <v>404.10696179846752</v>
      </c>
    </row>
    <row r="12" spans="2:13" x14ac:dyDescent="0.2">
      <c r="B12" s="55" t="s">
        <v>136</v>
      </c>
      <c r="C12" s="54">
        <v>-1.0320347308016538</v>
      </c>
      <c r="D12" s="55" t="s">
        <v>136</v>
      </c>
      <c r="E12" s="54">
        <v>-1.4396547329725209</v>
      </c>
      <c r="F12" s="55" t="s">
        <v>136</v>
      </c>
      <c r="G12" s="54">
        <v>-1.3790764278949925</v>
      </c>
      <c r="H12" s="55" t="s">
        <v>136</v>
      </c>
      <c r="I12" s="54">
        <v>-1.5030168952850853</v>
      </c>
      <c r="J12" s="55" t="s">
        <v>136</v>
      </c>
      <c r="K12" s="54">
        <v>-1.4972560486782136</v>
      </c>
      <c r="L12" s="55" t="s">
        <v>136</v>
      </c>
      <c r="M12" s="54">
        <v>-1.4982380353344202</v>
      </c>
    </row>
    <row r="13" spans="2:13" x14ac:dyDescent="0.2">
      <c r="B13" s="55" t="s">
        <v>137</v>
      </c>
      <c r="C13" s="54">
        <v>7.0456233691784706E-2</v>
      </c>
      <c r="D13" s="55" t="s">
        <v>137</v>
      </c>
      <c r="E13" s="54">
        <v>-4.9408402322181674E-2</v>
      </c>
      <c r="F13" s="55" t="s">
        <v>137</v>
      </c>
      <c r="G13" s="54">
        <v>-4.2565131970667275E-2</v>
      </c>
      <c r="H13" s="55" t="s">
        <v>137</v>
      </c>
      <c r="I13" s="54">
        <v>0.17525775336623686</v>
      </c>
      <c r="J13" s="55" t="s">
        <v>137</v>
      </c>
      <c r="K13" s="54">
        <v>0.17517805573227324</v>
      </c>
      <c r="L13" s="55" t="s">
        <v>137</v>
      </c>
      <c r="M13" s="54">
        <v>0.17422057750445921</v>
      </c>
    </row>
    <row r="14" spans="2:13" x14ac:dyDescent="0.2">
      <c r="B14" s="55" t="s">
        <v>138</v>
      </c>
      <c r="C14" s="54">
        <v>70</v>
      </c>
      <c r="D14" s="55" t="s">
        <v>138</v>
      </c>
      <c r="E14" s="54">
        <v>69</v>
      </c>
      <c r="F14" s="55" t="s">
        <v>138</v>
      </c>
      <c r="G14" s="54">
        <v>68</v>
      </c>
      <c r="H14" s="55" t="s">
        <v>138</v>
      </c>
      <c r="I14" s="54">
        <v>60</v>
      </c>
      <c r="J14" s="55" t="s">
        <v>138</v>
      </c>
      <c r="K14" s="54">
        <v>60.5</v>
      </c>
      <c r="L14" s="55" t="s">
        <v>138</v>
      </c>
      <c r="M14" s="54">
        <v>60.399999999999991</v>
      </c>
    </row>
    <row r="15" spans="2:13" x14ac:dyDescent="0.2">
      <c r="B15" s="55" t="s">
        <v>139</v>
      </c>
      <c r="C15" s="54">
        <v>30</v>
      </c>
      <c r="D15" s="55" t="s">
        <v>139</v>
      </c>
      <c r="E15" s="54">
        <v>30</v>
      </c>
      <c r="F15" s="55" t="s">
        <v>139</v>
      </c>
      <c r="G15" s="54">
        <v>31</v>
      </c>
      <c r="H15" s="55" t="s">
        <v>139</v>
      </c>
      <c r="I15" s="54">
        <v>36</v>
      </c>
      <c r="J15" s="55" t="s">
        <v>139</v>
      </c>
      <c r="K15" s="54">
        <v>36</v>
      </c>
      <c r="L15" s="55" t="s">
        <v>139</v>
      </c>
      <c r="M15" s="54">
        <v>36.25</v>
      </c>
    </row>
    <row r="16" spans="2:13" x14ac:dyDescent="0.2">
      <c r="B16" s="55" t="s">
        <v>140</v>
      </c>
      <c r="C16" s="54">
        <v>100</v>
      </c>
      <c r="D16" s="55" t="s">
        <v>140</v>
      </c>
      <c r="E16" s="54">
        <v>99</v>
      </c>
      <c r="F16" s="55" t="s">
        <v>140</v>
      </c>
      <c r="G16" s="54">
        <v>99</v>
      </c>
      <c r="H16" s="55" t="s">
        <v>140</v>
      </c>
      <c r="I16" s="54">
        <v>96</v>
      </c>
      <c r="J16" s="55" t="s">
        <v>140</v>
      </c>
      <c r="K16" s="54">
        <v>96.5</v>
      </c>
      <c r="L16" s="55" t="s">
        <v>140</v>
      </c>
      <c r="M16" s="54">
        <v>96.649999999999991</v>
      </c>
    </row>
    <row r="17" spans="2:13" x14ac:dyDescent="0.2">
      <c r="B17" s="55" t="s">
        <v>141</v>
      </c>
      <c r="C17" s="54">
        <v>3065</v>
      </c>
      <c r="D17" s="55" t="s">
        <v>141</v>
      </c>
      <c r="E17" s="54">
        <v>3093</v>
      </c>
      <c r="F17" s="55" t="s">
        <v>141</v>
      </c>
      <c r="G17" s="54">
        <v>3308</v>
      </c>
      <c r="H17" s="55" t="s">
        <v>141</v>
      </c>
      <c r="I17" s="54">
        <v>3137</v>
      </c>
      <c r="J17" s="55" t="s">
        <v>141</v>
      </c>
      <c r="K17" s="54">
        <v>3150.75</v>
      </c>
      <c r="L17" s="55" t="s">
        <v>141</v>
      </c>
      <c r="M17" s="54">
        <v>3157.0875000000005</v>
      </c>
    </row>
    <row r="18" spans="2:13" x14ac:dyDescent="0.2">
      <c r="B18" s="55" t="s">
        <v>142</v>
      </c>
      <c r="C18" s="54">
        <v>50</v>
      </c>
      <c r="D18" s="55" t="s">
        <v>142</v>
      </c>
      <c r="E18" s="54">
        <v>50</v>
      </c>
      <c r="F18" s="55" t="s">
        <v>142</v>
      </c>
      <c r="G18" s="54">
        <v>50</v>
      </c>
      <c r="H18" s="55" t="s">
        <v>142</v>
      </c>
      <c r="I18" s="54">
        <v>50</v>
      </c>
      <c r="J18" s="55" t="s">
        <v>142</v>
      </c>
      <c r="K18" s="54">
        <v>50</v>
      </c>
      <c r="L18" s="55" t="s">
        <v>142</v>
      </c>
      <c r="M18" s="54">
        <v>50</v>
      </c>
    </row>
    <row r="19" spans="2:13" x14ac:dyDescent="0.2">
      <c r="B19" s="55" t="s">
        <v>143</v>
      </c>
      <c r="C19" s="54">
        <v>5.7408540043850138</v>
      </c>
      <c r="D19" s="55" t="s">
        <v>143</v>
      </c>
      <c r="E19" s="54">
        <v>6.1164028371331911</v>
      </c>
      <c r="F19" s="55" t="s">
        <v>143</v>
      </c>
      <c r="G19" s="54">
        <v>5.9884984244836046</v>
      </c>
      <c r="H19" s="55" t="s">
        <v>143</v>
      </c>
      <c r="I19" s="54">
        <v>5.6989420380467299</v>
      </c>
      <c r="J19" s="55" t="s">
        <v>143</v>
      </c>
      <c r="K19" s="54">
        <v>5.7103093180917242</v>
      </c>
      <c r="L19" s="55" t="s">
        <v>143</v>
      </c>
      <c r="M19" s="54">
        <v>5.7130422329035229</v>
      </c>
    </row>
  </sheetData>
  <mergeCells count="6">
    <mergeCell ref="J4:K5"/>
    <mergeCell ref="L4:M5"/>
    <mergeCell ref="B4:C5"/>
    <mergeCell ref="D4:E5"/>
    <mergeCell ref="F4:G5"/>
    <mergeCell ref="H4:I5"/>
  </mergeCells>
  <pageMargins left="0.7" right="0.7" top="0.75" bottom="0.75" header="0.3" footer="0.3"/>
  <pictur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648F7-C39B-7E40-A0DD-10D8F9FA4DED}">
  <sheetPr codeName="Sheet6"/>
  <dimension ref="B1:P55"/>
  <sheetViews>
    <sheetView showGridLines="0" zoomScale="130" zoomScaleNormal="130" workbookViewId="0">
      <selection activeCell="O13" sqref="O13"/>
    </sheetView>
  </sheetViews>
  <sheetFormatPr baseColWidth="10" defaultColWidth="11" defaultRowHeight="15.75" customHeight="1" x14ac:dyDescent="0.2"/>
  <cols>
    <col min="1" max="1" width="11" style="4"/>
    <col min="2" max="2" width="11.83203125" style="11" customWidth="1"/>
    <col min="3" max="3" width="15.1640625" style="4" bestFit="1" customWidth="1"/>
    <col min="4" max="4" width="12" style="4" customWidth="1"/>
    <col min="5" max="5" width="15.6640625" style="4" bestFit="1" customWidth="1"/>
    <col min="6" max="6" width="19.83203125" style="4" bestFit="1" customWidth="1"/>
    <col min="7" max="7" width="3.1640625" style="4" customWidth="1"/>
    <col min="8" max="8" width="14.6640625" style="4" customWidth="1"/>
    <col min="9" max="9" width="11" style="4"/>
    <col min="10" max="10" width="14.1640625" style="4" bestFit="1" customWidth="1"/>
    <col min="11" max="11" width="12.6640625" style="4" bestFit="1" customWidth="1"/>
    <col min="12" max="16384" width="11" style="4"/>
  </cols>
  <sheetData>
    <row r="1" spans="2:16" ht="30" customHeight="1" x14ac:dyDescent="0.2">
      <c r="B1" s="126" t="s">
        <v>144</v>
      </c>
      <c r="C1" s="127"/>
      <c r="D1" s="127"/>
      <c r="E1" s="127"/>
      <c r="F1" s="127"/>
      <c r="G1" s="127"/>
      <c r="H1" s="128"/>
    </row>
    <row r="2" spans="2:16" ht="18" x14ac:dyDescent="0.2">
      <c r="B2" s="13"/>
      <c r="C2" s="14">
        <v>1</v>
      </c>
      <c r="D2" s="15">
        <v>2</v>
      </c>
      <c r="E2" s="16">
        <v>3</v>
      </c>
      <c r="F2" s="17">
        <v>4</v>
      </c>
      <c r="G2" s="18"/>
      <c r="H2" s="19"/>
    </row>
    <row r="3" spans="2:16" ht="15.75" customHeight="1" x14ac:dyDescent="0.2">
      <c r="B3" s="20"/>
      <c r="C3" s="21" t="s">
        <v>145</v>
      </c>
      <c r="D3" s="22" t="s">
        <v>146</v>
      </c>
      <c r="E3" s="23" t="s">
        <v>147</v>
      </c>
      <c r="F3" s="24" t="s">
        <v>148</v>
      </c>
      <c r="G3" s="25"/>
      <c r="H3" s="26"/>
    </row>
    <row r="4" spans="2:16" ht="15.75" customHeight="1" x14ac:dyDescent="0.2">
      <c r="M4" s="27"/>
      <c r="N4" s="27"/>
      <c r="O4" s="27"/>
      <c r="P4" s="27"/>
    </row>
    <row r="5" spans="2:16" ht="15.75" customHeight="1" x14ac:dyDescent="0.2">
      <c r="B5" s="43" t="s">
        <v>25</v>
      </c>
      <c r="C5" s="44" t="s">
        <v>13</v>
      </c>
      <c r="D5" s="44" t="s">
        <v>12</v>
      </c>
      <c r="E5" s="44" t="s">
        <v>149</v>
      </c>
      <c r="F5" s="45" t="s">
        <v>150</v>
      </c>
      <c r="M5" s="27"/>
      <c r="N5" s="29" t="s">
        <v>46</v>
      </c>
      <c r="O5" s="29">
        <v>23536981</v>
      </c>
      <c r="P5" s="27"/>
    </row>
    <row r="6" spans="2:16" ht="15.75" customHeight="1" x14ac:dyDescent="0.2">
      <c r="B6" s="30">
        <v>23536981</v>
      </c>
      <c r="C6" s="3" t="s">
        <v>45</v>
      </c>
      <c r="D6" s="3" t="s">
        <v>46</v>
      </c>
      <c r="E6" s="31">
        <v>2</v>
      </c>
      <c r="F6" s="32" t="str">
        <f t="shared" ref="F6:F37" si="0">IF(E6=1,"Unsatisfactory",IF(E6=2,"Basic",IF(E6=3,"Proficient",IF(E6=4,"Advanced","0"))))</f>
        <v>Basic</v>
      </c>
      <c r="H6" s="129" t="s">
        <v>151</v>
      </c>
      <c r="I6" s="130"/>
      <c r="J6" s="130"/>
      <c r="K6" s="131"/>
      <c r="M6" s="27"/>
      <c r="N6" s="29" t="s">
        <v>58</v>
      </c>
      <c r="O6" s="29">
        <v>23681588</v>
      </c>
      <c r="P6" s="27"/>
    </row>
    <row r="7" spans="2:16" ht="15.75" customHeight="1" x14ac:dyDescent="0.2">
      <c r="B7" s="30">
        <v>23681588</v>
      </c>
      <c r="C7" s="3" t="s">
        <v>57</v>
      </c>
      <c r="D7" s="3" t="s">
        <v>58</v>
      </c>
      <c r="E7" s="31">
        <v>4</v>
      </c>
      <c r="F7" s="32" t="str">
        <f t="shared" si="0"/>
        <v>Advanced</v>
      </c>
      <c r="H7" s="3" t="s">
        <v>152</v>
      </c>
      <c r="I7" s="3"/>
      <c r="J7" s="3"/>
      <c r="K7" s="3">
        <f>COUNTIF(Table1[Behavior Score],"4")</f>
        <v>10</v>
      </c>
      <c r="M7" s="27"/>
      <c r="N7" s="29" t="s">
        <v>119</v>
      </c>
      <c r="O7" s="29">
        <v>23655570</v>
      </c>
      <c r="P7" s="27"/>
    </row>
    <row r="8" spans="2:16" ht="15.75" customHeight="1" x14ac:dyDescent="0.2">
      <c r="B8" s="30">
        <v>23655570</v>
      </c>
      <c r="C8" s="3" t="s">
        <v>118</v>
      </c>
      <c r="D8" s="3" t="s">
        <v>119</v>
      </c>
      <c r="E8" s="31">
        <v>2</v>
      </c>
      <c r="F8" s="32" t="str">
        <f t="shared" si="0"/>
        <v>Basic</v>
      </c>
      <c r="H8" s="3" t="s">
        <v>153</v>
      </c>
      <c r="I8" s="3"/>
      <c r="J8" s="3"/>
      <c r="K8" s="3">
        <f>COUNTIF(Table1[Behavior Score],"3")</f>
        <v>9</v>
      </c>
      <c r="M8" s="27"/>
      <c r="N8" s="29" t="s">
        <v>44</v>
      </c>
      <c r="O8" s="29">
        <v>23538914</v>
      </c>
      <c r="P8" s="27"/>
    </row>
    <row r="9" spans="2:16" ht="15.75" customHeight="1" x14ac:dyDescent="0.2">
      <c r="B9" s="30">
        <v>23538914</v>
      </c>
      <c r="C9" s="3" t="s">
        <v>43</v>
      </c>
      <c r="D9" s="3" t="s">
        <v>44</v>
      </c>
      <c r="E9" s="31">
        <v>2</v>
      </c>
      <c r="F9" s="32" t="str">
        <f t="shared" si="0"/>
        <v>Basic</v>
      </c>
      <c r="H9" s="3" t="s">
        <v>154</v>
      </c>
      <c r="I9" s="3"/>
      <c r="J9" s="3"/>
      <c r="K9" s="3">
        <f>COUNTIF(Table1[Behavior Score],"2")</f>
        <v>15</v>
      </c>
      <c r="M9" s="27"/>
      <c r="N9" s="29" t="s">
        <v>72</v>
      </c>
      <c r="O9" s="29">
        <v>23501390</v>
      </c>
      <c r="P9" s="27"/>
    </row>
    <row r="10" spans="2:16" ht="15.75" customHeight="1" x14ac:dyDescent="0.2">
      <c r="B10" s="30">
        <v>23501390</v>
      </c>
      <c r="C10" s="3" t="s">
        <v>71</v>
      </c>
      <c r="D10" s="3" t="s">
        <v>72</v>
      </c>
      <c r="E10" s="31">
        <v>1</v>
      </c>
      <c r="F10" s="32" t="str">
        <f t="shared" si="0"/>
        <v>Unsatisfactory</v>
      </c>
      <c r="H10" s="3" t="s">
        <v>155</v>
      </c>
      <c r="I10" s="3"/>
      <c r="J10" s="3"/>
      <c r="K10" s="3">
        <f>COUNTIF(Table1[Behavior Score],"1")</f>
        <v>16</v>
      </c>
      <c r="M10" s="27"/>
      <c r="N10" s="29" t="s">
        <v>102</v>
      </c>
      <c r="O10" s="29">
        <v>23648989</v>
      </c>
      <c r="P10" s="27"/>
    </row>
    <row r="11" spans="2:16" ht="15.75" customHeight="1" x14ac:dyDescent="0.2">
      <c r="B11" s="30">
        <v>23648989</v>
      </c>
      <c r="C11" s="3" t="s">
        <v>101</v>
      </c>
      <c r="D11" s="3" t="s">
        <v>102</v>
      </c>
      <c r="E11" s="31">
        <v>4</v>
      </c>
      <c r="F11" s="32" t="str">
        <f t="shared" si="0"/>
        <v>Advanced</v>
      </c>
      <c r="H11" s="3" t="s">
        <v>156</v>
      </c>
      <c r="I11" s="3"/>
      <c r="J11" s="3"/>
      <c r="K11" s="3">
        <f>AVERAGE(Table1[Behavior Score])</f>
        <v>2.2599999999999998</v>
      </c>
      <c r="M11" s="27"/>
      <c r="N11" s="29" t="s">
        <v>32</v>
      </c>
      <c r="O11" s="29">
        <v>23569340</v>
      </c>
      <c r="P11" s="27"/>
    </row>
    <row r="12" spans="2:16" ht="15.75" customHeight="1" x14ac:dyDescent="0.2">
      <c r="B12" s="30">
        <v>23569340</v>
      </c>
      <c r="C12" s="3" t="s">
        <v>31</v>
      </c>
      <c r="D12" s="3" t="s">
        <v>32</v>
      </c>
      <c r="E12" s="31">
        <v>2</v>
      </c>
      <c r="F12" s="32" t="str">
        <f t="shared" si="0"/>
        <v>Basic</v>
      </c>
      <c r="M12" s="27"/>
      <c r="N12" s="29" t="s">
        <v>35</v>
      </c>
      <c r="O12" s="29">
        <v>23614522</v>
      </c>
      <c r="P12" s="27"/>
    </row>
    <row r="13" spans="2:16" ht="15.75" customHeight="1" x14ac:dyDescent="0.2">
      <c r="B13" s="30">
        <v>23614522</v>
      </c>
      <c r="C13" s="3" t="s">
        <v>111</v>
      </c>
      <c r="D13" s="3" t="s">
        <v>35</v>
      </c>
      <c r="E13" s="31">
        <v>1</v>
      </c>
      <c r="F13" s="32" t="str">
        <f t="shared" si="0"/>
        <v>Unsatisfactory</v>
      </c>
      <c r="H13" s="46" t="s">
        <v>25</v>
      </c>
      <c r="I13" s="47" t="s">
        <v>12</v>
      </c>
      <c r="J13" s="47" t="s">
        <v>149</v>
      </c>
      <c r="K13" s="47" t="s">
        <v>150</v>
      </c>
      <c r="M13" s="27"/>
      <c r="N13" s="29" t="s">
        <v>121</v>
      </c>
      <c r="O13" s="29">
        <v>23552203</v>
      </c>
      <c r="P13" s="27"/>
    </row>
    <row r="14" spans="2:16" ht="15.75" customHeight="1" x14ac:dyDescent="0.2">
      <c r="B14" s="30">
        <v>23552203</v>
      </c>
      <c r="C14" s="3" t="s">
        <v>120</v>
      </c>
      <c r="D14" s="3" t="s">
        <v>121</v>
      </c>
      <c r="E14" s="31">
        <v>2</v>
      </c>
      <c r="F14" s="32" t="str">
        <f t="shared" si="0"/>
        <v>Basic</v>
      </c>
      <c r="H14" s="28">
        <f>VLOOKUP($I$14,$N$5:$O$54,2,FALSE)</f>
        <v>23536981</v>
      </c>
      <c r="I14" s="56" t="s">
        <v>46</v>
      </c>
      <c r="J14" s="31">
        <f>VLOOKUP($I$14,$D$6:$F$55,2,FALSE)</f>
        <v>2</v>
      </c>
      <c r="K14" s="28" t="str">
        <f>VLOOKUP($I$14,$D$6:$F$55,3,FALSE)</f>
        <v>Basic</v>
      </c>
      <c r="M14" s="27"/>
      <c r="N14" s="29" t="s">
        <v>106</v>
      </c>
      <c r="O14" s="29">
        <v>23513165</v>
      </c>
      <c r="P14" s="27"/>
    </row>
    <row r="15" spans="2:16" ht="15.75" customHeight="1" x14ac:dyDescent="0.2">
      <c r="B15" s="30">
        <v>23513165</v>
      </c>
      <c r="C15" s="3" t="s">
        <v>105</v>
      </c>
      <c r="D15" s="3" t="s">
        <v>106</v>
      </c>
      <c r="E15" s="31">
        <v>2</v>
      </c>
      <c r="F15" s="32" t="str">
        <f t="shared" si="0"/>
        <v>Basic</v>
      </c>
      <c r="M15" s="27"/>
      <c r="N15" s="29" t="s">
        <v>54</v>
      </c>
      <c r="O15" s="29">
        <v>23518502</v>
      </c>
      <c r="P15" s="27"/>
    </row>
    <row r="16" spans="2:16" ht="15.75" customHeight="1" x14ac:dyDescent="0.2">
      <c r="B16" s="30">
        <v>23518502</v>
      </c>
      <c r="C16" s="3" t="s">
        <v>53</v>
      </c>
      <c r="D16" s="3" t="s">
        <v>54</v>
      </c>
      <c r="E16" s="31">
        <v>1</v>
      </c>
      <c r="F16" s="32" t="str">
        <f t="shared" si="0"/>
        <v>Unsatisfactory</v>
      </c>
      <c r="M16" s="27"/>
      <c r="N16" s="29" t="s">
        <v>96</v>
      </c>
      <c r="O16" s="29">
        <v>23512829</v>
      </c>
      <c r="P16" s="27"/>
    </row>
    <row r="17" spans="2:16" ht="15.75" customHeight="1" x14ac:dyDescent="0.2">
      <c r="B17" s="30">
        <v>23512829</v>
      </c>
      <c r="C17" s="3" t="s">
        <v>95</v>
      </c>
      <c r="D17" s="3" t="s">
        <v>96</v>
      </c>
      <c r="E17" s="31">
        <v>2</v>
      </c>
      <c r="F17" s="32" t="str">
        <f t="shared" si="0"/>
        <v>Basic</v>
      </c>
      <c r="M17" s="27"/>
      <c r="N17" s="29" t="s">
        <v>113</v>
      </c>
      <c r="O17" s="29">
        <v>23589906</v>
      </c>
      <c r="P17" s="27"/>
    </row>
    <row r="18" spans="2:16" ht="15.75" customHeight="1" x14ac:dyDescent="0.2">
      <c r="B18" s="30">
        <v>23589906</v>
      </c>
      <c r="C18" s="3" t="s">
        <v>112</v>
      </c>
      <c r="D18" s="3" t="s">
        <v>113</v>
      </c>
      <c r="E18" s="31">
        <v>4</v>
      </c>
      <c r="F18" s="32" t="str">
        <f t="shared" si="0"/>
        <v>Advanced</v>
      </c>
      <c r="M18" s="27"/>
      <c r="N18" s="29" t="s">
        <v>36</v>
      </c>
      <c r="O18" s="29">
        <v>23545029</v>
      </c>
      <c r="P18" s="27"/>
    </row>
    <row r="19" spans="2:16" ht="15.75" customHeight="1" x14ac:dyDescent="0.2">
      <c r="B19" s="30">
        <v>23545029</v>
      </c>
      <c r="C19" s="3" t="s">
        <v>35</v>
      </c>
      <c r="D19" s="3" t="s">
        <v>36</v>
      </c>
      <c r="E19" s="31">
        <v>2</v>
      </c>
      <c r="F19" s="32" t="str">
        <f t="shared" si="0"/>
        <v>Basic</v>
      </c>
      <c r="M19" s="27"/>
      <c r="N19" s="29" t="s">
        <v>110</v>
      </c>
      <c r="O19" s="29">
        <v>23511179</v>
      </c>
      <c r="P19" s="27"/>
    </row>
    <row r="20" spans="2:16" ht="15.75" customHeight="1" x14ac:dyDescent="0.2">
      <c r="B20" s="30">
        <v>23511179</v>
      </c>
      <c r="C20" s="3" t="s">
        <v>109</v>
      </c>
      <c r="D20" s="3" t="s">
        <v>110</v>
      </c>
      <c r="E20" s="31">
        <v>3</v>
      </c>
      <c r="F20" s="32" t="str">
        <f t="shared" si="0"/>
        <v>Proficient</v>
      </c>
      <c r="M20" s="27"/>
      <c r="N20" s="29" t="s">
        <v>86</v>
      </c>
      <c r="O20" s="29">
        <v>23552303</v>
      </c>
      <c r="P20" s="27"/>
    </row>
    <row r="21" spans="2:16" ht="15.75" customHeight="1" x14ac:dyDescent="0.2">
      <c r="B21" s="30">
        <v>23552303</v>
      </c>
      <c r="C21" s="3" t="s">
        <v>85</v>
      </c>
      <c r="D21" s="3" t="s">
        <v>86</v>
      </c>
      <c r="E21" s="31">
        <v>4</v>
      </c>
      <c r="F21" s="32" t="str">
        <f t="shared" si="0"/>
        <v>Advanced</v>
      </c>
      <c r="M21" s="27"/>
      <c r="N21" s="29" t="s">
        <v>117</v>
      </c>
      <c r="O21" s="29">
        <v>23512527</v>
      </c>
      <c r="P21" s="27"/>
    </row>
    <row r="22" spans="2:16" ht="15.75" customHeight="1" x14ac:dyDescent="0.2">
      <c r="B22" s="30">
        <v>23512527</v>
      </c>
      <c r="C22" s="3" t="s">
        <v>116</v>
      </c>
      <c r="D22" s="3" t="s">
        <v>117</v>
      </c>
      <c r="E22" s="31">
        <v>3</v>
      </c>
      <c r="F22" s="32" t="str">
        <f t="shared" si="0"/>
        <v>Proficient</v>
      </c>
      <c r="M22" s="27"/>
      <c r="N22" s="29" t="s">
        <v>76</v>
      </c>
      <c r="O22" s="29">
        <v>23686037</v>
      </c>
      <c r="P22" s="27"/>
    </row>
    <row r="23" spans="2:16" ht="15.75" customHeight="1" x14ac:dyDescent="0.2">
      <c r="B23" s="30">
        <v>23686037</v>
      </c>
      <c r="C23" s="3" t="s">
        <v>75</v>
      </c>
      <c r="D23" s="3" t="s">
        <v>76</v>
      </c>
      <c r="E23" s="31">
        <v>3</v>
      </c>
      <c r="F23" s="32" t="str">
        <f t="shared" si="0"/>
        <v>Proficient</v>
      </c>
      <c r="M23" s="27"/>
      <c r="N23" s="29" t="s">
        <v>48</v>
      </c>
      <c r="O23" s="29">
        <v>23643612</v>
      </c>
      <c r="P23" s="27"/>
    </row>
    <row r="24" spans="2:16" ht="15.75" customHeight="1" x14ac:dyDescent="0.2">
      <c r="B24" s="30">
        <v>23643612</v>
      </c>
      <c r="C24" s="3" t="s">
        <v>47</v>
      </c>
      <c r="D24" s="3" t="s">
        <v>48</v>
      </c>
      <c r="E24" s="31">
        <v>4</v>
      </c>
      <c r="F24" s="32" t="str">
        <f t="shared" si="0"/>
        <v>Advanced</v>
      </c>
      <c r="M24" s="27"/>
      <c r="N24" s="29" t="s">
        <v>78</v>
      </c>
      <c r="O24" s="29">
        <v>23563708</v>
      </c>
      <c r="P24" s="27"/>
    </row>
    <row r="25" spans="2:16" ht="15.75" customHeight="1" x14ac:dyDescent="0.2">
      <c r="B25" s="30">
        <v>23563708</v>
      </c>
      <c r="C25" s="3" t="s">
        <v>77</v>
      </c>
      <c r="D25" s="3" t="s">
        <v>78</v>
      </c>
      <c r="E25" s="31">
        <v>1</v>
      </c>
      <c r="F25" s="32" t="str">
        <f t="shared" si="0"/>
        <v>Unsatisfactory</v>
      </c>
      <c r="M25" s="27"/>
      <c r="N25" s="29" t="s">
        <v>88</v>
      </c>
      <c r="O25" s="29">
        <v>23554960</v>
      </c>
      <c r="P25" s="27"/>
    </row>
    <row r="26" spans="2:16" ht="15.75" customHeight="1" x14ac:dyDescent="0.2">
      <c r="B26" s="30">
        <v>23554960</v>
      </c>
      <c r="C26" s="3" t="s">
        <v>87</v>
      </c>
      <c r="D26" s="3" t="s">
        <v>88</v>
      </c>
      <c r="E26" s="31">
        <v>3</v>
      </c>
      <c r="F26" s="32" t="str">
        <f t="shared" si="0"/>
        <v>Proficient</v>
      </c>
      <c r="M26" s="27"/>
      <c r="N26" s="29" t="s">
        <v>66</v>
      </c>
      <c r="O26" s="29">
        <v>23521122</v>
      </c>
      <c r="P26" s="27"/>
    </row>
    <row r="27" spans="2:16" ht="15.75" customHeight="1" x14ac:dyDescent="0.2">
      <c r="B27" s="30">
        <v>23521122</v>
      </c>
      <c r="C27" s="3" t="s">
        <v>65</v>
      </c>
      <c r="D27" s="3" t="s">
        <v>66</v>
      </c>
      <c r="E27" s="31">
        <v>2</v>
      </c>
      <c r="F27" s="32" t="str">
        <f t="shared" si="0"/>
        <v>Basic</v>
      </c>
      <c r="M27" s="27"/>
      <c r="N27" s="29" t="s">
        <v>94</v>
      </c>
      <c r="O27" s="29">
        <v>23698874</v>
      </c>
      <c r="P27" s="27"/>
    </row>
    <row r="28" spans="2:16" ht="15.75" customHeight="1" x14ac:dyDescent="0.2">
      <c r="B28" s="30">
        <v>23698874</v>
      </c>
      <c r="C28" s="3" t="s">
        <v>93</v>
      </c>
      <c r="D28" s="3" t="s">
        <v>94</v>
      </c>
      <c r="E28" s="31">
        <v>2</v>
      </c>
      <c r="F28" s="32" t="str">
        <f t="shared" si="0"/>
        <v>Basic</v>
      </c>
      <c r="M28" s="27"/>
      <c r="N28" s="29" t="s">
        <v>60</v>
      </c>
      <c r="O28" s="29">
        <v>23558031</v>
      </c>
      <c r="P28" s="27"/>
    </row>
    <row r="29" spans="2:16" ht="15.75" customHeight="1" x14ac:dyDescent="0.2">
      <c r="B29" s="30">
        <v>23558031</v>
      </c>
      <c r="C29" s="3" t="s">
        <v>59</v>
      </c>
      <c r="D29" s="3" t="s">
        <v>60</v>
      </c>
      <c r="E29" s="31">
        <v>3</v>
      </c>
      <c r="F29" s="32" t="str">
        <f t="shared" si="0"/>
        <v>Proficient</v>
      </c>
      <c r="M29" s="27"/>
      <c r="N29" s="29" t="s">
        <v>98</v>
      </c>
      <c r="O29" s="29">
        <v>23665210</v>
      </c>
      <c r="P29" s="27"/>
    </row>
    <row r="30" spans="2:16" ht="15.75" customHeight="1" x14ac:dyDescent="0.2">
      <c r="B30" s="30">
        <v>23665210</v>
      </c>
      <c r="C30" s="3" t="s">
        <v>97</v>
      </c>
      <c r="D30" s="3" t="s">
        <v>98</v>
      </c>
      <c r="E30" s="31">
        <v>2</v>
      </c>
      <c r="F30" s="32" t="str">
        <f t="shared" si="0"/>
        <v>Basic</v>
      </c>
      <c r="M30" s="27"/>
      <c r="N30" s="29" t="s">
        <v>52</v>
      </c>
      <c r="O30" s="29">
        <v>23602899</v>
      </c>
      <c r="P30" s="27"/>
    </row>
    <row r="31" spans="2:16" ht="15.75" customHeight="1" x14ac:dyDescent="0.2">
      <c r="B31" s="30">
        <v>23602899</v>
      </c>
      <c r="C31" s="3" t="s">
        <v>51</v>
      </c>
      <c r="D31" s="3" t="s">
        <v>52</v>
      </c>
      <c r="E31" s="31">
        <v>4</v>
      </c>
      <c r="F31" s="32" t="str">
        <f t="shared" si="0"/>
        <v>Advanced</v>
      </c>
      <c r="M31" s="27"/>
      <c r="N31" s="29" t="s">
        <v>104</v>
      </c>
      <c r="O31" s="29">
        <v>23599332</v>
      </c>
      <c r="P31" s="27"/>
    </row>
    <row r="32" spans="2:16" ht="15.75" customHeight="1" x14ac:dyDescent="0.2">
      <c r="B32" s="30">
        <v>23599332</v>
      </c>
      <c r="C32" s="3" t="s">
        <v>103</v>
      </c>
      <c r="D32" s="3" t="s">
        <v>104</v>
      </c>
      <c r="E32" s="31">
        <v>1</v>
      </c>
      <c r="F32" s="32" t="str">
        <f t="shared" si="0"/>
        <v>Unsatisfactory</v>
      </c>
      <c r="M32" s="27"/>
      <c r="N32" s="29" t="s">
        <v>64</v>
      </c>
      <c r="O32" s="29">
        <v>23580679</v>
      </c>
      <c r="P32" s="27"/>
    </row>
    <row r="33" spans="2:16" ht="15.75" customHeight="1" x14ac:dyDescent="0.2">
      <c r="B33" s="30">
        <v>23580679</v>
      </c>
      <c r="C33" s="3" t="s">
        <v>63</v>
      </c>
      <c r="D33" s="3" t="s">
        <v>64</v>
      </c>
      <c r="E33" s="31">
        <v>1</v>
      </c>
      <c r="F33" s="32" t="str">
        <f t="shared" si="0"/>
        <v>Unsatisfactory</v>
      </c>
      <c r="M33" s="27"/>
      <c r="N33" s="29" t="s">
        <v>42</v>
      </c>
      <c r="O33" s="29">
        <v>23578756</v>
      </c>
      <c r="P33" s="27"/>
    </row>
    <row r="34" spans="2:16" ht="15.75" customHeight="1" x14ac:dyDescent="0.2">
      <c r="B34" s="30">
        <v>23578756</v>
      </c>
      <c r="C34" s="3" t="s">
        <v>41</v>
      </c>
      <c r="D34" s="3" t="s">
        <v>42</v>
      </c>
      <c r="E34" s="31">
        <v>1</v>
      </c>
      <c r="F34" s="32" t="str">
        <f t="shared" si="0"/>
        <v>Unsatisfactory</v>
      </c>
      <c r="M34" s="27"/>
      <c r="N34" s="29" t="s">
        <v>70</v>
      </c>
      <c r="O34" s="29">
        <v>23625004</v>
      </c>
      <c r="P34" s="27"/>
    </row>
    <row r="35" spans="2:16" ht="15.75" customHeight="1" x14ac:dyDescent="0.2">
      <c r="B35" s="30">
        <v>23625004</v>
      </c>
      <c r="C35" s="3" t="s">
        <v>69</v>
      </c>
      <c r="D35" s="3" t="s">
        <v>70</v>
      </c>
      <c r="E35" s="31">
        <v>2</v>
      </c>
      <c r="F35" s="32" t="str">
        <f t="shared" si="0"/>
        <v>Basic</v>
      </c>
      <c r="M35" s="27"/>
      <c r="N35" s="29" t="s">
        <v>40</v>
      </c>
      <c r="O35" s="29">
        <v>23544190</v>
      </c>
      <c r="P35" s="27"/>
    </row>
    <row r="36" spans="2:16" ht="15.75" customHeight="1" x14ac:dyDescent="0.2">
      <c r="B36" s="30">
        <v>23544190</v>
      </c>
      <c r="C36" s="3" t="s">
        <v>39</v>
      </c>
      <c r="D36" s="3" t="s">
        <v>40</v>
      </c>
      <c r="E36" s="31">
        <v>1</v>
      </c>
      <c r="F36" s="32" t="str">
        <f t="shared" si="0"/>
        <v>Unsatisfactory</v>
      </c>
      <c r="M36" s="27"/>
      <c r="N36" s="29" t="s">
        <v>34</v>
      </c>
      <c r="O36" s="29">
        <v>23503674</v>
      </c>
      <c r="P36" s="27"/>
    </row>
    <row r="37" spans="2:16" ht="15.75" customHeight="1" x14ac:dyDescent="0.2">
      <c r="B37" s="30">
        <v>23503674</v>
      </c>
      <c r="C37" s="3" t="s">
        <v>33</v>
      </c>
      <c r="D37" s="3" t="s">
        <v>34</v>
      </c>
      <c r="E37" s="31">
        <v>1</v>
      </c>
      <c r="F37" s="32" t="str">
        <f t="shared" si="0"/>
        <v>Unsatisfactory</v>
      </c>
      <c r="M37" s="27"/>
      <c r="N37" s="29" t="s">
        <v>62</v>
      </c>
      <c r="O37" s="29">
        <v>23630771</v>
      </c>
      <c r="P37" s="27"/>
    </row>
    <row r="38" spans="2:16" ht="15.75" customHeight="1" x14ac:dyDescent="0.2">
      <c r="B38" s="30">
        <v>23630771</v>
      </c>
      <c r="C38" s="3" t="s">
        <v>61</v>
      </c>
      <c r="D38" s="3" t="s">
        <v>62</v>
      </c>
      <c r="E38" s="31">
        <v>1</v>
      </c>
      <c r="F38" s="32" t="str">
        <f t="shared" ref="F38:F55" si="1">IF(E38=1,"Unsatisfactory",IF(E38=2,"Basic",IF(E38=3,"Proficient",IF(E38=4,"Advanced","0"))))</f>
        <v>Unsatisfactory</v>
      </c>
      <c r="M38" s="27"/>
      <c r="N38" s="29" t="s">
        <v>115</v>
      </c>
      <c r="O38" s="29">
        <v>23579559</v>
      </c>
      <c r="P38" s="27"/>
    </row>
    <row r="39" spans="2:16" ht="15.75" customHeight="1" x14ac:dyDescent="0.2">
      <c r="B39" s="30">
        <v>23579559</v>
      </c>
      <c r="C39" s="3" t="s">
        <v>114</v>
      </c>
      <c r="D39" s="3" t="s">
        <v>115</v>
      </c>
      <c r="E39" s="31">
        <v>3</v>
      </c>
      <c r="F39" s="32" t="str">
        <f t="shared" si="1"/>
        <v>Proficient</v>
      </c>
      <c r="M39" s="27"/>
      <c r="N39" s="29" t="s">
        <v>50</v>
      </c>
      <c r="O39" s="29">
        <v>23635346</v>
      </c>
      <c r="P39" s="27"/>
    </row>
    <row r="40" spans="2:16" ht="15.75" customHeight="1" x14ac:dyDescent="0.2">
      <c r="B40" s="30">
        <v>23635346</v>
      </c>
      <c r="C40" s="3" t="s">
        <v>49</v>
      </c>
      <c r="D40" s="3" t="s">
        <v>50</v>
      </c>
      <c r="E40" s="31">
        <v>2</v>
      </c>
      <c r="F40" s="32" t="str">
        <f t="shared" si="1"/>
        <v>Basic</v>
      </c>
      <c r="M40" s="27"/>
      <c r="N40" s="29" t="s">
        <v>84</v>
      </c>
      <c r="O40" s="29">
        <v>23698407</v>
      </c>
      <c r="P40" s="27"/>
    </row>
    <row r="41" spans="2:16" ht="15.75" customHeight="1" x14ac:dyDescent="0.2">
      <c r="B41" s="30">
        <v>23698407</v>
      </c>
      <c r="C41" s="3" t="s">
        <v>83</v>
      </c>
      <c r="D41" s="3" t="s">
        <v>84</v>
      </c>
      <c r="E41" s="31">
        <v>1</v>
      </c>
      <c r="F41" s="32" t="str">
        <f t="shared" si="1"/>
        <v>Unsatisfactory</v>
      </c>
      <c r="M41" s="27"/>
      <c r="N41" s="29" t="s">
        <v>68</v>
      </c>
      <c r="O41" s="29">
        <v>23607530</v>
      </c>
      <c r="P41" s="27"/>
    </row>
    <row r="42" spans="2:16" ht="15.75" customHeight="1" x14ac:dyDescent="0.2">
      <c r="B42" s="30">
        <v>23607530</v>
      </c>
      <c r="C42" s="3" t="s">
        <v>67</v>
      </c>
      <c r="D42" s="3" t="s">
        <v>68</v>
      </c>
      <c r="E42" s="31">
        <v>1</v>
      </c>
      <c r="F42" s="32" t="str">
        <f t="shared" si="1"/>
        <v>Unsatisfactory</v>
      </c>
      <c r="M42" s="27"/>
      <c r="N42" s="29" t="s">
        <v>28</v>
      </c>
      <c r="O42" s="29">
        <v>23672743</v>
      </c>
      <c r="P42" s="27"/>
    </row>
    <row r="43" spans="2:16" ht="15.75" customHeight="1" x14ac:dyDescent="0.2">
      <c r="B43" s="30">
        <v>23672743</v>
      </c>
      <c r="C43" s="3" t="s">
        <v>27</v>
      </c>
      <c r="D43" s="3" t="s">
        <v>28</v>
      </c>
      <c r="E43" s="31">
        <v>3</v>
      </c>
      <c r="F43" s="32" t="str">
        <f t="shared" si="1"/>
        <v>Proficient</v>
      </c>
      <c r="M43" s="27"/>
      <c r="N43" s="29" t="s">
        <v>125</v>
      </c>
      <c r="O43" s="29">
        <v>23574855</v>
      </c>
      <c r="P43" s="27"/>
    </row>
    <row r="44" spans="2:16" ht="15.75" customHeight="1" x14ac:dyDescent="0.2">
      <c r="B44" s="30">
        <v>23574855</v>
      </c>
      <c r="C44" s="3" t="s">
        <v>124</v>
      </c>
      <c r="D44" s="3" t="s">
        <v>125</v>
      </c>
      <c r="E44" s="31">
        <v>4</v>
      </c>
      <c r="F44" s="32" t="str">
        <f t="shared" si="1"/>
        <v>Advanced</v>
      </c>
      <c r="M44" s="27"/>
      <c r="N44" s="29" t="s">
        <v>80</v>
      </c>
      <c r="O44" s="29">
        <v>23688909</v>
      </c>
      <c r="P44" s="27"/>
    </row>
    <row r="45" spans="2:16" ht="15.75" customHeight="1" x14ac:dyDescent="0.2">
      <c r="B45" s="30">
        <v>23688909</v>
      </c>
      <c r="C45" s="3" t="s">
        <v>79</v>
      </c>
      <c r="D45" s="3" t="s">
        <v>80</v>
      </c>
      <c r="E45" s="31">
        <v>3</v>
      </c>
      <c r="F45" s="32" t="str">
        <f t="shared" si="1"/>
        <v>Proficient</v>
      </c>
      <c r="M45" s="27"/>
      <c r="N45" s="29" t="s">
        <v>56</v>
      </c>
      <c r="O45" s="29">
        <v>23545298</v>
      </c>
      <c r="P45" s="27"/>
    </row>
    <row r="46" spans="2:16" ht="15.75" customHeight="1" x14ac:dyDescent="0.2">
      <c r="B46" s="30">
        <v>23545298</v>
      </c>
      <c r="C46" s="3" t="s">
        <v>55</v>
      </c>
      <c r="D46" s="3" t="s">
        <v>56</v>
      </c>
      <c r="E46" s="31">
        <v>2</v>
      </c>
      <c r="F46" s="32" t="str">
        <f t="shared" si="1"/>
        <v>Basic</v>
      </c>
      <c r="M46" s="27"/>
      <c r="N46" s="29" t="s">
        <v>74</v>
      </c>
      <c r="O46" s="29">
        <v>23591771</v>
      </c>
      <c r="P46" s="27"/>
    </row>
    <row r="47" spans="2:16" ht="15.75" customHeight="1" x14ac:dyDescent="0.2">
      <c r="B47" s="30">
        <v>23591771</v>
      </c>
      <c r="C47" s="3" t="s">
        <v>73</v>
      </c>
      <c r="D47" s="3" t="s">
        <v>74</v>
      </c>
      <c r="E47" s="31">
        <v>2</v>
      </c>
      <c r="F47" s="32" t="str">
        <f t="shared" si="1"/>
        <v>Basic</v>
      </c>
      <c r="M47" s="27"/>
      <c r="N47" s="29" t="s">
        <v>123</v>
      </c>
      <c r="O47" s="29">
        <v>23590970</v>
      </c>
      <c r="P47" s="27"/>
    </row>
    <row r="48" spans="2:16" ht="15.75" customHeight="1" x14ac:dyDescent="0.2">
      <c r="B48" s="30">
        <v>23590970</v>
      </c>
      <c r="C48" s="3" t="s">
        <v>122</v>
      </c>
      <c r="D48" s="3" t="s">
        <v>123</v>
      </c>
      <c r="E48" s="31">
        <v>4</v>
      </c>
      <c r="F48" s="32" t="str">
        <f t="shared" si="1"/>
        <v>Advanced</v>
      </c>
      <c r="M48" s="27"/>
      <c r="N48" s="29" t="s">
        <v>82</v>
      </c>
      <c r="O48" s="29">
        <v>23634419</v>
      </c>
      <c r="P48" s="27"/>
    </row>
    <row r="49" spans="2:16" ht="15.75" customHeight="1" x14ac:dyDescent="0.2">
      <c r="B49" s="30">
        <v>23634419</v>
      </c>
      <c r="C49" s="3" t="s">
        <v>81</v>
      </c>
      <c r="D49" s="3" t="s">
        <v>82</v>
      </c>
      <c r="E49" s="31">
        <v>3</v>
      </c>
      <c r="F49" s="32" t="str">
        <f t="shared" si="1"/>
        <v>Proficient</v>
      </c>
      <c r="M49" s="27"/>
      <c r="N49" s="29" t="s">
        <v>92</v>
      </c>
      <c r="O49" s="29">
        <v>23602592</v>
      </c>
      <c r="P49" s="27"/>
    </row>
    <row r="50" spans="2:16" ht="15.75" customHeight="1" x14ac:dyDescent="0.2">
      <c r="B50" s="30">
        <v>23602592</v>
      </c>
      <c r="C50" s="3" t="s">
        <v>91</v>
      </c>
      <c r="D50" s="3" t="s">
        <v>92</v>
      </c>
      <c r="E50" s="31">
        <v>1</v>
      </c>
      <c r="F50" s="32" t="str">
        <f t="shared" si="1"/>
        <v>Unsatisfactory</v>
      </c>
      <c r="M50" s="27"/>
      <c r="N50" s="29" t="s">
        <v>90</v>
      </c>
      <c r="O50" s="29">
        <v>23551669</v>
      </c>
      <c r="P50" s="27"/>
    </row>
    <row r="51" spans="2:16" ht="15.75" customHeight="1" x14ac:dyDescent="0.2">
      <c r="B51" s="30">
        <v>23551669</v>
      </c>
      <c r="C51" s="3" t="s">
        <v>89</v>
      </c>
      <c r="D51" s="3" t="s">
        <v>90</v>
      </c>
      <c r="E51" s="31">
        <v>1</v>
      </c>
      <c r="F51" s="32" t="str">
        <f t="shared" si="1"/>
        <v>Unsatisfactory</v>
      </c>
      <c r="M51" s="27"/>
      <c r="N51" s="29" t="s">
        <v>108</v>
      </c>
      <c r="O51" s="29">
        <v>23697900</v>
      </c>
      <c r="P51" s="27"/>
    </row>
    <row r="52" spans="2:16" ht="15.75" customHeight="1" x14ac:dyDescent="0.2">
      <c r="B52" s="30">
        <v>23697900</v>
      </c>
      <c r="C52" s="3" t="s">
        <v>107</v>
      </c>
      <c r="D52" s="3" t="s">
        <v>108</v>
      </c>
      <c r="E52" s="31">
        <v>4</v>
      </c>
      <c r="F52" s="32" t="str">
        <f t="shared" si="1"/>
        <v>Advanced</v>
      </c>
      <c r="M52" s="27"/>
      <c r="N52" s="29" t="s">
        <v>38</v>
      </c>
      <c r="O52" s="29">
        <v>23555563</v>
      </c>
      <c r="P52" s="27"/>
    </row>
    <row r="53" spans="2:16" ht="15.75" customHeight="1" x14ac:dyDescent="0.2">
      <c r="B53" s="30">
        <v>23555563</v>
      </c>
      <c r="C53" s="3" t="s">
        <v>37</v>
      </c>
      <c r="D53" s="3" t="s">
        <v>38</v>
      </c>
      <c r="E53" s="31">
        <v>1</v>
      </c>
      <c r="F53" s="32" t="str">
        <f t="shared" si="1"/>
        <v>Unsatisfactory</v>
      </c>
      <c r="M53" s="27"/>
      <c r="N53" s="29" t="s">
        <v>30</v>
      </c>
      <c r="O53" s="29">
        <v>23570945</v>
      </c>
      <c r="P53" s="27"/>
    </row>
    <row r="54" spans="2:16" ht="15.75" customHeight="1" x14ac:dyDescent="0.2">
      <c r="B54" s="30">
        <v>23570945</v>
      </c>
      <c r="C54" s="3" t="s">
        <v>29</v>
      </c>
      <c r="D54" s="3" t="s">
        <v>30</v>
      </c>
      <c r="E54" s="31">
        <v>1</v>
      </c>
      <c r="F54" s="32" t="str">
        <f t="shared" si="1"/>
        <v>Unsatisfactory</v>
      </c>
      <c r="M54" s="27"/>
      <c r="N54" s="29" t="s">
        <v>100</v>
      </c>
      <c r="O54" s="29">
        <v>23614752</v>
      </c>
      <c r="P54" s="27"/>
    </row>
    <row r="55" spans="2:16" ht="15.75" customHeight="1" x14ac:dyDescent="0.2">
      <c r="B55" s="33">
        <v>23614752</v>
      </c>
      <c r="C55" s="34" t="s">
        <v>99</v>
      </c>
      <c r="D55" s="34" t="s">
        <v>100</v>
      </c>
      <c r="E55" s="35">
        <v>4</v>
      </c>
      <c r="F55" s="36" t="str">
        <f t="shared" si="1"/>
        <v>Advanced</v>
      </c>
    </row>
  </sheetData>
  <mergeCells count="2">
    <mergeCell ref="B1:H1"/>
    <mergeCell ref="H6:K6"/>
  </mergeCells>
  <conditionalFormatting sqref="E6:E55">
    <cfRule type="cellIs" dxfId="68" priority="8" operator="equal">
      <formula>1</formula>
    </cfRule>
  </conditionalFormatting>
  <conditionalFormatting sqref="E6:E55">
    <cfRule type="cellIs" dxfId="67" priority="7" operator="equal">
      <formula>4</formula>
    </cfRule>
  </conditionalFormatting>
  <conditionalFormatting sqref="E6:E55">
    <cfRule type="cellIs" dxfId="66" priority="6" operator="equal">
      <formula>3</formula>
    </cfRule>
  </conditionalFormatting>
  <conditionalFormatting sqref="E6:E55">
    <cfRule type="cellIs" dxfId="65" priority="5" operator="equal">
      <formula>2</formula>
    </cfRule>
  </conditionalFormatting>
  <conditionalFormatting sqref="J14">
    <cfRule type="cellIs" dxfId="64" priority="4" operator="equal">
      <formula>1</formula>
    </cfRule>
  </conditionalFormatting>
  <conditionalFormatting sqref="J14">
    <cfRule type="cellIs" dxfId="63" priority="3" operator="equal">
      <formula>4</formula>
    </cfRule>
  </conditionalFormatting>
  <conditionalFormatting sqref="J14">
    <cfRule type="cellIs" dxfId="62" priority="2" operator="equal">
      <formula>3</formula>
    </cfRule>
  </conditionalFormatting>
  <conditionalFormatting sqref="J14">
    <cfRule type="cellIs" dxfId="61" priority="1" operator="equal">
      <formula>2</formula>
    </cfRule>
  </conditionalFormatting>
  <dataValidations count="2">
    <dataValidation type="whole" allowBlank="1" showInputMessage="1" showErrorMessage="1" sqref="E6:E55" xr:uid="{2B2BBBD8-EA80-4844-864B-0BF3598065BC}">
      <formula1>1</formula1>
      <formula2>4</formula2>
    </dataValidation>
    <dataValidation type="list" allowBlank="1" showInputMessage="1" showErrorMessage="1" sqref="I14" xr:uid="{54C2955C-FD55-40ED-9B1C-A6724E4EF807}">
      <formula1>$D$6:$D$55</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65" r:id="rId3" name="Button 9">
              <controlPr defaultSize="0" print="0" autoFill="0" autoPict="0" macro="[0]!Instruction_Behavior">
                <anchor moveWithCells="1" sizeWithCells="1">
                  <from>
                    <xdr:col>8</xdr:col>
                    <xdr:colOff>139700</xdr:colOff>
                    <xdr:row>1</xdr:row>
                    <xdr:rowOff>25400</xdr:rowOff>
                  </from>
                  <to>
                    <xdr:col>9</xdr:col>
                    <xdr:colOff>838200</xdr:colOff>
                    <xdr:row>2</xdr:row>
                    <xdr:rowOff>177800</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89F94-17E6-B64E-BB18-CA3D66E5E3D7}">
  <sheetPr codeName="Sheet7"/>
  <dimension ref="A1:M56"/>
  <sheetViews>
    <sheetView workbookViewId="0">
      <selection activeCell="R38" sqref="R38:S38"/>
    </sheetView>
  </sheetViews>
  <sheetFormatPr baseColWidth="10" defaultColWidth="11" defaultRowHeight="16" x14ac:dyDescent="0.2"/>
  <cols>
    <col min="1" max="1" width="9.6640625" style="69" bestFit="1" customWidth="1"/>
    <col min="2" max="2" width="10" style="69" bestFit="1" customWidth="1"/>
    <col min="3" max="4" width="13.6640625" style="69" bestFit="1" customWidth="1"/>
    <col min="5" max="5" width="7" style="69" bestFit="1" customWidth="1"/>
    <col min="6" max="6" width="9.83203125" style="69" bestFit="1" customWidth="1"/>
    <col min="7" max="8" width="11.5" style="69" bestFit="1" customWidth="1"/>
    <col min="9" max="9" width="10.5" style="69" bestFit="1" customWidth="1"/>
    <col min="10" max="11" width="11.5" style="69" bestFit="1" customWidth="1"/>
    <col min="12" max="12" width="13.1640625" style="69" bestFit="1" customWidth="1"/>
    <col min="13" max="16384" width="11" style="69"/>
  </cols>
  <sheetData>
    <row r="1" spans="1:13" x14ac:dyDescent="0.2">
      <c r="A1" s="78" t="s">
        <v>157</v>
      </c>
      <c r="B1" s="79"/>
    </row>
    <row r="2" spans="1:13" x14ac:dyDescent="0.2">
      <c r="B2" s="72" t="s">
        <v>12</v>
      </c>
      <c r="C2" s="72" t="s">
        <v>149</v>
      </c>
      <c r="D2" s="72" t="s">
        <v>14</v>
      </c>
      <c r="E2" s="72" t="s">
        <v>15</v>
      </c>
      <c r="F2" s="72" t="s">
        <v>16</v>
      </c>
      <c r="G2" s="72" t="s">
        <v>17</v>
      </c>
      <c r="H2" s="72" t="s">
        <v>18</v>
      </c>
      <c r="I2" s="72" t="s">
        <v>19</v>
      </c>
      <c r="J2" s="72" t="s">
        <v>20</v>
      </c>
    </row>
    <row r="3" spans="1:13" x14ac:dyDescent="0.2">
      <c r="B3" s="70" t="s">
        <v>60</v>
      </c>
      <c r="C3" s="70">
        <f>VLOOKUP($B$3,$C$7:$K$56,2,FALSE)</f>
        <v>3</v>
      </c>
      <c r="D3" s="70">
        <f>VLOOKUP($B$3,$C$7:$K$56,3,FALSE)</f>
        <v>69</v>
      </c>
      <c r="E3" s="70">
        <f>VLOOKUP($B$3,$C$7:$K$56,4,FALSE)</f>
        <v>70</v>
      </c>
      <c r="F3" s="70">
        <f>VLOOKUP($B$3,$C$7:$K$56,5,FALSE)</f>
        <v>85</v>
      </c>
      <c r="G3" s="70">
        <f>VLOOKUP($B$3,$C$7:$K$56,6,FALSE)</f>
        <v>74</v>
      </c>
      <c r="H3" s="70">
        <f>VLOOKUP($B$3,$C$7:$K$56,7,FALSE)</f>
        <v>74.5</v>
      </c>
      <c r="I3" s="70">
        <f>VLOOKUP($B$3,$C$7:$K$56,8,FALSE)</f>
        <v>74.849999999999994</v>
      </c>
      <c r="J3" s="70" t="str">
        <f>VLOOKUP($B$3,$C$7:$K$56,9,FALSE)</f>
        <v>C</v>
      </c>
    </row>
    <row r="6" spans="1:13" x14ac:dyDescent="0.2">
      <c r="A6" s="73" t="s">
        <v>25</v>
      </c>
      <c r="B6" s="72" t="s">
        <v>13</v>
      </c>
      <c r="C6" s="72" t="s">
        <v>12</v>
      </c>
      <c r="D6" s="72" t="s">
        <v>149</v>
      </c>
      <c r="E6" s="72" t="s">
        <v>14</v>
      </c>
      <c r="F6" s="72" t="s">
        <v>15</v>
      </c>
      <c r="G6" s="72" t="s">
        <v>16</v>
      </c>
      <c r="H6" s="72" t="s">
        <v>17</v>
      </c>
      <c r="I6" s="72" t="s">
        <v>18</v>
      </c>
      <c r="J6" s="72" t="s">
        <v>19</v>
      </c>
      <c r="K6" s="72" t="s">
        <v>20</v>
      </c>
      <c r="L6" s="72" t="s">
        <v>158</v>
      </c>
      <c r="M6" s="68">
        <f>AVERAGE(Final_Grade)</f>
        <v>63.141750000000009</v>
      </c>
    </row>
    <row r="7" spans="1:13" x14ac:dyDescent="0.2">
      <c r="A7" s="71">
        <v>23536981</v>
      </c>
      <c r="B7" s="70" t="s">
        <v>45</v>
      </c>
      <c r="C7" s="70" t="s">
        <v>46</v>
      </c>
      <c r="D7" s="70">
        <v>2</v>
      </c>
      <c r="E7" s="70">
        <v>57</v>
      </c>
      <c r="F7" s="70">
        <v>49</v>
      </c>
      <c r="G7" s="70">
        <v>37</v>
      </c>
      <c r="H7" s="70">
        <v>47</v>
      </c>
      <c r="I7" s="70">
        <v>47.5</v>
      </c>
      <c r="J7" s="10">
        <f t="shared" ref="J7:J56" si="0">(22.5%*E7)+(22.5%*F7)+(25%*G7)+(5%*H7)+(25%*I7)</f>
        <v>47.325000000000003</v>
      </c>
      <c r="K7" s="3" t="str">
        <f t="shared" ref="K7:K56" si="1">IF(J7&gt;=93,"A",IF(J7&gt;=90,"A-",IF(J7&gt;=87,"B+",IF(J7&gt;=83,"B",IF(J7&gt;=80,"B-",IF(J7&gt;=77,"C+",IF(J7&gt;=73,"C",IF(J7&gt;=70,"C-",IF(J7&gt;=60,"D",IF(J7&lt;60,"F"))))))))))</f>
        <v>F</v>
      </c>
    </row>
    <row r="8" spans="1:13" x14ac:dyDescent="0.2">
      <c r="A8" s="71">
        <v>23681588</v>
      </c>
      <c r="B8" s="70" t="s">
        <v>57</v>
      </c>
      <c r="C8" s="70" t="s">
        <v>58</v>
      </c>
      <c r="D8" s="70">
        <v>4</v>
      </c>
      <c r="E8" s="70">
        <v>88</v>
      </c>
      <c r="F8" s="70">
        <v>86</v>
      </c>
      <c r="G8" s="70">
        <v>94</v>
      </c>
      <c r="H8" s="70">
        <v>89</v>
      </c>
      <c r="I8" s="70">
        <v>89.25</v>
      </c>
      <c r="J8" s="10">
        <f t="shared" si="0"/>
        <v>89.412500000000009</v>
      </c>
      <c r="K8" s="3" t="str">
        <f t="shared" si="1"/>
        <v>B+</v>
      </c>
    </row>
    <row r="9" spans="1:13" x14ac:dyDescent="0.2">
      <c r="A9" s="71">
        <v>23655570</v>
      </c>
      <c r="B9" s="70" t="s">
        <v>118</v>
      </c>
      <c r="C9" s="70" t="s">
        <v>119</v>
      </c>
      <c r="D9" s="70">
        <v>2</v>
      </c>
      <c r="E9" s="70">
        <v>76</v>
      </c>
      <c r="F9" s="70">
        <v>75</v>
      </c>
      <c r="G9" s="70">
        <v>79</v>
      </c>
      <c r="H9" s="70">
        <v>76</v>
      </c>
      <c r="I9" s="70">
        <v>76.5</v>
      </c>
      <c r="J9" s="10">
        <f t="shared" si="0"/>
        <v>76.650000000000006</v>
      </c>
      <c r="K9" s="3" t="str">
        <f t="shared" si="1"/>
        <v>C</v>
      </c>
    </row>
    <row r="10" spans="1:13" x14ac:dyDescent="0.2">
      <c r="A10" s="71">
        <v>23538914</v>
      </c>
      <c r="B10" s="70" t="s">
        <v>43</v>
      </c>
      <c r="C10" s="70" t="s">
        <v>44</v>
      </c>
      <c r="D10" s="70">
        <v>2</v>
      </c>
      <c r="E10" s="70">
        <v>70</v>
      </c>
      <c r="F10" s="70">
        <v>78</v>
      </c>
      <c r="G10" s="70">
        <v>82</v>
      </c>
      <c r="H10" s="70">
        <v>76</v>
      </c>
      <c r="I10" s="70">
        <v>76.5</v>
      </c>
      <c r="J10" s="10">
        <f t="shared" si="0"/>
        <v>76.724999999999994</v>
      </c>
      <c r="K10" s="3" t="str">
        <f t="shared" si="1"/>
        <v>C</v>
      </c>
    </row>
    <row r="11" spans="1:13" x14ac:dyDescent="0.2">
      <c r="A11" s="71">
        <v>23501390</v>
      </c>
      <c r="B11" s="70" t="s">
        <v>71</v>
      </c>
      <c r="C11" s="70" t="s">
        <v>72</v>
      </c>
      <c r="D11" s="70">
        <v>1</v>
      </c>
      <c r="E11" s="70">
        <v>77</v>
      </c>
      <c r="F11" s="70">
        <v>79</v>
      </c>
      <c r="G11" s="70">
        <v>81</v>
      </c>
      <c r="H11" s="70">
        <v>79</v>
      </c>
      <c r="I11" s="70">
        <v>79</v>
      </c>
      <c r="J11" s="10">
        <f t="shared" si="0"/>
        <v>79.050000000000011</v>
      </c>
      <c r="K11" s="3" t="str">
        <f t="shared" si="1"/>
        <v>C+</v>
      </c>
    </row>
    <row r="12" spans="1:13" x14ac:dyDescent="0.2">
      <c r="A12" s="71">
        <v>23648989</v>
      </c>
      <c r="B12" s="70" t="s">
        <v>101</v>
      </c>
      <c r="C12" s="70" t="s">
        <v>102</v>
      </c>
      <c r="D12" s="70">
        <v>4</v>
      </c>
      <c r="E12" s="70">
        <v>65</v>
      </c>
      <c r="F12" s="70">
        <v>66</v>
      </c>
      <c r="G12" s="70">
        <v>72</v>
      </c>
      <c r="H12" s="70">
        <v>67</v>
      </c>
      <c r="I12" s="70">
        <v>67.5</v>
      </c>
      <c r="J12" s="10">
        <f t="shared" si="0"/>
        <v>67.7</v>
      </c>
      <c r="K12" s="3" t="str">
        <f t="shared" si="1"/>
        <v>D</v>
      </c>
    </row>
    <row r="13" spans="1:13" x14ac:dyDescent="0.2">
      <c r="A13" s="71">
        <v>23569340</v>
      </c>
      <c r="B13" s="70" t="s">
        <v>31</v>
      </c>
      <c r="C13" s="70" t="s">
        <v>32</v>
      </c>
      <c r="D13" s="70">
        <v>2</v>
      </c>
      <c r="E13" s="70">
        <v>53</v>
      </c>
      <c r="F13" s="70">
        <v>42</v>
      </c>
      <c r="G13" s="70">
        <v>40</v>
      </c>
      <c r="H13" s="70">
        <v>45</v>
      </c>
      <c r="I13" s="70">
        <v>45</v>
      </c>
      <c r="J13" s="10">
        <f t="shared" si="0"/>
        <v>44.875</v>
      </c>
      <c r="K13" s="3" t="str">
        <f t="shared" si="1"/>
        <v>F</v>
      </c>
    </row>
    <row r="14" spans="1:13" x14ac:dyDescent="0.2">
      <c r="A14" s="71">
        <v>23614522</v>
      </c>
      <c r="B14" s="70" t="s">
        <v>111</v>
      </c>
      <c r="C14" s="70" t="s">
        <v>35</v>
      </c>
      <c r="D14" s="70">
        <v>1</v>
      </c>
      <c r="E14" s="70">
        <v>64</v>
      </c>
      <c r="F14" s="70">
        <v>65</v>
      </c>
      <c r="G14" s="70">
        <v>70</v>
      </c>
      <c r="H14" s="70">
        <v>66</v>
      </c>
      <c r="I14" s="70">
        <v>66.25</v>
      </c>
      <c r="J14" s="10">
        <f t="shared" si="0"/>
        <v>66.387499999999989</v>
      </c>
      <c r="K14" s="3" t="str">
        <f t="shared" si="1"/>
        <v>D</v>
      </c>
    </row>
    <row r="15" spans="1:13" x14ac:dyDescent="0.2">
      <c r="A15" s="71">
        <v>23552203</v>
      </c>
      <c r="B15" s="70" t="s">
        <v>120</v>
      </c>
      <c r="C15" s="70" t="s">
        <v>121</v>
      </c>
      <c r="D15" s="70">
        <v>2</v>
      </c>
      <c r="E15" s="70">
        <v>48</v>
      </c>
      <c r="F15" s="70">
        <v>32</v>
      </c>
      <c r="G15" s="70">
        <v>39</v>
      </c>
      <c r="H15" s="70">
        <v>39</v>
      </c>
      <c r="I15" s="70">
        <v>39.5</v>
      </c>
      <c r="J15" s="10">
        <f t="shared" si="0"/>
        <v>39.575000000000003</v>
      </c>
      <c r="K15" s="3" t="str">
        <f t="shared" si="1"/>
        <v>F</v>
      </c>
    </row>
    <row r="16" spans="1:13" x14ac:dyDescent="0.2">
      <c r="A16" s="71">
        <v>23513165</v>
      </c>
      <c r="B16" s="70" t="s">
        <v>105</v>
      </c>
      <c r="C16" s="70" t="s">
        <v>106</v>
      </c>
      <c r="D16" s="70">
        <v>2</v>
      </c>
      <c r="E16" s="70">
        <v>45</v>
      </c>
      <c r="F16" s="70">
        <v>30</v>
      </c>
      <c r="G16" s="70">
        <v>49</v>
      </c>
      <c r="H16" s="70">
        <v>41</v>
      </c>
      <c r="I16" s="70">
        <v>41.25</v>
      </c>
      <c r="J16" s="10">
        <f t="shared" si="0"/>
        <v>41.487499999999997</v>
      </c>
      <c r="K16" s="3" t="str">
        <f t="shared" si="1"/>
        <v>F</v>
      </c>
    </row>
    <row r="17" spans="1:11" x14ac:dyDescent="0.2">
      <c r="A17" s="71">
        <v>23518502</v>
      </c>
      <c r="B17" s="70" t="s">
        <v>53</v>
      </c>
      <c r="C17" s="70" t="s">
        <v>54</v>
      </c>
      <c r="D17" s="70">
        <v>1</v>
      </c>
      <c r="E17" s="70">
        <v>55</v>
      </c>
      <c r="F17" s="70">
        <v>55</v>
      </c>
      <c r="G17" s="70">
        <v>41</v>
      </c>
      <c r="H17" s="70">
        <v>50</v>
      </c>
      <c r="I17" s="70">
        <v>50.25</v>
      </c>
      <c r="J17" s="10">
        <f t="shared" si="0"/>
        <v>50.0625</v>
      </c>
      <c r="K17" s="3" t="str">
        <f t="shared" si="1"/>
        <v>F</v>
      </c>
    </row>
    <row r="18" spans="1:11" x14ac:dyDescent="0.2">
      <c r="A18" s="71">
        <v>23512829</v>
      </c>
      <c r="B18" s="70" t="s">
        <v>95</v>
      </c>
      <c r="C18" s="70" t="s">
        <v>96</v>
      </c>
      <c r="D18" s="70">
        <v>2</v>
      </c>
      <c r="E18" s="70">
        <v>77</v>
      </c>
      <c r="F18" s="70">
        <v>80</v>
      </c>
      <c r="G18" s="70">
        <v>93</v>
      </c>
      <c r="H18" s="70">
        <v>83</v>
      </c>
      <c r="I18" s="70">
        <v>83.25</v>
      </c>
      <c r="J18" s="10">
        <f t="shared" si="0"/>
        <v>83.537499999999994</v>
      </c>
      <c r="K18" s="3" t="str">
        <f t="shared" si="1"/>
        <v>B</v>
      </c>
    </row>
    <row r="19" spans="1:11" x14ac:dyDescent="0.2">
      <c r="A19" s="71">
        <v>23589906</v>
      </c>
      <c r="B19" s="70" t="s">
        <v>112</v>
      </c>
      <c r="C19" s="70" t="s">
        <v>113</v>
      </c>
      <c r="D19" s="70">
        <v>4</v>
      </c>
      <c r="E19" s="70">
        <v>60</v>
      </c>
      <c r="F19" s="70">
        <v>69</v>
      </c>
      <c r="G19" s="70">
        <v>71</v>
      </c>
      <c r="H19" s="70">
        <v>66</v>
      </c>
      <c r="I19" s="70">
        <v>66.5</v>
      </c>
      <c r="J19" s="10">
        <f t="shared" si="0"/>
        <v>66.699999999999989</v>
      </c>
      <c r="K19" s="3" t="str">
        <f t="shared" si="1"/>
        <v>D</v>
      </c>
    </row>
    <row r="20" spans="1:11" x14ac:dyDescent="0.2">
      <c r="A20" s="71">
        <v>23545029</v>
      </c>
      <c r="B20" s="70" t="s">
        <v>35</v>
      </c>
      <c r="C20" s="70" t="s">
        <v>36</v>
      </c>
      <c r="D20" s="70">
        <v>2</v>
      </c>
      <c r="E20" s="70">
        <v>50</v>
      </c>
      <c r="F20" s="70">
        <v>33</v>
      </c>
      <c r="G20" s="70">
        <v>38</v>
      </c>
      <c r="H20" s="70">
        <v>40</v>
      </c>
      <c r="I20" s="70">
        <v>40.25</v>
      </c>
      <c r="J20" s="10">
        <f t="shared" si="0"/>
        <v>40.237499999999997</v>
      </c>
      <c r="K20" s="3" t="str">
        <f t="shared" si="1"/>
        <v>F</v>
      </c>
    </row>
    <row r="21" spans="1:11" x14ac:dyDescent="0.2">
      <c r="A21" s="71">
        <v>23511179</v>
      </c>
      <c r="B21" s="70" t="s">
        <v>109</v>
      </c>
      <c r="C21" s="70" t="s">
        <v>110</v>
      </c>
      <c r="D21" s="70">
        <v>3</v>
      </c>
      <c r="E21" s="70">
        <v>47</v>
      </c>
      <c r="F21" s="70">
        <v>44</v>
      </c>
      <c r="G21" s="70">
        <v>43</v>
      </c>
      <c r="H21" s="70">
        <v>44</v>
      </c>
      <c r="I21" s="70">
        <v>44.5</v>
      </c>
      <c r="J21" s="10">
        <f t="shared" si="0"/>
        <v>44.550000000000004</v>
      </c>
      <c r="K21" s="3" t="str">
        <f t="shared" si="1"/>
        <v>F</v>
      </c>
    </row>
    <row r="22" spans="1:11" x14ac:dyDescent="0.2">
      <c r="A22" s="71">
        <v>23552303</v>
      </c>
      <c r="B22" s="70" t="s">
        <v>85</v>
      </c>
      <c r="C22" s="70" t="s">
        <v>86</v>
      </c>
      <c r="D22" s="70">
        <v>4</v>
      </c>
      <c r="E22" s="70">
        <v>71</v>
      </c>
      <c r="F22" s="70">
        <v>78</v>
      </c>
      <c r="G22" s="70">
        <v>82</v>
      </c>
      <c r="H22" s="70">
        <v>77</v>
      </c>
      <c r="I22" s="70">
        <v>77</v>
      </c>
      <c r="J22" s="10">
        <f t="shared" si="0"/>
        <v>77.125</v>
      </c>
      <c r="K22" s="3" t="str">
        <f t="shared" si="1"/>
        <v>C+</v>
      </c>
    </row>
    <row r="23" spans="1:11" x14ac:dyDescent="0.2">
      <c r="A23" s="71">
        <v>23512527</v>
      </c>
      <c r="B23" s="70" t="s">
        <v>116</v>
      </c>
      <c r="C23" s="70" t="s">
        <v>117</v>
      </c>
      <c r="D23" s="70">
        <v>3</v>
      </c>
      <c r="E23" s="70">
        <v>71</v>
      </c>
      <c r="F23" s="70">
        <v>78</v>
      </c>
      <c r="G23" s="70">
        <v>77</v>
      </c>
      <c r="H23" s="70">
        <v>75</v>
      </c>
      <c r="I23" s="70">
        <v>75.25</v>
      </c>
      <c r="J23" s="10">
        <f t="shared" si="0"/>
        <v>75.337500000000006</v>
      </c>
      <c r="K23" s="3" t="str">
        <f t="shared" si="1"/>
        <v>C</v>
      </c>
    </row>
    <row r="24" spans="1:11" x14ac:dyDescent="0.2">
      <c r="A24" s="71">
        <v>23686037</v>
      </c>
      <c r="B24" s="70" t="s">
        <v>75</v>
      </c>
      <c r="C24" s="70" t="s">
        <v>76</v>
      </c>
      <c r="D24" s="70">
        <v>3</v>
      </c>
      <c r="E24" s="70">
        <v>30</v>
      </c>
      <c r="F24" s="70">
        <v>32</v>
      </c>
      <c r="G24" s="70">
        <v>46</v>
      </c>
      <c r="H24" s="70">
        <v>36</v>
      </c>
      <c r="I24" s="70">
        <v>36</v>
      </c>
      <c r="J24" s="10">
        <f t="shared" si="0"/>
        <v>36.25</v>
      </c>
      <c r="K24" s="3" t="str">
        <f t="shared" si="1"/>
        <v>F</v>
      </c>
    </row>
    <row r="25" spans="1:11" x14ac:dyDescent="0.2">
      <c r="A25" s="71">
        <v>23643612</v>
      </c>
      <c r="B25" s="70" t="s">
        <v>47</v>
      </c>
      <c r="C25" s="70" t="s">
        <v>48</v>
      </c>
      <c r="D25" s="70">
        <v>4</v>
      </c>
      <c r="E25" s="70">
        <v>73</v>
      </c>
      <c r="F25" s="70">
        <v>78</v>
      </c>
      <c r="G25" s="70">
        <v>77</v>
      </c>
      <c r="H25" s="70">
        <v>76</v>
      </c>
      <c r="I25" s="70">
        <v>76</v>
      </c>
      <c r="J25" s="10">
        <f t="shared" si="0"/>
        <v>76.025000000000006</v>
      </c>
      <c r="K25" s="3" t="str">
        <f t="shared" si="1"/>
        <v>C</v>
      </c>
    </row>
    <row r="26" spans="1:11" x14ac:dyDescent="0.2">
      <c r="A26" s="71">
        <v>23563708</v>
      </c>
      <c r="B26" s="70" t="s">
        <v>77</v>
      </c>
      <c r="C26" s="70" t="s">
        <v>78</v>
      </c>
      <c r="D26" s="70">
        <v>1</v>
      </c>
      <c r="E26" s="70">
        <v>32</v>
      </c>
      <c r="F26" s="70">
        <v>44</v>
      </c>
      <c r="G26" s="70">
        <v>38</v>
      </c>
      <c r="H26" s="70">
        <v>38</v>
      </c>
      <c r="I26" s="70">
        <v>38</v>
      </c>
      <c r="J26" s="10">
        <f t="shared" si="0"/>
        <v>38</v>
      </c>
      <c r="K26" s="3" t="str">
        <f t="shared" si="1"/>
        <v>F</v>
      </c>
    </row>
    <row r="27" spans="1:11" x14ac:dyDescent="0.2">
      <c r="A27" s="71">
        <v>23554960</v>
      </c>
      <c r="B27" s="70" t="s">
        <v>87</v>
      </c>
      <c r="C27" s="70" t="s">
        <v>88</v>
      </c>
      <c r="D27" s="70">
        <v>3</v>
      </c>
      <c r="E27" s="70">
        <v>55</v>
      </c>
      <c r="F27" s="70">
        <v>36</v>
      </c>
      <c r="G27" s="70">
        <v>46</v>
      </c>
      <c r="H27" s="70">
        <v>45</v>
      </c>
      <c r="I27" s="70">
        <v>45.5</v>
      </c>
      <c r="J27" s="10">
        <f t="shared" si="0"/>
        <v>45.6</v>
      </c>
      <c r="K27" s="3" t="str">
        <f t="shared" si="1"/>
        <v>F</v>
      </c>
    </row>
    <row r="28" spans="1:11" x14ac:dyDescent="0.2">
      <c r="A28" s="71">
        <v>23521122</v>
      </c>
      <c r="B28" s="70" t="s">
        <v>65</v>
      </c>
      <c r="C28" s="70" t="s">
        <v>66</v>
      </c>
      <c r="D28" s="70">
        <v>2</v>
      </c>
      <c r="E28" s="70">
        <v>36</v>
      </c>
      <c r="F28" s="70">
        <v>53</v>
      </c>
      <c r="G28" s="70">
        <v>65</v>
      </c>
      <c r="H28" s="70">
        <v>51</v>
      </c>
      <c r="I28" s="70">
        <v>51.25</v>
      </c>
      <c r="J28" s="10">
        <f t="shared" si="0"/>
        <v>51.637499999999996</v>
      </c>
      <c r="K28" s="3" t="str">
        <f t="shared" si="1"/>
        <v>F</v>
      </c>
    </row>
    <row r="29" spans="1:11" x14ac:dyDescent="0.2">
      <c r="A29" s="71">
        <v>23698874</v>
      </c>
      <c r="B29" s="70" t="s">
        <v>93</v>
      </c>
      <c r="C29" s="70" t="s">
        <v>94</v>
      </c>
      <c r="D29" s="70">
        <v>2</v>
      </c>
      <c r="E29" s="70">
        <v>94</v>
      </c>
      <c r="F29" s="70">
        <v>99</v>
      </c>
      <c r="G29" s="70">
        <v>93</v>
      </c>
      <c r="H29" s="70">
        <v>95</v>
      </c>
      <c r="I29" s="70">
        <v>95.25</v>
      </c>
      <c r="J29" s="10">
        <f t="shared" si="0"/>
        <v>95.237500000000011</v>
      </c>
      <c r="K29" s="3" t="str">
        <f t="shared" si="1"/>
        <v>A</v>
      </c>
    </row>
    <row r="30" spans="1:11" x14ac:dyDescent="0.2">
      <c r="A30" s="71">
        <v>23558031</v>
      </c>
      <c r="B30" s="70" t="s">
        <v>59</v>
      </c>
      <c r="C30" s="70" t="s">
        <v>60</v>
      </c>
      <c r="D30" s="70">
        <v>3</v>
      </c>
      <c r="E30" s="70">
        <v>69</v>
      </c>
      <c r="F30" s="70">
        <v>70</v>
      </c>
      <c r="G30" s="70">
        <v>85</v>
      </c>
      <c r="H30" s="70">
        <v>74</v>
      </c>
      <c r="I30" s="70">
        <v>74.5</v>
      </c>
      <c r="J30" s="10">
        <f t="shared" si="0"/>
        <v>74.849999999999994</v>
      </c>
      <c r="K30" s="3" t="str">
        <f t="shared" si="1"/>
        <v>C</v>
      </c>
    </row>
    <row r="31" spans="1:11" x14ac:dyDescent="0.2">
      <c r="A31" s="71">
        <v>23665210</v>
      </c>
      <c r="B31" s="70" t="s">
        <v>97</v>
      </c>
      <c r="C31" s="70" t="s">
        <v>98</v>
      </c>
      <c r="D31" s="70">
        <v>2</v>
      </c>
      <c r="E31" s="70">
        <v>93</v>
      </c>
      <c r="F31" s="70">
        <v>94</v>
      </c>
      <c r="G31" s="70">
        <v>99</v>
      </c>
      <c r="H31" s="70">
        <v>95</v>
      </c>
      <c r="I31" s="70">
        <v>95.25</v>
      </c>
      <c r="J31" s="10">
        <f t="shared" si="0"/>
        <v>95.387500000000003</v>
      </c>
      <c r="K31" s="3" t="str">
        <f t="shared" si="1"/>
        <v>A</v>
      </c>
    </row>
    <row r="32" spans="1:11" x14ac:dyDescent="0.2">
      <c r="A32" s="71">
        <v>23602899</v>
      </c>
      <c r="B32" s="70" t="s">
        <v>51</v>
      </c>
      <c r="C32" s="70" t="s">
        <v>52</v>
      </c>
      <c r="D32" s="70">
        <v>4</v>
      </c>
      <c r="E32" s="70">
        <v>31</v>
      </c>
      <c r="F32" s="70">
        <v>37</v>
      </c>
      <c r="G32" s="70">
        <v>52</v>
      </c>
      <c r="H32" s="70">
        <v>40</v>
      </c>
      <c r="I32" s="70">
        <v>40</v>
      </c>
      <c r="J32" s="10">
        <f t="shared" si="0"/>
        <v>40.299999999999997</v>
      </c>
      <c r="K32" s="3" t="str">
        <f t="shared" si="1"/>
        <v>F</v>
      </c>
    </row>
    <row r="33" spans="1:11" x14ac:dyDescent="0.2">
      <c r="A33" s="71">
        <v>23599332</v>
      </c>
      <c r="B33" s="70" t="s">
        <v>103</v>
      </c>
      <c r="C33" s="70" t="s">
        <v>104</v>
      </c>
      <c r="D33" s="70">
        <v>1</v>
      </c>
      <c r="E33" s="70">
        <v>85</v>
      </c>
      <c r="F33" s="70">
        <v>86</v>
      </c>
      <c r="G33" s="70">
        <v>90</v>
      </c>
      <c r="H33" s="70">
        <v>87</v>
      </c>
      <c r="I33" s="70">
        <v>87</v>
      </c>
      <c r="J33" s="10">
        <f t="shared" si="0"/>
        <v>87.075000000000003</v>
      </c>
      <c r="K33" s="3" t="str">
        <f t="shared" si="1"/>
        <v>B+</v>
      </c>
    </row>
    <row r="34" spans="1:11" x14ac:dyDescent="0.2">
      <c r="A34" s="71">
        <v>23580679</v>
      </c>
      <c r="B34" s="70" t="s">
        <v>63</v>
      </c>
      <c r="C34" s="70" t="s">
        <v>64</v>
      </c>
      <c r="D34" s="70">
        <v>1</v>
      </c>
      <c r="E34" s="70">
        <v>67</v>
      </c>
      <c r="F34" s="70">
        <v>69</v>
      </c>
      <c r="G34" s="70">
        <v>68</v>
      </c>
      <c r="H34" s="70">
        <v>68</v>
      </c>
      <c r="I34" s="70">
        <v>68</v>
      </c>
      <c r="J34" s="10">
        <f t="shared" si="0"/>
        <v>68</v>
      </c>
      <c r="K34" s="3" t="str">
        <f t="shared" si="1"/>
        <v>D</v>
      </c>
    </row>
    <row r="35" spans="1:11" x14ac:dyDescent="0.2">
      <c r="A35" s="71">
        <v>23578756</v>
      </c>
      <c r="B35" s="70" t="s">
        <v>41</v>
      </c>
      <c r="C35" s="70" t="s">
        <v>42</v>
      </c>
      <c r="D35" s="70">
        <v>1</v>
      </c>
      <c r="E35" s="70">
        <v>70</v>
      </c>
      <c r="F35" s="70">
        <v>75</v>
      </c>
      <c r="G35" s="70">
        <v>76</v>
      </c>
      <c r="H35" s="70">
        <v>73</v>
      </c>
      <c r="I35" s="70">
        <v>73.5</v>
      </c>
      <c r="J35" s="10">
        <f t="shared" si="0"/>
        <v>73.650000000000006</v>
      </c>
      <c r="K35" s="3" t="str">
        <f t="shared" si="1"/>
        <v>C</v>
      </c>
    </row>
    <row r="36" spans="1:11" x14ac:dyDescent="0.2">
      <c r="A36" s="71">
        <v>23625004</v>
      </c>
      <c r="B36" s="70" t="s">
        <v>69</v>
      </c>
      <c r="C36" s="70" t="s">
        <v>70</v>
      </c>
      <c r="D36" s="70">
        <v>2</v>
      </c>
      <c r="E36" s="70">
        <v>86</v>
      </c>
      <c r="F36" s="70">
        <v>87</v>
      </c>
      <c r="G36" s="70">
        <v>90</v>
      </c>
      <c r="H36" s="70">
        <v>87</v>
      </c>
      <c r="I36" s="70">
        <v>87.5</v>
      </c>
      <c r="J36" s="10">
        <f t="shared" si="0"/>
        <v>87.649999999999991</v>
      </c>
      <c r="K36" s="3" t="str">
        <f t="shared" si="1"/>
        <v>B+</v>
      </c>
    </row>
    <row r="37" spans="1:11" x14ac:dyDescent="0.2">
      <c r="A37" s="71">
        <v>23544190</v>
      </c>
      <c r="B37" s="70" t="s">
        <v>39</v>
      </c>
      <c r="C37" s="70" t="s">
        <v>40</v>
      </c>
      <c r="D37" s="70">
        <v>1</v>
      </c>
      <c r="E37" s="70">
        <v>50</v>
      </c>
      <c r="F37" s="70">
        <v>49</v>
      </c>
      <c r="G37" s="70">
        <v>50</v>
      </c>
      <c r="H37" s="70">
        <v>49</v>
      </c>
      <c r="I37" s="70">
        <v>49.5</v>
      </c>
      <c r="J37" s="10">
        <f t="shared" si="0"/>
        <v>49.6</v>
      </c>
      <c r="K37" s="3" t="str">
        <f t="shared" si="1"/>
        <v>F</v>
      </c>
    </row>
    <row r="38" spans="1:11" x14ac:dyDescent="0.2">
      <c r="A38" s="71">
        <v>23503674</v>
      </c>
      <c r="B38" s="70" t="s">
        <v>33</v>
      </c>
      <c r="C38" s="70" t="s">
        <v>34</v>
      </c>
      <c r="D38" s="70">
        <v>1</v>
      </c>
      <c r="E38" s="70">
        <v>81</v>
      </c>
      <c r="F38" s="70">
        <v>85</v>
      </c>
      <c r="G38" s="70">
        <v>91</v>
      </c>
      <c r="H38" s="70">
        <v>85</v>
      </c>
      <c r="I38" s="70">
        <v>85.5</v>
      </c>
      <c r="J38" s="10">
        <f t="shared" si="0"/>
        <v>85.724999999999994</v>
      </c>
      <c r="K38" s="3" t="str">
        <f t="shared" si="1"/>
        <v>B</v>
      </c>
    </row>
    <row r="39" spans="1:11" x14ac:dyDescent="0.2">
      <c r="A39" s="71">
        <v>23630771</v>
      </c>
      <c r="B39" s="70" t="s">
        <v>61</v>
      </c>
      <c r="C39" s="70" t="s">
        <v>62</v>
      </c>
      <c r="D39" s="70">
        <v>1</v>
      </c>
      <c r="E39" s="70">
        <v>35</v>
      </c>
      <c r="F39" s="70">
        <v>55</v>
      </c>
      <c r="G39" s="70">
        <v>49</v>
      </c>
      <c r="H39" s="70">
        <v>46</v>
      </c>
      <c r="I39" s="70">
        <v>46.25</v>
      </c>
      <c r="J39" s="10">
        <f t="shared" si="0"/>
        <v>46.362499999999997</v>
      </c>
      <c r="K39" s="3" t="str">
        <f t="shared" si="1"/>
        <v>F</v>
      </c>
    </row>
    <row r="40" spans="1:11" x14ac:dyDescent="0.2">
      <c r="A40" s="71">
        <v>23579559</v>
      </c>
      <c r="B40" s="70" t="s">
        <v>114</v>
      </c>
      <c r="C40" s="70" t="s">
        <v>115</v>
      </c>
      <c r="D40" s="70">
        <v>3</v>
      </c>
      <c r="E40" s="70">
        <v>56</v>
      </c>
      <c r="F40" s="70">
        <v>35</v>
      </c>
      <c r="G40" s="70">
        <v>33</v>
      </c>
      <c r="H40" s="70">
        <v>41</v>
      </c>
      <c r="I40" s="70">
        <v>41.25</v>
      </c>
      <c r="J40" s="10">
        <f t="shared" si="0"/>
        <v>41.087500000000006</v>
      </c>
      <c r="K40" s="3" t="str">
        <f t="shared" si="1"/>
        <v>F</v>
      </c>
    </row>
    <row r="41" spans="1:11" x14ac:dyDescent="0.2">
      <c r="A41" s="71">
        <v>23635346</v>
      </c>
      <c r="B41" s="70" t="s">
        <v>49</v>
      </c>
      <c r="C41" s="70" t="s">
        <v>50</v>
      </c>
      <c r="D41" s="70">
        <v>2</v>
      </c>
      <c r="E41" s="70">
        <v>85</v>
      </c>
      <c r="F41" s="70">
        <v>89</v>
      </c>
      <c r="G41" s="70">
        <v>91</v>
      </c>
      <c r="H41" s="70">
        <v>88</v>
      </c>
      <c r="I41" s="70">
        <v>88.25</v>
      </c>
      <c r="J41" s="10">
        <f t="shared" si="0"/>
        <v>88.362500000000011</v>
      </c>
      <c r="K41" s="3" t="str">
        <f t="shared" si="1"/>
        <v>B+</v>
      </c>
    </row>
    <row r="42" spans="1:11" x14ac:dyDescent="0.2">
      <c r="A42" s="71">
        <v>23698407</v>
      </c>
      <c r="B42" s="70" t="s">
        <v>83</v>
      </c>
      <c r="C42" s="70" t="s">
        <v>84</v>
      </c>
      <c r="D42" s="70">
        <v>1</v>
      </c>
      <c r="E42" s="70">
        <v>30</v>
      </c>
      <c r="F42" s="70">
        <v>56</v>
      </c>
      <c r="G42" s="70">
        <v>40</v>
      </c>
      <c r="H42" s="70">
        <v>42</v>
      </c>
      <c r="I42" s="70">
        <v>42</v>
      </c>
      <c r="J42" s="10">
        <f t="shared" si="0"/>
        <v>41.95</v>
      </c>
      <c r="K42" s="3" t="str">
        <f t="shared" si="1"/>
        <v>F</v>
      </c>
    </row>
    <row r="43" spans="1:11" x14ac:dyDescent="0.2">
      <c r="A43" s="71">
        <v>23607530</v>
      </c>
      <c r="B43" s="70" t="s">
        <v>67</v>
      </c>
      <c r="C43" s="70" t="s">
        <v>68</v>
      </c>
      <c r="D43" s="70">
        <v>1</v>
      </c>
      <c r="E43" s="70">
        <v>33</v>
      </c>
      <c r="F43" s="70">
        <v>49</v>
      </c>
      <c r="G43" s="70">
        <v>31</v>
      </c>
      <c r="H43" s="70">
        <v>37</v>
      </c>
      <c r="I43" s="70">
        <v>37.5</v>
      </c>
      <c r="J43" s="10">
        <f t="shared" si="0"/>
        <v>37.424999999999997</v>
      </c>
      <c r="K43" s="3" t="str">
        <f t="shared" si="1"/>
        <v>F</v>
      </c>
    </row>
    <row r="44" spans="1:11" x14ac:dyDescent="0.2">
      <c r="A44" s="71">
        <v>23672743</v>
      </c>
      <c r="B44" s="70" t="s">
        <v>27</v>
      </c>
      <c r="C44" s="70" t="s">
        <v>28</v>
      </c>
      <c r="D44" s="70">
        <v>3</v>
      </c>
      <c r="E44" s="70">
        <v>100</v>
      </c>
      <c r="F44" s="70">
        <v>91</v>
      </c>
      <c r="G44" s="70">
        <v>99</v>
      </c>
      <c r="H44" s="70">
        <v>96</v>
      </c>
      <c r="I44" s="70">
        <v>96.5</v>
      </c>
      <c r="J44" s="10">
        <f t="shared" si="0"/>
        <v>96.649999999999991</v>
      </c>
      <c r="K44" s="3" t="str">
        <f t="shared" si="1"/>
        <v>A</v>
      </c>
    </row>
    <row r="45" spans="1:11" x14ac:dyDescent="0.2">
      <c r="A45" s="71">
        <v>23574855</v>
      </c>
      <c r="B45" s="70" t="s">
        <v>124</v>
      </c>
      <c r="C45" s="70" t="s">
        <v>125</v>
      </c>
      <c r="D45" s="70">
        <v>4</v>
      </c>
      <c r="E45" s="70">
        <v>93</v>
      </c>
      <c r="F45" s="70">
        <v>93</v>
      </c>
      <c r="G45" s="70">
        <v>98</v>
      </c>
      <c r="H45" s="70">
        <v>94</v>
      </c>
      <c r="I45" s="70">
        <v>94.5</v>
      </c>
      <c r="J45" s="10">
        <f t="shared" si="0"/>
        <v>94.674999999999997</v>
      </c>
      <c r="K45" s="3" t="str">
        <f t="shared" si="1"/>
        <v>A</v>
      </c>
    </row>
    <row r="46" spans="1:11" x14ac:dyDescent="0.2">
      <c r="A46" s="71">
        <v>23688909</v>
      </c>
      <c r="B46" s="70" t="s">
        <v>79</v>
      </c>
      <c r="C46" s="70" t="s">
        <v>80</v>
      </c>
      <c r="D46" s="70">
        <v>3</v>
      </c>
      <c r="E46" s="70">
        <v>66</v>
      </c>
      <c r="F46" s="70">
        <v>67</v>
      </c>
      <c r="G46" s="70">
        <v>66</v>
      </c>
      <c r="H46" s="70">
        <v>66</v>
      </c>
      <c r="I46" s="70">
        <v>66.25</v>
      </c>
      <c r="J46" s="10">
        <f t="shared" si="0"/>
        <v>66.287499999999994</v>
      </c>
      <c r="K46" s="3" t="str">
        <f t="shared" si="1"/>
        <v>D</v>
      </c>
    </row>
    <row r="47" spans="1:11" x14ac:dyDescent="0.2">
      <c r="A47" s="71">
        <v>23545298</v>
      </c>
      <c r="B47" s="70" t="s">
        <v>55</v>
      </c>
      <c r="C47" s="70" t="s">
        <v>56</v>
      </c>
      <c r="D47" s="70">
        <v>2</v>
      </c>
      <c r="E47" s="70">
        <v>70</v>
      </c>
      <c r="F47" s="70">
        <v>77</v>
      </c>
      <c r="G47" s="70">
        <v>75</v>
      </c>
      <c r="H47" s="70">
        <v>74</v>
      </c>
      <c r="I47" s="70">
        <v>74</v>
      </c>
      <c r="J47" s="10">
        <f t="shared" si="0"/>
        <v>74.025000000000006</v>
      </c>
      <c r="K47" s="3" t="str">
        <f t="shared" si="1"/>
        <v>C</v>
      </c>
    </row>
    <row r="48" spans="1:11" x14ac:dyDescent="0.2">
      <c r="A48" s="71">
        <v>23591771</v>
      </c>
      <c r="B48" s="70" t="s">
        <v>73</v>
      </c>
      <c r="C48" s="70" t="s">
        <v>74</v>
      </c>
      <c r="D48" s="70">
        <v>2</v>
      </c>
      <c r="E48" s="70">
        <v>38</v>
      </c>
      <c r="F48" s="70">
        <v>35</v>
      </c>
      <c r="G48" s="70">
        <v>47</v>
      </c>
      <c r="H48" s="70">
        <v>40</v>
      </c>
      <c r="I48" s="70">
        <v>40</v>
      </c>
      <c r="J48" s="10">
        <f t="shared" si="0"/>
        <v>40.174999999999997</v>
      </c>
      <c r="K48" s="3" t="str">
        <f t="shared" si="1"/>
        <v>F</v>
      </c>
    </row>
    <row r="49" spans="1:11" x14ac:dyDescent="0.2">
      <c r="A49" s="71">
        <v>23590970</v>
      </c>
      <c r="B49" s="70" t="s">
        <v>122</v>
      </c>
      <c r="C49" s="70" t="s">
        <v>123</v>
      </c>
      <c r="D49" s="70">
        <v>4</v>
      </c>
      <c r="E49" s="70">
        <v>30</v>
      </c>
      <c r="F49" s="70">
        <v>39</v>
      </c>
      <c r="G49" s="70">
        <v>64</v>
      </c>
      <c r="H49" s="70">
        <v>44</v>
      </c>
      <c r="I49" s="70">
        <v>44.25</v>
      </c>
      <c r="J49" s="10">
        <f t="shared" si="0"/>
        <v>44.787500000000001</v>
      </c>
      <c r="K49" s="3" t="str">
        <f t="shared" si="1"/>
        <v>F</v>
      </c>
    </row>
    <row r="50" spans="1:11" x14ac:dyDescent="0.2">
      <c r="A50" s="71">
        <v>23634419</v>
      </c>
      <c r="B50" s="70" t="s">
        <v>81</v>
      </c>
      <c r="C50" s="70" t="s">
        <v>82</v>
      </c>
      <c r="D50" s="70">
        <v>3</v>
      </c>
      <c r="E50" s="70">
        <v>63</v>
      </c>
      <c r="F50" s="70">
        <v>67</v>
      </c>
      <c r="G50" s="70">
        <v>65</v>
      </c>
      <c r="H50" s="70">
        <v>65</v>
      </c>
      <c r="I50" s="70">
        <v>65</v>
      </c>
      <c r="J50" s="10">
        <f t="shared" si="0"/>
        <v>65</v>
      </c>
      <c r="K50" s="3" t="str">
        <f t="shared" si="1"/>
        <v>D</v>
      </c>
    </row>
    <row r="51" spans="1:11" x14ac:dyDescent="0.2">
      <c r="A51" s="71">
        <v>23602592</v>
      </c>
      <c r="B51" s="70" t="s">
        <v>91</v>
      </c>
      <c r="C51" s="70" t="s">
        <v>92</v>
      </c>
      <c r="D51" s="70">
        <v>1</v>
      </c>
      <c r="E51" s="70">
        <v>40</v>
      </c>
      <c r="F51" s="70">
        <v>33</v>
      </c>
      <c r="G51" s="70">
        <v>41</v>
      </c>
      <c r="H51" s="70">
        <v>38</v>
      </c>
      <c r="I51" s="70">
        <v>38</v>
      </c>
      <c r="J51" s="10">
        <f t="shared" si="0"/>
        <v>38.075000000000003</v>
      </c>
      <c r="K51" s="3" t="str">
        <f t="shared" si="1"/>
        <v>F</v>
      </c>
    </row>
    <row r="52" spans="1:11" x14ac:dyDescent="0.2">
      <c r="A52" s="71">
        <v>23551669</v>
      </c>
      <c r="B52" s="70" t="s">
        <v>89</v>
      </c>
      <c r="C52" s="70" t="s">
        <v>90</v>
      </c>
      <c r="D52" s="70">
        <v>1</v>
      </c>
      <c r="E52" s="70">
        <v>95</v>
      </c>
      <c r="F52" s="70">
        <v>91</v>
      </c>
      <c r="G52" s="70">
        <v>92</v>
      </c>
      <c r="H52" s="70">
        <v>92</v>
      </c>
      <c r="I52" s="70">
        <v>92.5</v>
      </c>
      <c r="J52" s="10">
        <f t="shared" si="0"/>
        <v>92.574999999999989</v>
      </c>
      <c r="K52" s="3" t="str">
        <f t="shared" si="1"/>
        <v>A-</v>
      </c>
    </row>
    <row r="53" spans="1:11" x14ac:dyDescent="0.2">
      <c r="A53" s="71">
        <v>23697900</v>
      </c>
      <c r="B53" s="70" t="s">
        <v>107</v>
      </c>
      <c r="C53" s="70" t="s">
        <v>108</v>
      </c>
      <c r="D53" s="70">
        <v>4</v>
      </c>
      <c r="E53" s="70">
        <v>74</v>
      </c>
      <c r="F53" s="70">
        <v>80</v>
      </c>
      <c r="G53" s="70">
        <v>88</v>
      </c>
      <c r="H53" s="70">
        <v>80</v>
      </c>
      <c r="I53" s="70">
        <v>80.5</v>
      </c>
      <c r="J53" s="10">
        <f t="shared" si="0"/>
        <v>80.775000000000006</v>
      </c>
      <c r="K53" s="3" t="str">
        <f t="shared" si="1"/>
        <v>B-</v>
      </c>
    </row>
    <row r="54" spans="1:11" x14ac:dyDescent="0.2">
      <c r="A54" s="71">
        <v>23555563</v>
      </c>
      <c r="B54" s="70" t="s">
        <v>37</v>
      </c>
      <c r="C54" s="70" t="s">
        <v>38</v>
      </c>
      <c r="D54" s="70">
        <v>1</v>
      </c>
      <c r="E54" s="70">
        <v>45</v>
      </c>
      <c r="F54" s="70">
        <v>36</v>
      </c>
      <c r="G54" s="70">
        <v>58</v>
      </c>
      <c r="H54" s="70">
        <v>46</v>
      </c>
      <c r="I54" s="70">
        <v>46.25</v>
      </c>
      <c r="J54" s="10">
        <f t="shared" si="0"/>
        <v>46.587499999999999</v>
      </c>
      <c r="K54" s="3" t="str">
        <f t="shared" si="1"/>
        <v>F</v>
      </c>
    </row>
    <row r="55" spans="1:11" x14ac:dyDescent="0.2">
      <c r="A55" s="71">
        <v>23570945</v>
      </c>
      <c r="B55" s="70" t="s">
        <v>29</v>
      </c>
      <c r="C55" s="70" t="s">
        <v>30</v>
      </c>
      <c r="D55" s="70">
        <v>1</v>
      </c>
      <c r="E55" s="70">
        <v>45</v>
      </c>
      <c r="F55" s="70">
        <v>33</v>
      </c>
      <c r="G55" s="70">
        <v>55</v>
      </c>
      <c r="H55" s="70">
        <v>44</v>
      </c>
      <c r="I55" s="70">
        <v>44.25</v>
      </c>
      <c r="J55" s="10">
        <f t="shared" si="0"/>
        <v>44.5625</v>
      </c>
      <c r="K55" s="3" t="str">
        <f t="shared" si="1"/>
        <v>F</v>
      </c>
    </row>
    <row r="56" spans="1:11" x14ac:dyDescent="0.2">
      <c r="A56" s="71">
        <v>23614752</v>
      </c>
      <c r="B56" s="70" t="s">
        <v>99</v>
      </c>
      <c r="C56" s="70" t="s">
        <v>100</v>
      </c>
      <c r="D56" s="70">
        <v>4</v>
      </c>
      <c r="E56" s="70">
        <v>41</v>
      </c>
      <c r="F56" s="70">
        <v>34</v>
      </c>
      <c r="G56" s="70">
        <v>62</v>
      </c>
      <c r="H56" s="70">
        <v>45</v>
      </c>
      <c r="I56" s="70">
        <v>45.5</v>
      </c>
      <c r="J56" s="10">
        <f t="shared" si="0"/>
        <v>46</v>
      </c>
      <c r="K56" s="3" t="str">
        <f t="shared" si="1"/>
        <v>F</v>
      </c>
    </row>
  </sheetData>
  <conditionalFormatting sqref="J7:J56">
    <cfRule type="cellIs" dxfId="50" priority="2" operator="greaterThan">
      <formula>69</formula>
    </cfRule>
    <cfRule type="cellIs" dxfId="49" priority="3" operator="lessThanOrEqual">
      <formula>69</formula>
    </cfRule>
    <cfRule type="cellIs" dxfId="48" priority="4" operator="lessThanOrEqual">
      <formula>60</formula>
    </cfRule>
  </conditionalFormatting>
  <conditionalFormatting sqref="K7:K56">
    <cfRule type="expression" dxfId="47" priority="1">
      <formula>IF(OR(K7="D",K7="F"),TRUE,FALSE)</formula>
    </cfRule>
  </conditionalFormatting>
  <dataValidations count="1">
    <dataValidation type="whole" allowBlank="1" showInputMessage="1" showErrorMessage="1" sqref="D7:D56" xr:uid="{A61F7ADB-193B-4BE3-9D01-3AC36CD57441}">
      <formula1>1</formula1>
      <formula2>4</formula2>
    </dataValidation>
  </dataValidations>
  <hyperlinks>
    <hyperlink ref="A1" r:id="rId1" xr:uid="{727D68F0-F970-4A10-9AA5-8E6894C07C5E}"/>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E2722-92BB-684F-9E3D-095A835B42A1}">
  <sheetPr codeName="Sheet8"/>
  <dimension ref="A1:H11"/>
  <sheetViews>
    <sheetView workbookViewId="0"/>
  </sheetViews>
  <sheetFormatPr baseColWidth="10" defaultColWidth="11" defaultRowHeight="16" x14ac:dyDescent="0.2"/>
  <cols>
    <col min="1" max="1" width="18" style="4" bestFit="1" customWidth="1"/>
    <col min="2" max="2" width="23.5" style="4" bestFit="1" customWidth="1"/>
    <col min="3" max="4" width="22.5" style="4" bestFit="1" customWidth="1"/>
    <col min="5" max="5" width="26.6640625" style="4" bestFit="1" customWidth="1"/>
    <col min="6" max="6" width="28.83203125" style="4" bestFit="1" customWidth="1"/>
    <col min="7" max="7" width="22.6640625" style="4" bestFit="1" customWidth="1"/>
    <col min="8" max="8" width="28.6640625" style="4" bestFit="1" customWidth="1"/>
    <col min="9" max="9" width="21.1640625" style="4" bestFit="1" customWidth="1"/>
    <col min="10" max="16384" width="11" style="4"/>
  </cols>
  <sheetData>
    <row r="1" spans="1:8" ht="21" x14ac:dyDescent="0.25">
      <c r="A1" s="48" t="s">
        <v>20</v>
      </c>
      <c r="B1" s="48" t="s">
        <v>159</v>
      </c>
      <c r="C1" s="48" t="s">
        <v>160</v>
      </c>
      <c r="D1" s="48" t="s">
        <v>161</v>
      </c>
      <c r="E1" s="48" t="s">
        <v>162</v>
      </c>
      <c r="F1" s="48" t="s">
        <v>163</v>
      </c>
      <c r="G1" s="48" t="s">
        <v>164</v>
      </c>
      <c r="H1" s="48" t="s">
        <v>165</v>
      </c>
    </row>
    <row r="2" spans="1:8" x14ac:dyDescent="0.2">
      <c r="A2" s="3" t="s">
        <v>166</v>
      </c>
      <c r="B2" s="31">
        <v>4</v>
      </c>
      <c r="C2" s="37">
        <v>95</v>
      </c>
      <c r="D2" s="37">
        <v>94.25</v>
      </c>
      <c r="E2" s="37">
        <v>97.25</v>
      </c>
      <c r="F2" s="37">
        <v>95</v>
      </c>
      <c r="G2" s="37">
        <v>95.375</v>
      </c>
      <c r="H2" s="37">
        <v>3.25</v>
      </c>
    </row>
    <row r="3" spans="1:8" x14ac:dyDescent="0.2">
      <c r="A3" s="3" t="s">
        <v>167</v>
      </c>
      <c r="B3" s="31">
        <v>1</v>
      </c>
      <c r="C3" s="37">
        <v>95</v>
      </c>
      <c r="D3" s="37">
        <v>91</v>
      </c>
      <c r="E3" s="37">
        <v>92</v>
      </c>
      <c r="F3" s="37">
        <v>92</v>
      </c>
      <c r="G3" s="37">
        <v>92.5</v>
      </c>
      <c r="H3" s="37">
        <v>8</v>
      </c>
    </row>
    <row r="4" spans="1:8" x14ac:dyDescent="0.2">
      <c r="A4" s="3" t="s">
        <v>168</v>
      </c>
      <c r="B4" s="31">
        <v>2</v>
      </c>
      <c r="C4" s="37">
        <v>79</v>
      </c>
      <c r="D4" s="37">
        <v>82.5</v>
      </c>
      <c r="E4" s="37">
        <v>92</v>
      </c>
      <c r="F4" s="37">
        <v>84</v>
      </c>
      <c r="G4" s="37">
        <v>84.375</v>
      </c>
      <c r="H4" s="37">
        <v>1</v>
      </c>
    </row>
    <row r="5" spans="1:8" x14ac:dyDescent="0.2">
      <c r="A5" s="3" t="s">
        <v>169</v>
      </c>
      <c r="B5" s="31">
        <v>1</v>
      </c>
      <c r="C5" s="37">
        <v>74</v>
      </c>
      <c r="D5" s="37">
        <v>80</v>
      </c>
      <c r="E5" s="37">
        <v>88</v>
      </c>
      <c r="F5" s="37">
        <v>80</v>
      </c>
      <c r="G5" s="37">
        <v>80.5</v>
      </c>
      <c r="H5" s="37">
        <v>9</v>
      </c>
    </row>
    <row r="6" spans="1:8" x14ac:dyDescent="0.2">
      <c r="A6" s="3" t="s">
        <v>170</v>
      </c>
      <c r="B6" s="31">
        <v>4</v>
      </c>
      <c r="C6" s="37">
        <v>86</v>
      </c>
      <c r="D6" s="37">
        <v>87</v>
      </c>
      <c r="E6" s="37">
        <v>91.25</v>
      </c>
      <c r="F6" s="37">
        <v>87.75</v>
      </c>
      <c r="G6" s="37">
        <v>88</v>
      </c>
      <c r="H6" s="37">
        <v>4</v>
      </c>
    </row>
    <row r="7" spans="1:8" x14ac:dyDescent="0.2">
      <c r="A7" s="3" t="s">
        <v>171</v>
      </c>
      <c r="B7" s="31">
        <v>7</v>
      </c>
      <c r="C7" s="37">
        <v>71.285714285714292</v>
      </c>
      <c r="D7" s="37">
        <v>75.857142857142861</v>
      </c>
      <c r="E7" s="37">
        <v>78.714285714285708</v>
      </c>
      <c r="F7" s="37">
        <v>74.857142857142861</v>
      </c>
      <c r="G7" s="37">
        <v>75.178571428571431</v>
      </c>
      <c r="H7" s="37">
        <v>5.7142857142857144</v>
      </c>
    </row>
    <row r="8" spans="1:8" x14ac:dyDescent="0.2">
      <c r="A8" s="3" t="s">
        <v>172</v>
      </c>
      <c r="B8" s="31">
        <v>2</v>
      </c>
      <c r="C8" s="37">
        <v>74</v>
      </c>
      <c r="D8" s="37">
        <v>78.5</v>
      </c>
      <c r="E8" s="37">
        <v>81.5</v>
      </c>
      <c r="F8" s="37">
        <v>78</v>
      </c>
      <c r="G8" s="37">
        <v>78</v>
      </c>
      <c r="H8" s="37">
        <v>8.5</v>
      </c>
    </row>
    <row r="9" spans="1:8" x14ac:dyDescent="0.2">
      <c r="A9" s="3" t="s">
        <v>173</v>
      </c>
      <c r="B9" s="31">
        <v>6</v>
      </c>
      <c r="C9" s="37">
        <v>64.166666666666671</v>
      </c>
      <c r="D9" s="37">
        <v>67.166666666666671</v>
      </c>
      <c r="E9" s="37">
        <v>68.666666666666671</v>
      </c>
      <c r="F9" s="37">
        <v>66.333333333333329</v>
      </c>
      <c r="G9" s="37">
        <v>66.583333333333329</v>
      </c>
      <c r="H9" s="37">
        <v>6.333333333333333</v>
      </c>
    </row>
    <row r="10" spans="1:8" x14ac:dyDescent="0.2">
      <c r="A10" s="3" t="s">
        <v>174</v>
      </c>
      <c r="B10" s="31">
        <v>23</v>
      </c>
      <c r="C10" s="37">
        <v>42.695652173913047</v>
      </c>
      <c r="D10" s="37">
        <v>40.913043478260867</v>
      </c>
      <c r="E10" s="37">
        <v>46.260869565217391</v>
      </c>
      <c r="F10" s="37">
        <v>42.956521739130437</v>
      </c>
      <c r="G10" s="37">
        <v>43.206521739130437</v>
      </c>
      <c r="H10" s="37">
        <v>11.739130434782609</v>
      </c>
    </row>
    <row r="11" spans="1:8" x14ac:dyDescent="0.2">
      <c r="A11" s="3" t="s">
        <v>175</v>
      </c>
      <c r="B11" s="3">
        <v>50</v>
      </c>
      <c r="C11" s="3">
        <v>61.3</v>
      </c>
      <c r="D11" s="3">
        <v>61.86</v>
      </c>
      <c r="E11" s="3">
        <v>66.16</v>
      </c>
      <c r="F11" s="3">
        <v>62.74</v>
      </c>
      <c r="G11" s="3">
        <v>63.015000000000001</v>
      </c>
      <c r="H11" s="3">
        <v>8.26</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0AD48-D48F-7740-8104-0FF8C4359500}">
  <sheetPr codeName="Sheet9"/>
  <dimension ref="A1:P64"/>
  <sheetViews>
    <sheetView workbookViewId="0">
      <selection activeCell="H13" sqref="H13"/>
    </sheetView>
  </sheetViews>
  <sheetFormatPr baseColWidth="10" defaultColWidth="11" defaultRowHeight="16" x14ac:dyDescent="0.2"/>
  <cols>
    <col min="1" max="1" width="19.5" style="69" bestFit="1" customWidth="1"/>
    <col min="2" max="5" width="11" style="69"/>
    <col min="6" max="6" width="20.1640625" style="69" bestFit="1" customWidth="1"/>
    <col min="7" max="7" width="15.6640625" style="69" bestFit="1" customWidth="1"/>
    <col min="8" max="9" width="11" style="69"/>
    <col min="10" max="10" width="25.6640625" style="69" customWidth="1"/>
    <col min="11" max="11" width="11" style="69"/>
    <col min="12" max="12" width="18.5" style="69" bestFit="1" customWidth="1"/>
    <col min="13" max="16384" width="11" style="69"/>
  </cols>
  <sheetData>
    <row r="1" spans="1:16" x14ac:dyDescent="0.2">
      <c r="A1" s="78" t="s">
        <v>157</v>
      </c>
      <c r="J1" s="69" t="s">
        <v>176</v>
      </c>
      <c r="K1" s="74">
        <f>AVERAGE(J15:J64)</f>
        <v>63.141750000000009</v>
      </c>
      <c r="M1" s="69" t="s">
        <v>177</v>
      </c>
      <c r="P1" s="69" cm="1">
        <f t="array" ref="P1">SUM(IF(J15:J64&lt;K1,1,0))</f>
        <v>23</v>
      </c>
    </row>
    <row r="2" spans="1:16" x14ac:dyDescent="0.2">
      <c r="J2" s="69" t="s">
        <v>178</v>
      </c>
      <c r="K2" s="74">
        <f>MAX(J15:J64)</f>
        <v>96.649999999999991</v>
      </c>
      <c r="M2" s="69" t="s">
        <v>179</v>
      </c>
      <c r="P2" s="69" cm="1">
        <f t="array" ref="P2">SUM(IF(J15:J64&gt;K1,1,0))</f>
        <v>27</v>
      </c>
    </row>
    <row r="3" spans="1:16" x14ac:dyDescent="0.2">
      <c r="J3" s="69" t="s">
        <v>180</v>
      </c>
      <c r="K3" s="74">
        <f>MIN(J15:J64)</f>
        <v>36.25</v>
      </c>
    </row>
    <row r="5" spans="1:16" x14ac:dyDescent="0.2">
      <c r="K5" s="59">
        <f>K1</f>
        <v>63.141750000000009</v>
      </c>
    </row>
    <row r="6" spans="1:16" x14ac:dyDescent="0.2">
      <c r="J6" s="57">
        <v>30</v>
      </c>
      <c r="K6" s="74">
        <v>30</v>
      </c>
    </row>
    <row r="7" spans="1:16" x14ac:dyDescent="0.2">
      <c r="J7" s="57">
        <v>40</v>
      </c>
      <c r="K7" s="74">
        <v>40</v>
      </c>
    </row>
    <row r="8" spans="1:16" x14ac:dyDescent="0.2">
      <c r="J8" s="57">
        <v>50</v>
      </c>
      <c r="K8" s="74">
        <v>50</v>
      </c>
    </row>
    <row r="9" spans="1:16" x14ac:dyDescent="0.2">
      <c r="E9" s="57" t="s">
        <v>19</v>
      </c>
      <c r="F9" s="57" t="s">
        <v>181</v>
      </c>
      <c r="G9" s="57" t="s">
        <v>182</v>
      </c>
      <c r="I9" s="75"/>
      <c r="J9" s="57">
        <v>60</v>
      </c>
      <c r="K9" s="74">
        <v>60</v>
      </c>
    </row>
    <row r="10" spans="1:16" x14ac:dyDescent="0.2">
      <c r="D10" s="58" t="s">
        <v>30</v>
      </c>
      <c r="E10" s="76">
        <f>VLOOKUP($D$10,$D$15:$J$64,7,FALSE)</f>
        <v>89.412500000000009</v>
      </c>
      <c r="F10" s="77">
        <f>(100-E10)*15%+E10</f>
        <v>91.000625000000014</v>
      </c>
      <c r="G10" s="70" t="str">
        <f>IF(E10&gt;=95,"A+",IF(E10&gt;=90,"A",IF(E10&gt;=85,"B+",IF(E10&gt;=80,"B",IF(E10&gt;=75,"B-",IF(E10&gt;=70,"C+",IF(E10&gt;=65,"C",IF(E10&gt;=60,"C-",IF(E10&gt;=55,"D",IF(E10&lt;50,"F"))))))))))</f>
        <v>B+</v>
      </c>
      <c r="I10" s="75"/>
      <c r="J10" s="57">
        <v>70</v>
      </c>
      <c r="K10" s="74">
        <v>70</v>
      </c>
    </row>
    <row r="11" spans="1:16" x14ac:dyDescent="0.2">
      <c r="E11" s="75"/>
      <c r="H11" s="75"/>
      <c r="I11" s="75"/>
      <c r="J11" s="57">
        <v>80</v>
      </c>
      <c r="K11" s="74">
        <v>80</v>
      </c>
    </row>
    <row r="12" spans="1:16" x14ac:dyDescent="0.2">
      <c r="J12" s="57">
        <v>90</v>
      </c>
      <c r="K12" s="74">
        <v>90</v>
      </c>
    </row>
    <row r="14" spans="1:16" x14ac:dyDescent="0.2">
      <c r="B14" s="73" t="s">
        <v>11</v>
      </c>
      <c r="C14" s="73" t="s">
        <v>12</v>
      </c>
      <c r="D14" s="73" t="s">
        <v>13</v>
      </c>
      <c r="E14" s="73" t="s">
        <v>14</v>
      </c>
      <c r="F14" s="73" t="s">
        <v>15</v>
      </c>
      <c r="G14" s="73" t="s">
        <v>16</v>
      </c>
      <c r="H14" s="73" t="s">
        <v>17</v>
      </c>
      <c r="I14" s="73" t="s">
        <v>18</v>
      </c>
      <c r="J14" s="73" t="s">
        <v>19</v>
      </c>
      <c r="K14" s="73" t="s">
        <v>20</v>
      </c>
    </row>
    <row r="15" spans="1:16" x14ac:dyDescent="0.2">
      <c r="B15" s="71">
        <v>23672743</v>
      </c>
      <c r="C15" s="71" t="s">
        <v>27</v>
      </c>
      <c r="D15" s="71" t="s">
        <v>28</v>
      </c>
      <c r="E15" s="71">
        <v>57</v>
      </c>
      <c r="F15" s="71">
        <v>49</v>
      </c>
      <c r="G15" s="71">
        <v>37</v>
      </c>
      <c r="H15" s="71">
        <v>47</v>
      </c>
      <c r="I15" s="71">
        <v>47.5</v>
      </c>
      <c r="J15" s="71">
        <f t="shared" ref="J15:J64" si="0">(22.5%*E15)+(22.5%*F15)+(25%*G15)+(5%*H15)+(25%*I15)</f>
        <v>47.325000000000003</v>
      </c>
      <c r="K15" s="71" t="str">
        <f t="shared" ref="K15:K64" si="1">IF(J15&gt;=93,"A",IF(J15&gt;=90,"A-",IF(J15&gt;=87,"B+",IF(J15&gt;=83,"B",IF(J15&gt;=80,"B-",IF(J15&gt;=77,"C+",IF(J15&gt;=73,"C",IF(J15&gt;=70,"C-",IF(J15&gt;=60,"D",IF(J15&lt;60,"F"))))))))))</f>
        <v>F</v>
      </c>
    </row>
    <row r="16" spans="1:16" x14ac:dyDescent="0.2">
      <c r="B16" s="71">
        <v>23570945</v>
      </c>
      <c r="C16" s="71" t="s">
        <v>29</v>
      </c>
      <c r="D16" s="71" t="s">
        <v>30</v>
      </c>
      <c r="E16" s="71">
        <v>88</v>
      </c>
      <c r="F16" s="71">
        <v>86</v>
      </c>
      <c r="G16" s="71">
        <v>94</v>
      </c>
      <c r="H16" s="71">
        <v>89</v>
      </c>
      <c r="I16" s="71">
        <v>89.25</v>
      </c>
      <c r="J16" s="71">
        <f t="shared" si="0"/>
        <v>89.412500000000009</v>
      </c>
      <c r="K16" s="71" t="str">
        <f t="shared" si="1"/>
        <v>B+</v>
      </c>
    </row>
    <row r="17" spans="2:11" x14ac:dyDescent="0.2">
      <c r="B17" s="71">
        <v>23569340</v>
      </c>
      <c r="C17" s="71" t="s">
        <v>31</v>
      </c>
      <c r="D17" s="71" t="s">
        <v>32</v>
      </c>
      <c r="E17" s="71">
        <v>76</v>
      </c>
      <c r="F17" s="71">
        <v>75</v>
      </c>
      <c r="G17" s="71">
        <v>79</v>
      </c>
      <c r="H17" s="71">
        <v>76</v>
      </c>
      <c r="I17" s="71">
        <v>76.5</v>
      </c>
      <c r="J17" s="71">
        <f t="shared" si="0"/>
        <v>76.650000000000006</v>
      </c>
      <c r="K17" s="71" t="str">
        <f t="shared" si="1"/>
        <v>C</v>
      </c>
    </row>
    <row r="18" spans="2:11" x14ac:dyDescent="0.2">
      <c r="B18" s="71">
        <v>23503674</v>
      </c>
      <c r="C18" s="71" t="s">
        <v>33</v>
      </c>
      <c r="D18" s="71" t="s">
        <v>34</v>
      </c>
      <c r="E18" s="71">
        <v>70</v>
      </c>
      <c r="F18" s="71">
        <v>78</v>
      </c>
      <c r="G18" s="71">
        <v>82</v>
      </c>
      <c r="H18" s="71">
        <v>76</v>
      </c>
      <c r="I18" s="71">
        <v>76.5</v>
      </c>
      <c r="J18" s="71">
        <f t="shared" si="0"/>
        <v>76.724999999999994</v>
      </c>
      <c r="K18" s="71" t="str">
        <f t="shared" si="1"/>
        <v>C</v>
      </c>
    </row>
    <row r="19" spans="2:11" x14ac:dyDescent="0.2">
      <c r="B19" s="71">
        <v>23545029</v>
      </c>
      <c r="C19" s="71" t="s">
        <v>35</v>
      </c>
      <c r="D19" s="71" t="s">
        <v>36</v>
      </c>
      <c r="E19" s="71">
        <v>77</v>
      </c>
      <c r="F19" s="71">
        <v>79</v>
      </c>
      <c r="G19" s="71">
        <v>81</v>
      </c>
      <c r="H19" s="71">
        <v>79</v>
      </c>
      <c r="I19" s="71">
        <v>79</v>
      </c>
      <c r="J19" s="71">
        <f t="shared" si="0"/>
        <v>79.050000000000011</v>
      </c>
      <c r="K19" s="71" t="str">
        <f t="shared" si="1"/>
        <v>C+</v>
      </c>
    </row>
    <row r="20" spans="2:11" x14ac:dyDescent="0.2">
      <c r="B20" s="71">
        <v>23555563</v>
      </c>
      <c r="C20" s="71" t="s">
        <v>37</v>
      </c>
      <c r="D20" s="71" t="s">
        <v>38</v>
      </c>
      <c r="E20" s="71">
        <v>65</v>
      </c>
      <c r="F20" s="71">
        <v>66</v>
      </c>
      <c r="G20" s="71">
        <v>72</v>
      </c>
      <c r="H20" s="71">
        <v>67</v>
      </c>
      <c r="I20" s="71">
        <v>67.5</v>
      </c>
      <c r="J20" s="71">
        <f t="shared" si="0"/>
        <v>67.7</v>
      </c>
      <c r="K20" s="71" t="str">
        <f t="shared" si="1"/>
        <v>D</v>
      </c>
    </row>
    <row r="21" spans="2:11" x14ac:dyDescent="0.2">
      <c r="B21" s="71">
        <v>23544190</v>
      </c>
      <c r="C21" s="71" t="s">
        <v>39</v>
      </c>
      <c r="D21" s="71" t="s">
        <v>40</v>
      </c>
      <c r="E21" s="71">
        <v>53</v>
      </c>
      <c r="F21" s="71">
        <v>42</v>
      </c>
      <c r="G21" s="71">
        <v>40</v>
      </c>
      <c r="H21" s="71">
        <v>45</v>
      </c>
      <c r="I21" s="71">
        <v>45</v>
      </c>
      <c r="J21" s="71">
        <f t="shared" si="0"/>
        <v>44.875</v>
      </c>
      <c r="K21" s="71" t="str">
        <f t="shared" si="1"/>
        <v>F</v>
      </c>
    </row>
    <row r="22" spans="2:11" x14ac:dyDescent="0.2">
      <c r="B22" s="71">
        <v>23578756</v>
      </c>
      <c r="C22" s="71" t="s">
        <v>41</v>
      </c>
      <c r="D22" s="71" t="s">
        <v>42</v>
      </c>
      <c r="E22" s="71">
        <v>64</v>
      </c>
      <c r="F22" s="71">
        <v>65</v>
      </c>
      <c r="G22" s="71">
        <v>70</v>
      </c>
      <c r="H22" s="71">
        <v>66</v>
      </c>
      <c r="I22" s="71">
        <v>66.25</v>
      </c>
      <c r="J22" s="71">
        <f t="shared" si="0"/>
        <v>66.387499999999989</v>
      </c>
      <c r="K22" s="71" t="str">
        <f t="shared" si="1"/>
        <v>D</v>
      </c>
    </row>
    <row r="23" spans="2:11" x14ac:dyDescent="0.2">
      <c r="B23" s="71">
        <v>23538914</v>
      </c>
      <c r="C23" s="71" t="s">
        <v>43</v>
      </c>
      <c r="D23" s="71" t="s">
        <v>44</v>
      </c>
      <c r="E23" s="71">
        <v>48</v>
      </c>
      <c r="F23" s="71">
        <v>32</v>
      </c>
      <c r="G23" s="71">
        <v>39</v>
      </c>
      <c r="H23" s="71">
        <v>39</v>
      </c>
      <c r="I23" s="71">
        <v>39.5</v>
      </c>
      <c r="J23" s="71">
        <f t="shared" si="0"/>
        <v>39.575000000000003</v>
      </c>
      <c r="K23" s="71" t="str">
        <f t="shared" si="1"/>
        <v>F</v>
      </c>
    </row>
    <row r="24" spans="2:11" x14ac:dyDescent="0.2">
      <c r="B24" s="71">
        <v>23536981</v>
      </c>
      <c r="C24" s="71" t="s">
        <v>45</v>
      </c>
      <c r="D24" s="71" t="s">
        <v>46</v>
      </c>
      <c r="E24" s="71">
        <v>45</v>
      </c>
      <c r="F24" s="71">
        <v>30</v>
      </c>
      <c r="G24" s="71">
        <v>49</v>
      </c>
      <c r="H24" s="71">
        <v>41</v>
      </c>
      <c r="I24" s="71">
        <v>41.25</v>
      </c>
      <c r="J24" s="71">
        <f t="shared" si="0"/>
        <v>41.487499999999997</v>
      </c>
      <c r="K24" s="71" t="str">
        <f t="shared" si="1"/>
        <v>F</v>
      </c>
    </row>
    <row r="25" spans="2:11" x14ac:dyDescent="0.2">
      <c r="B25" s="71">
        <v>23643612</v>
      </c>
      <c r="C25" s="71" t="s">
        <v>47</v>
      </c>
      <c r="D25" s="71" t="s">
        <v>48</v>
      </c>
      <c r="E25" s="71">
        <v>55</v>
      </c>
      <c r="F25" s="71">
        <v>55</v>
      </c>
      <c r="G25" s="71">
        <v>41</v>
      </c>
      <c r="H25" s="71">
        <v>50</v>
      </c>
      <c r="I25" s="71">
        <v>50.25</v>
      </c>
      <c r="J25" s="71">
        <f t="shared" si="0"/>
        <v>50.0625</v>
      </c>
      <c r="K25" s="71" t="str">
        <f t="shared" si="1"/>
        <v>F</v>
      </c>
    </row>
    <row r="26" spans="2:11" x14ac:dyDescent="0.2">
      <c r="B26" s="71">
        <v>23635346</v>
      </c>
      <c r="C26" s="71" t="s">
        <v>49</v>
      </c>
      <c r="D26" s="71" t="s">
        <v>50</v>
      </c>
      <c r="E26" s="71">
        <v>77</v>
      </c>
      <c r="F26" s="71">
        <v>80</v>
      </c>
      <c r="G26" s="71">
        <v>93</v>
      </c>
      <c r="H26" s="71">
        <v>83</v>
      </c>
      <c r="I26" s="71">
        <v>83.25</v>
      </c>
      <c r="J26" s="71">
        <f t="shared" si="0"/>
        <v>83.537499999999994</v>
      </c>
      <c r="K26" s="71" t="str">
        <f t="shared" si="1"/>
        <v>B</v>
      </c>
    </row>
    <row r="27" spans="2:11" x14ac:dyDescent="0.2">
      <c r="B27" s="71">
        <v>23602899</v>
      </c>
      <c r="C27" s="71" t="s">
        <v>51</v>
      </c>
      <c r="D27" s="71" t="s">
        <v>52</v>
      </c>
      <c r="E27" s="71">
        <v>60</v>
      </c>
      <c r="F27" s="71">
        <v>69</v>
      </c>
      <c r="G27" s="71">
        <v>71</v>
      </c>
      <c r="H27" s="71">
        <v>66</v>
      </c>
      <c r="I27" s="71">
        <v>66.5</v>
      </c>
      <c r="J27" s="71">
        <f t="shared" si="0"/>
        <v>66.699999999999989</v>
      </c>
      <c r="K27" s="71" t="str">
        <f t="shared" si="1"/>
        <v>D</v>
      </c>
    </row>
    <row r="28" spans="2:11" x14ac:dyDescent="0.2">
      <c r="B28" s="71">
        <v>23518502</v>
      </c>
      <c r="C28" s="71" t="s">
        <v>53</v>
      </c>
      <c r="D28" s="71" t="s">
        <v>54</v>
      </c>
      <c r="E28" s="71">
        <v>50</v>
      </c>
      <c r="F28" s="71">
        <v>33</v>
      </c>
      <c r="G28" s="71">
        <v>38</v>
      </c>
      <c r="H28" s="71">
        <v>40</v>
      </c>
      <c r="I28" s="71">
        <v>40.25</v>
      </c>
      <c r="J28" s="71">
        <f t="shared" si="0"/>
        <v>40.237499999999997</v>
      </c>
      <c r="K28" s="71" t="str">
        <f t="shared" si="1"/>
        <v>F</v>
      </c>
    </row>
    <row r="29" spans="2:11" x14ac:dyDescent="0.2">
      <c r="B29" s="71">
        <v>23545298</v>
      </c>
      <c r="C29" s="71" t="s">
        <v>55</v>
      </c>
      <c r="D29" s="71" t="s">
        <v>56</v>
      </c>
      <c r="E29" s="71">
        <v>47</v>
      </c>
      <c r="F29" s="71">
        <v>44</v>
      </c>
      <c r="G29" s="71">
        <v>43</v>
      </c>
      <c r="H29" s="71">
        <v>44</v>
      </c>
      <c r="I29" s="71">
        <v>44.5</v>
      </c>
      <c r="J29" s="71">
        <f t="shared" si="0"/>
        <v>44.550000000000004</v>
      </c>
      <c r="K29" s="71" t="str">
        <f t="shared" si="1"/>
        <v>F</v>
      </c>
    </row>
    <row r="30" spans="2:11" x14ac:dyDescent="0.2">
      <c r="B30" s="71">
        <v>23681588</v>
      </c>
      <c r="C30" s="71" t="s">
        <v>57</v>
      </c>
      <c r="D30" s="71" t="s">
        <v>58</v>
      </c>
      <c r="E30" s="71">
        <v>71</v>
      </c>
      <c r="F30" s="71">
        <v>78</v>
      </c>
      <c r="G30" s="71">
        <v>82</v>
      </c>
      <c r="H30" s="71">
        <v>77</v>
      </c>
      <c r="I30" s="71">
        <v>77</v>
      </c>
      <c r="J30" s="71">
        <f t="shared" si="0"/>
        <v>77.125</v>
      </c>
      <c r="K30" s="71" t="str">
        <f t="shared" si="1"/>
        <v>C+</v>
      </c>
    </row>
    <row r="31" spans="2:11" x14ac:dyDescent="0.2">
      <c r="B31" s="71">
        <v>23558031</v>
      </c>
      <c r="C31" s="71" t="s">
        <v>59</v>
      </c>
      <c r="D31" s="71" t="s">
        <v>60</v>
      </c>
      <c r="E31" s="71">
        <v>71</v>
      </c>
      <c r="F31" s="71">
        <v>78</v>
      </c>
      <c r="G31" s="71">
        <v>77</v>
      </c>
      <c r="H31" s="71">
        <v>75</v>
      </c>
      <c r="I31" s="71">
        <v>75.25</v>
      </c>
      <c r="J31" s="71">
        <f t="shared" si="0"/>
        <v>75.337500000000006</v>
      </c>
      <c r="K31" s="71" t="str">
        <f t="shared" si="1"/>
        <v>C</v>
      </c>
    </row>
    <row r="32" spans="2:11" x14ac:dyDescent="0.2">
      <c r="B32" s="71">
        <v>23630771</v>
      </c>
      <c r="C32" s="71" t="s">
        <v>61</v>
      </c>
      <c r="D32" s="71" t="s">
        <v>62</v>
      </c>
      <c r="E32" s="71">
        <v>30</v>
      </c>
      <c r="F32" s="71">
        <v>32</v>
      </c>
      <c r="G32" s="71">
        <v>46</v>
      </c>
      <c r="H32" s="71">
        <v>36</v>
      </c>
      <c r="I32" s="71">
        <v>36</v>
      </c>
      <c r="J32" s="71">
        <f t="shared" si="0"/>
        <v>36.25</v>
      </c>
      <c r="K32" s="71" t="str">
        <f t="shared" si="1"/>
        <v>F</v>
      </c>
    </row>
    <row r="33" spans="2:11" x14ac:dyDescent="0.2">
      <c r="B33" s="71">
        <v>23580679</v>
      </c>
      <c r="C33" s="71" t="s">
        <v>63</v>
      </c>
      <c r="D33" s="71" t="s">
        <v>64</v>
      </c>
      <c r="E33" s="71">
        <v>73</v>
      </c>
      <c r="F33" s="71">
        <v>78</v>
      </c>
      <c r="G33" s="71">
        <v>77</v>
      </c>
      <c r="H33" s="71">
        <v>76</v>
      </c>
      <c r="I33" s="71">
        <v>76</v>
      </c>
      <c r="J33" s="71">
        <f t="shared" si="0"/>
        <v>76.025000000000006</v>
      </c>
      <c r="K33" s="71" t="str">
        <f t="shared" si="1"/>
        <v>C</v>
      </c>
    </row>
    <row r="34" spans="2:11" x14ac:dyDescent="0.2">
      <c r="B34" s="71">
        <v>23521122</v>
      </c>
      <c r="C34" s="71" t="s">
        <v>65</v>
      </c>
      <c r="D34" s="71" t="s">
        <v>66</v>
      </c>
      <c r="E34" s="71">
        <v>32</v>
      </c>
      <c r="F34" s="71">
        <v>44</v>
      </c>
      <c r="G34" s="71">
        <v>38</v>
      </c>
      <c r="H34" s="71">
        <v>38</v>
      </c>
      <c r="I34" s="71">
        <v>38</v>
      </c>
      <c r="J34" s="71">
        <f t="shared" si="0"/>
        <v>38</v>
      </c>
      <c r="K34" s="71" t="str">
        <f t="shared" si="1"/>
        <v>F</v>
      </c>
    </row>
    <row r="35" spans="2:11" x14ac:dyDescent="0.2">
      <c r="B35" s="71">
        <v>23607530</v>
      </c>
      <c r="C35" s="71" t="s">
        <v>67</v>
      </c>
      <c r="D35" s="71" t="s">
        <v>68</v>
      </c>
      <c r="E35" s="71">
        <v>55</v>
      </c>
      <c r="F35" s="71">
        <v>36</v>
      </c>
      <c r="G35" s="71">
        <v>46</v>
      </c>
      <c r="H35" s="71">
        <v>45</v>
      </c>
      <c r="I35" s="71">
        <v>45.5</v>
      </c>
      <c r="J35" s="71">
        <f t="shared" si="0"/>
        <v>45.6</v>
      </c>
      <c r="K35" s="71" t="str">
        <f t="shared" si="1"/>
        <v>F</v>
      </c>
    </row>
    <row r="36" spans="2:11" x14ac:dyDescent="0.2">
      <c r="B36" s="71">
        <v>23625004</v>
      </c>
      <c r="C36" s="71" t="s">
        <v>69</v>
      </c>
      <c r="D36" s="71" t="s">
        <v>70</v>
      </c>
      <c r="E36" s="71">
        <v>36</v>
      </c>
      <c r="F36" s="71">
        <v>53</v>
      </c>
      <c r="G36" s="71">
        <v>65</v>
      </c>
      <c r="H36" s="71">
        <v>51</v>
      </c>
      <c r="I36" s="71">
        <v>51.25</v>
      </c>
      <c r="J36" s="71">
        <f t="shared" si="0"/>
        <v>51.637499999999996</v>
      </c>
      <c r="K36" s="71" t="str">
        <f t="shared" si="1"/>
        <v>F</v>
      </c>
    </row>
    <row r="37" spans="2:11" x14ac:dyDescent="0.2">
      <c r="B37" s="71">
        <v>23501390</v>
      </c>
      <c r="C37" s="71" t="s">
        <v>71</v>
      </c>
      <c r="D37" s="71" t="s">
        <v>72</v>
      </c>
      <c r="E37" s="71">
        <v>94</v>
      </c>
      <c r="F37" s="71">
        <v>99</v>
      </c>
      <c r="G37" s="71">
        <v>93</v>
      </c>
      <c r="H37" s="71">
        <v>95</v>
      </c>
      <c r="I37" s="71">
        <v>95.25</v>
      </c>
      <c r="J37" s="71">
        <f t="shared" si="0"/>
        <v>95.237500000000011</v>
      </c>
      <c r="K37" s="71" t="str">
        <f t="shared" si="1"/>
        <v>A</v>
      </c>
    </row>
    <row r="38" spans="2:11" x14ac:dyDescent="0.2">
      <c r="B38" s="71">
        <v>23591771</v>
      </c>
      <c r="C38" s="71" t="s">
        <v>73</v>
      </c>
      <c r="D38" s="71" t="s">
        <v>74</v>
      </c>
      <c r="E38" s="71">
        <v>69</v>
      </c>
      <c r="F38" s="71">
        <v>70</v>
      </c>
      <c r="G38" s="71">
        <v>85</v>
      </c>
      <c r="H38" s="71">
        <v>74</v>
      </c>
      <c r="I38" s="71">
        <v>74.5</v>
      </c>
      <c r="J38" s="71">
        <f t="shared" si="0"/>
        <v>74.849999999999994</v>
      </c>
      <c r="K38" s="71" t="str">
        <f t="shared" si="1"/>
        <v>C</v>
      </c>
    </row>
    <row r="39" spans="2:11" x14ac:dyDescent="0.2">
      <c r="B39" s="71">
        <v>23686037</v>
      </c>
      <c r="C39" s="71" t="s">
        <v>75</v>
      </c>
      <c r="D39" s="71" t="s">
        <v>76</v>
      </c>
      <c r="E39" s="71">
        <v>93</v>
      </c>
      <c r="F39" s="71">
        <v>94</v>
      </c>
      <c r="G39" s="71">
        <v>99</v>
      </c>
      <c r="H39" s="71">
        <v>95</v>
      </c>
      <c r="I39" s="71">
        <v>95.25</v>
      </c>
      <c r="J39" s="71">
        <f t="shared" si="0"/>
        <v>95.387500000000003</v>
      </c>
      <c r="K39" s="71" t="str">
        <f t="shared" si="1"/>
        <v>A</v>
      </c>
    </row>
    <row r="40" spans="2:11" x14ac:dyDescent="0.2">
      <c r="B40" s="71">
        <v>23563708</v>
      </c>
      <c r="C40" s="71" t="s">
        <v>77</v>
      </c>
      <c r="D40" s="71" t="s">
        <v>78</v>
      </c>
      <c r="E40" s="71">
        <v>31</v>
      </c>
      <c r="F40" s="71">
        <v>37</v>
      </c>
      <c r="G40" s="71">
        <v>52</v>
      </c>
      <c r="H40" s="71">
        <v>40</v>
      </c>
      <c r="I40" s="71">
        <v>40</v>
      </c>
      <c r="J40" s="71">
        <f t="shared" si="0"/>
        <v>40.299999999999997</v>
      </c>
      <c r="K40" s="71" t="str">
        <f t="shared" si="1"/>
        <v>F</v>
      </c>
    </row>
    <row r="41" spans="2:11" x14ac:dyDescent="0.2">
      <c r="B41" s="71">
        <v>23688909</v>
      </c>
      <c r="C41" s="71" t="s">
        <v>79</v>
      </c>
      <c r="D41" s="71" t="s">
        <v>80</v>
      </c>
      <c r="E41" s="71">
        <v>85</v>
      </c>
      <c r="F41" s="71">
        <v>86</v>
      </c>
      <c r="G41" s="71">
        <v>90</v>
      </c>
      <c r="H41" s="71">
        <v>87</v>
      </c>
      <c r="I41" s="71">
        <v>87</v>
      </c>
      <c r="J41" s="71">
        <f t="shared" si="0"/>
        <v>87.075000000000003</v>
      </c>
      <c r="K41" s="71" t="str">
        <f t="shared" si="1"/>
        <v>B+</v>
      </c>
    </row>
    <row r="42" spans="2:11" x14ac:dyDescent="0.2">
      <c r="B42" s="71">
        <v>23634419</v>
      </c>
      <c r="C42" s="71" t="s">
        <v>81</v>
      </c>
      <c r="D42" s="71" t="s">
        <v>82</v>
      </c>
      <c r="E42" s="71">
        <v>67</v>
      </c>
      <c r="F42" s="71">
        <v>69</v>
      </c>
      <c r="G42" s="71">
        <v>68</v>
      </c>
      <c r="H42" s="71">
        <v>68</v>
      </c>
      <c r="I42" s="71">
        <v>68</v>
      </c>
      <c r="J42" s="71">
        <f t="shared" si="0"/>
        <v>68</v>
      </c>
      <c r="K42" s="71" t="str">
        <f t="shared" si="1"/>
        <v>D</v>
      </c>
    </row>
    <row r="43" spans="2:11" x14ac:dyDescent="0.2">
      <c r="B43" s="71">
        <v>23698407</v>
      </c>
      <c r="C43" s="71" t="s">
        <v>83</v>
      </c>
      <c r="D43" s="71" t="s">
        <v>84</v>
      </c>
      <c r="E43" s="71">
        <v>70</v>
      </c>
      <c r="F43" s="71">
        <v>75</v>
      </c>
      <c r="G43" s="71">
        <v>76</v>
      </c>
      <c r="H43" s="71">
        <v>73</v>
      </c>
      <c r="I43" s="71">
        <v>73.5</v>
      </c>
      <c r="J43" s="71">
        <f t="shared" si="0"/>
        <v>73.650000000000006</v>
      </c>
      <c r="K43" s="71" t="str">
        <f t="shared" si="1"/>
        <v>C</v>
      </c>
    </row>
    <row r="44" spans="2:11" x14ac:dyDescent="0.2">
      <c r="B44" s="71">
        <v>23552303</v>
      </c>
      <c r="C44" s="71" t="s">
        <v>85</v>
      </c>
      <c r="D44" s="71" t="s">
        <v>86</v>
      </c>
      <c r="E44" s="71">
        <v>86</v>
      </c>
      <c r="F44" s="71">
        <v>87</v>
      </c>
      <c r="G44" s="71">
        <v>90</v>
      </c>
      <c r="H44" s="71">
        <v>87</v>
      </c>
      <c r="I44" s="71">
        <v>87.5</v>
      </c>
      <c r="J44" s="71">
        <f t="shared" si="0"/>
        <v>87.649999999999991</v>
      </c>
      <c r="K44" s="71" t="str">
        <f t="shared" si="1"/>
        <v>B+</v>
      </c>
    </row>
    <row r="45" spans="2:11" x14ac:dyDescent="0.2">
      <c r="B45" s="71">
        <v>23554960</v>
      </c>
      <c r="C45" s="71" t="s">
        <v>87</v>
      </c>
      <c r="D45" s="71" t="s">
        <v>88</v>
      </c>
      <c r="E45" s="71">
        <v>50</v>
      </c>
      <c r="F45" s="71">
        <v>49</v>
      </c>
      <c r="G45" s="71">
        <v>50</v>
      </c>
      <c r="H45" s="71">
        <v>49</v>
      </c>
      <c r="I45" s="71">
        <v>49.5</v>
      </c>
      <c r="J45" s="71">
        <f t="shared" si="0"/>
        <v>49.6</v>
      </c>
      <c r="K45" s="71" t="str">
        <f t="shared" si="1"/>
        <v>F</v>
      </c>
    </row>
    <row r="46" spans="2:11" x14ac:dyDescent="0.2">
      <c r="B46" s="71">
        <v>23551669</v>
      </c>
      <c r="C46" s="71" t="s">
        <v>89</v>
      </c>
      <c r="D46" s="71" t="s">
        <v>90</v>
      </c>
      <c r="E46" s="71">
        <v>81</v>
      </c>
      <c r="F46" s="71">
        <v>85</v>
      </c>
      <c r="G46" s="71">
        <v>91</v>
      </c>
      <c r="H46" s="71">
        <v>85</v>
      </c>
      <c r="I46" s="71">
        <v>85.5</v>
      </c>
      <c r="J46" s="71">
        <f t="shared" si="0"/>
        <v>85.724999999999994</v>
      </c>
      <c r="K46" s="71" t="str">
        <f t="shared" si="1"/>
        <v>B</v>
      </c>
    </row>
    <row r="47" spans="2:11" x14ac:dyDescent="0.2">
      <c r="B47" s="71">
        <v>23602592</v>
      </c>
      <c r="C47" s="71" t="s">
        <v>91</v>
      </c>
      <c r="D47" s="71" t="s">
        <v>92</v>
      </c>
      <c r="E47" s="71">
        <v>35</v>
      </c>
      <c r="F47" s="71">
        <v>55</v>
      </c>
      <c r="G47" s="71">
        <v>49</v>
      </c>
      <c r="H47" s="71">
        <v>46</v>
      </c>
      <c r="I47" s="71">
        <v>46.25</v>
      </c>
      <c r="J47" s="71">
        <f t="shared" si="0"/>
        <v>46.362499999999997</v>
      </c>
      <c r="K47" s="71" t="str">
        <f t="shared" si="1"/>
        <v>F</v>
      </c>
    </row>
    <row r="48" spans="2:11" x14ac:dyDescent="0.2">
      <c r="B48" s="71">
        <v>23698874</v>
      </c>
      <c r="C48" s="71" t="s">
        <v>93</v>
      </c>
      <c r="D48" s="71" t="s">
        <v>94</v>
      </c>
      <c r="E48" s="71">
        <v>56</v>
      </c>
      <c r="F48" s="71">
        <v>35</v>
      </c>
      <c r="G48" s="71">
        <v>33</v>
      </c>
      <c r="H48" s="71">
        <v>41</v>
      </c>
      <c r="I48" s="71">
        <v>41.25</v>
      </c>
      <c r="J48" s="71">
        <f t="shared" si="0"/>
        <v>41.087500000000006</v>
      </c>
      <c r="K48" s="71" t="str">
        <f t="shared" si="1"/>
        <v>F</v>
      </c>
    </row>
    <row r="49" spans="2:11" x14ac:dyDescent="0.2">
      <c r="B49" s="71">
        <v>23512829</v>
      </c>
      <c r="C49" s="71" t="s">
        <v>95</v>
      </c>
      <c r="D49" s="71" t="s">
        <v>96</v>
      </c>
      <c r="E49" s="71">
        <v>85</v>
      </c>
      <c r="F49" s="71">
        <v>89</v>
      </c>
      <c r="G49" s="71">
        <v>91</v>
      </c>
      <c r="H49" s="71">
        <v>88</v>
      </c>
      <c r="I49" s="71">
        <v>88.25</v>
      </c>
      <c r="J49" s="71">
        <f t="shared" si="0"/>
        <v>88.362500000000011</v>
      </c>
      <c r="K49" s="71" t="str">
        <f t="shared" si="1"/>
        <v>B+</v>
      </c>
    </row>
    <row r="50" spans="2:11" x14ac:dyDescent="0.2">
      <c r="B50" s="71">
        <v>23665210</v>
      </c>
      <c r="C50" s="71" t="s">
        <v>97</v>
      </c>
      <c r="D50" s="71" t="s">
        <v>98</v>
      </c>
      <c r="E50" s="71">
        <v>30</v>
      </c>
      <c r="F50" s="71">
        <v>56</v>
      </c>
      <c r="G50" s="71">
        <v>40</v>
      </c>
      <c r="H50" s="71">
        <v>42</v>
      </c>
      <c r="I50" s="71">
        <v>42</v>
      </c>
      <c r="J50" s="71">
        <f t="shared" si="0"/>
        <v>41.95</v>
      </c>
      <c r="K50" s="71" t="str">
        <f t="shared" si="1"/>
        <v>F</v>
      </c>
    </row>
    <row r="51" spans="2:11" x14ac:dyDescent="0.2">
      <c r="B51" s="71">
        <v>23614752</v>
      </c>
      <c r="C51" s="71" t="s">
        <v>99</v>
      </c>
      <c r="D51" s="71" t="s">
        <v>100</v>
      </c>
      <c r="E51" s="71">
        <v>33</v>
      </c>
      <c r="F51" s="71">
        <v>49</v>
      </c>
      <c r="G51" s="71">
        <v>31</v>
      </c>
      <c r="H51" s="71">
        <v>37</v>
      </c>
      <c r="I51" s="71">
        <v>37.5</v>
      </c>
      <c r="J51" s="71">
        <f t="shared" si="0"/>
        <v>37.424999999999997</v>
      </c>
      <c r="K51" s="71" t="str">
        <f t="shared" si="1"/>
        <v>F</v>
      </c>
    </row>
    <row r="52" spans="2:11" x14ac:dyDescent="0.2">
      <c r="B52" s="71">
        <v>23648989</v>
      </c>
      <c r="C52" s="71" t="s">
        <v>101</v>
      </c>
      <c r="D52" s="71" t="s">
        <v>102</v>
      </c>
      <c r="E52" s="71">
        <v>100</v>
      </c>
      <c r="F52" s="71">
        <v>91</v>
      </c>
      <c r="G52" s="71">
        <v>99</v>
      </c>
      <c r="H52" s="71">
        <v>96</v>
      </c>
      <c r="I52" s="71">
        <v>96.5</v>
      </c>
      <c r="J52" s="71">
        <f t="shared" si="0"/>
        <v>96.649999999999991</v>
      </c>
      <c r="K52" s="71" t="str">
        <f t="shared" si="1"/>
        <v>A</v>
      </c>
    </row>
    <row r="53" spans="2:11" x14ac:dyDescent="0.2">
      <c r="B53" s="71">
        <v>23599332</v>
      </c>
      <c r="C53" s="71" t="s">
        <v>103</v>
      </c>
      <c r="D53" s="71" t="s">
        <v>104</v>
      </c>
      <c r="E53" s="71">
        <v>93</v>
      </c>
      <c r="F53" s="71">
        <v>93</v>
      </c>
      <c r="G53" s="71">
        <v>98</v>
      </c>
      <c r="H53" s="71">
        <v>94</v>
      </c>
      <c r="I53" s="71">
        <v>94.5</v>
      </c>
      <c r="J53" s="71">
        <f t="shared" si="0"/>
        <v>94.674999999999997</v>
      </c>
      <c r="K53" s="71" t="str">
        <f t="shared" si="1"/>
        <v>A</v>
      </c>
    </row>
    <row r="54" spans="2:11" x14ac:dyDescent="0.2">
      <c r="B54" s="71">
        <v>23513165</v>
      </c>
      <c r="C54" s="71" t="s">
        <v>105</v>
      </c>
      <c r="D54" s="71" t="s">
        <v>106</v>
      </c>
      <c r="E54" s="71">
        <v>66</v>
      </c>
      <c r="F54" s="71">
        <v>67</v>
      </c>
      <c r="G54" s="71">
        <v>66</v>
      </c>
      <c r="H54" s="71">
        <v>66</v>
      </c>
      <c r="I54" s="71">
        <v>66.25</v>
      </c>
      <c r="J54" s="71">
        <f t="shared" si="0"/>
        <v>66.287499999999994</v>
      </c>
      <c r="K54" s="71" t="str">
        <f t="shared" si="1"/>
        <v>D</v>
      </c>
    </row>
    <row r="55" spans="2:11" x14ac:dyDescent="0.2">
      <c r="B55" s="71">
        <v>23697900</v>
      </c>
      <c r="C55" s="71" t="s">
        <v>107</v>
      </c>
      <c r="D55" s="71" t="s">
        <v>108</v>
      </c>
      <c r="E55" s="71">
        <v>70</v>
      </c>
      <c r="F55" s="71">
        <v>77</v>
      </c>
      <c r="G55" s="71">
        <v>75</v>
      </c>
      <c r="H55" s="71">
        <v>74</v>
      </c>
      <c r="I55" s="71">
        <v>74</v>
      </c>
      <c r="J55" s="71">
        <f t="shared" si="0"/>
        <v>74.025000000000006</v>
      </c>
      <c r="K55" s="71" t="str">
        <f t="shared" si="1"/>
        <v>C</v>
      </c>
    </row>
    <row r="56" spans="2:11" x14ac:dyDescent="0.2">
      <c r="B56" s="71">
        <v>23511179</v>
      </c>
      <c r="C56" s="71" t="s">
        <v>109</v>
      </c>
      <c r="D56" s="71" t="s">
        <v>110</v>
      </c>
      <c r="E56" s="71">
        <v>38</v>
      </c>
      <c r="F56" s="71">
        <v>35</v>
      </c>
      <c r="G56" s="71">
        <v>47</v>
      </c>
      <c r="H56" s="71">
        <v>40</v>
      </c>
      <c r="I56" s="71">
        <v>40</v>
      </c>
      <c r="J56" s="71">
        <f t="shared" si="0"/>
        <v>40.174999999999997</v>
      </c>
      <c r="K56" s="71" t="str">
        <f t="shared" si="1"/>
        <v>F</v>
      </c>
    </row>
    <row r="57" spans="2:11" x14ac:dyDescent="0.2">
      <c r="B57" s="71">
        <v>23614522</v>
      </c>
      <c r="C57" s="71" t="s">
        <v>111</v>
      </c>
      <c r="D57" s="71" t="s">
        <v>35</v>
      </c>
      <c r="E57" s="71">
        <v>30</v>
      </c>
      <c r="F57" s="71">
        <v>39</v>
      </c>
      <c r="G57" s="71">
        <v>64</v>
      </c>
      <c r="H57" s="71">
        <v>44</v>
      </c>
      <c r="I57" s="71">
        <v>44.25</v>
      </c>
      <c r="J57" s="71">
        <f t="shared" si="0"/>
        <v>44.787500000000001</v>
      </c>
      <c r="K57" s="71" t="str">
        <f t="shared" si="1"/>
        <v>F</v>
      </c>
    </row>
    <row r="58" spans="2:11" x14ac:dyDescent="0.2">
      <c r="B58" s="71">
        <v>23589906</v>
      </c>
      <c r="C58" s="71" t="s">
        <v>112</v>
      </c>
      <c r="D58" s="71" t="s">
        <v>113</v>
      </c>
      <c r="E58" s="71">
        <v>63</v>
      </c>
      <c r="F58" s="71">
        <v>67</v>
      </c>
      <c r="G58" s="71">
        <v>65</v>
      </c>
      <c r="H58" s="71">
        <v>65</v>
      </c>
      <c r="I58" s="71">
        <v>65</v>
      </c>
      <c r="J58" s="71">
        <f t="shared" si="0"/>
        <v>65</v>
      </c>
      <c r="K58" s="71" t="str">
        <f t="shared" si="1"/>
        <v>D</v>
      </c>
    </row>
    <row r="59" spans="2:11" x14ac:dyDescent="0.2">
      <c r="B59" s="71">
        <v>23579559</v>
      </c>
      <c r="C59" s="71" t="s">
        <v>114</v>
      </c>
      <c r="D59" s="71" t="s">
        <v>115</v>
      </c>
      <c r="E59" s="71">
        <v>40</v>
      </c>
      <c r="F59" s="71">
        <v>33</v>
      </c>
      <c r="G59" s="71">
        <v>41</v>
      </c>
      <c r="H59" s="71">
        <v>38</v>
      </c>
      <c r="I59" s="71">
        <v>38</v>
      </c>
      <c r="J59" s="71">
        <f t="shared" si="0"/>
        <v>38.075000000000003</v>
      </c>
      <c r="K59" s="71" t="str">
        <f t="shared" si="1"/>
        <v>F</v>
      </c>
    </row>
    <row r="60" spans="2:11" x14ac:dyDescent="0.2">
      <c r="B60" s="71">
        <v>23512527</v>
      </c>
      <c r="C60" s="71" t="s">
        <v>116</v>
      </c>
      <c r="D60" s="71" t="s">
        <v>117</v>
      </c>
      <c r="E60" s="71">
        <v>95</v>
      </c>
      <c r="F60" s="71">
        <v>91</v>
      </c>
      <c r="G60" s="71">
        <v>92</v>
      </c>
      <c r="H60" s="71">
        <v>92</v>
      </c>
      <c r="I60" s="71">
        <v>92.5</v>
      </c>
      <c r="J60" s="71">
        <f t="shared" si="0"/>
        <v>92.574999999999989</v>
      </c>
      <c r="K60" s="71" t="str">
        <f t="shared" si="1"/>
        <v>A-</v>
      </c>
    </row>
    <row r="61" spans="2:11" x14ac:dyDescent="0.2">
      <c r="B61" s="71">
        <v>23655570</v>
      </c>
      <c r="C61" s="71" t="s">
        <v>118</v>
      </c>
      <c r="D61" s="71" t="s">
        <v>119</v>
      </c>
      <c r="E61" s="71">
        <v>74</v>
      </c>
      <c r="F61" s="71">
        <v>80</v>
      </c>
      <c r="G61" s="71">
        <v>88</v>
      </c>
      <c r="H61" s="71">
        <v>80</v>
      </c>
      <c r="I61" s="71">
        <v>80.5</v>
      </c>
      <c r="J61" s="71">
        <f t="shared" si="0"/>
        <v>80.775000000000006</v>
      </c>
      <c r="K61" s="71" t="str">
        <f t="shared" si="1"/>
        <v>B-</v>
      </c>
    </row>
    <row r="62" spans="2:11" x14ac:dyDescent="0.2">
      <c r="B62" s="71">
        <v>23552203</v>
      </c>
      <c r="C62" s="71" t="s">
        <v>120</v>
      </c>
      <c r="D62" s="71" t="s">
        <v>121</v>
      </c>
      <c r="E62" s="71">
        <v>45</v>
      </c>
      <c r="F62" s="71">
        <v>36</v>
      </c>
      <c r="G62" s="71">
        <v>58</v>
      </c>
      <c r="H62" s="71">
        <v>46</v>
      </c>
      <c r="I62" s="71">
        <v>46.25</v>
      </c>
      <c r="J62" s="71">
        <f t="shared" si="0"/>
        <v>46.587499999999999</v>
      </c>
      <c r="K62" s="71" t="str">
        <f t="shared" si="1"/>
        <v>F</v>
      </c>
    </row>
    <row r="63" spans="2:11" x14ac:dyDescent="0.2">
      <c r="B63" s="71">
        <v>23590970</v>
      </c>
      <c r="C63" s="71" t="s">
        <v>122</v>
      </c>
      <c r="D63" s="71" t="s">
        <v>123</v>
      </c>
      <c r="E63" s="71">
        <v>45</v>
      </c>
      <c r="F63" s="71">
        <v>33</v>
      </c>
      <c r="G63" s="71">
        <v>55</v>
      </c>
      <c r="H63" s="71">
        <v>44</v>
      </c>
      <c r="I63" s="71">
        <v>44.25</v>
      </c>
      <c r="J63" s="71">
        <f t="shared" si="0"/>
        <v>44.5625</v>
      </c>
      <c r="K63" s="71" t="str">
        <f t="shared" si="1"/>
        <v>F</v>
      </c>
    </row>
    <row r="64" spans="2:11" x14ac:dyDescent="0.2">
      <c r="B64" s="71">
        <v>23574855</v>
      </c>
      <c r="C64" s="71" t="s">
        <v>124</v>
      </c>
      <c r="D64" s="71" t="s">
        <v>125</v>
      </c>
      <c r="E64" s="71">
        <v>41</v>
      </c>
      <c r="F64" s="71">
        <v>34</v>
      </c>
      <c r="G64" s="71">
        <v>62</v>
      </c>
      <c r="H64" s="71">
        <v>45</v>
      </c>
      <c r="I64" s="71">
        <v>45.5</v>
      </c>
      <c r="J64" s="71">
        <f t="shared" si="0"/>
        <v>46</v>
      </c>
      <c r="K64" s="71" t="str">
        <f t="shared" si="1"/>
        <v>F</v>
      </c>
    </row>
  </sheetData>
  <conditionalFormatting sqref="K5:K12">
    <cfRule type="expression" dxfId="22" priority="1">
      <formula>"($K$6:$K$12&lt;=$K$5z&lt;$K$7:$K$12)"</formula>
    </cfRule>
  </conditionalFormatting>
  <dataValidations count="1">
    <dataValidation type="list" allowBlank="1" showInputMessage="1" showErrorMessage="1" sqref="D10" xr:uid="{A54D4BDA-2F72-4B7D-9220-59DF304474C1}">
      <formula1>$D$15:$D$64</formula1>
    </dataValidation>
  </dataValidations>
  <hyperlinks>
    <hyperlink ref="A1" r:id="rId1" xr:uid="{160FEAEE-2709-45AF-94BB-3CE5546F6C3B}"/>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7BA81-1D01-DC4F-BF16-C92E4B6F27C3}">
  <sheetPr codeName="Sheet10"/>
  <dimension ref="A1:H21"/>
  <sheetViews>
    <sheetView workbookViewId="0">
      <selection activeCell="M18" sqref="M18"/>
    </sheetView>
  </sheetViews>
  <sheetFormatPr baseColWidth="10" defaultColWidth="11" defaultRowHeight="16" x14ac:dyDescent="0.2"/>
  <cols>
    <col min="1" max="1" width="26.5" style="69" bestFit="1" customWidth="1"/>
    <col min="2" max="2" width="10" style="69" bestFit="1" customWidth="1"/>
    <col min="3" max="3" width="10.33203125" style="69" customWidth="1"/>
    <col min="4" max="4" width="6" style="69" bestFit="1" customWidth="1"/>
    <col min="5" max="5" width="15.5" style="69" customWidth="1"/>
    <col min="6" max="6" width="9.1640625" style="69" bestFit="1" customWidth="1"/>
    <col min="7" max="7" width="26.1640625" style="69" bestFit="1" customWidth="1"/>
    <col min="8" max="8" width="17.6640625" style="69" customWidth="1"/>
    <col min="9" max="16384" width="11" style="69"/>
  </cols>
  <sheetData>
    <row r="1" spans="1:8" x14ac:dyDescent="0.2">
      <c r="A1" s="78" t="s">
        <v>157</v>
      </c>
    </row>
    <row r="2" spans="1:8" x14ac:dyDescent="0.2">
      <c r="A2" s="60" t="s">
        <v>183</v>
      </c>
      <c r="B2" s="67" t="s">
        <v>184</v>
      </c>
      <c r="E2" s="61" t="s">
        <v>184</v>
      </c>
      <c r="F2" s="61" t="s">
        <v>185</v>
      </c>
      <c r="G2" s="61" t="s">
        <v>186</v>
      </c>
    </row>
    <row r="3" spans="1:8" x14ac:dyDescent="0.2">
      <c r="A3" s="62" t="s">
        <v>32</v>
      </c>
      <c r="B3" s="81">
        <f>VLOOKUP($A$3,'One Variable Data'!$D$15:$J$64,7)</f>
        <v>76.650000000000006</v>
      </c>
      <c r="E3" s="82" t="s">
        <v>187</v>
      </c>
      <c r="F3" s="83">
        <v>0.1</v>
      </c>
      <c r="G3" s="84">
        <f>F3*10000</f>
        <v>1000</v>
      </c>
    </row>
    <row r="4" spans="1:8" x14ac:dyDescent="0.2">
      <c r="E4" s="85" t="s">
        <v>188</v>
      </c>
      <c r="F4" s="75">
        <v>0.2</v>
      </c>
      <c r="G4" s="86">
        <f t="shared" ref="G4:G6" si="0">F4*10000</f>
        <v>2000</v>
      </c>
    </row>
    <row r="5" spans="1:8" x14ac:dyDescent="0.2">
      <c r="A5" s="82" t="s">
        <v>189</v>
      </c>
      <c r="B5" s="84">
        <v>10000</v>
      </c>
      <c r="E5" s="85" t="s">
        <v>190</v>
      </c>
      <c r="F5" s="75">
        <v>0.3</v>
      </c>
      <c r="G5" s="86">
        <f t="shared" si="0"/>
        <v>3000</v>
      </c>
    </row>
    <row r="6" spans="1:8" x14ac:dyDescent="0.2">
      <c r="A6" s="85" t="s">
        <v>191</v>
      </c>
      <c r="B6" s="87">
        <v>2000</v>
      </c>
      <c r="E6" s="80" t="s">
        <v>192</v>
      </c>
      <c r="F6" s="88">
        <v>0.4</v>
      </c>
      <c r="G6" s="89">
        <f t="shared" si="0"/>
        <v>4000</v>
      </c>
    </row>
    <row r="7" spans="1:8" x14ac:dyDescent="0.2">
      <c r="A7" s="85" t="s">
        <v>193</v>
      </c>
      <c r="B7" s="86">
        <f>B5-B6</f>
        <v>8000</v>
      </c>
    </row>
    <row r="8" spans="1:8" x14ac:dyDescent="0.2">
      <c r="A8" s="85" t="s">
        <v>194</v>
      </c>
      <c r="B8" s="90">
        <v>1.2E-2</v>
      </c>
    </row>
    <row r="9" spans="1:8" x14ac:dyDescent="0.2">
      <c r="A9" s="85" t="s">
        <v>195</v>
      </c>
      <c r="B9" s="91">
        <v>20</v>
      </c>
    </row>
    <row r="10" spans="1:8" x14ac:dyDescent="0.2">
      <c r="A10" s="85" t="s">
        <v>196</v>
      </c>
      <c r="B10" s="90">
        <v>5.0000000000000001E-3</v>
      </c>
    </row>
    <row r="11" spans="1:8" x14ac:dyDescent="0.2">
      <c r="A11" s="80" t="s">
        <v>197</v>
      </c>
      <c r="B11" s="92">
        <f>PMT(B10,B9,-B7)</f>
        <v>421.33161638258247</v>
      </c>
    </row>
    <row r="14" spans="1:8" x14ac:dyDescent="0.2">
      <c r="A14" s="132" t="s">
        <v>198</v>
      </c>
      <c r="B14" s="132"/>
      <c r="D14" s="133" t="s">
        <v>199</v>
      </c>
      <c r="E14" s="133"/>
      <c r="F14" s="133"/>
      <c r="G14" s="133"/>
      <c r="H14" s="133"/>
    </row>
    <row r="15" spans="1:8" x14ac:dyDescent="0.2">
      <c r="A15" s="63"/>
      <c r="B15" s="64">
        <f>B11</f>
        <v>421.33161638258247</v>
      </c>
      <c r="D15" s="64">
        <f>B11</f>
        <v>421.33161638258247</v>
      </c>
      <c r="E15" s="65">
        <v>10000</v>
      </c>
      <c r="F15" s="65">
        <v>15000</v>
      </c>
      <c r="G15" s="66">
        <v>20000</v>
      </c>
      <c r="H15" s="66">
        <v>25000</v>
      </c>
    </row>
    <row r="16" spans="1:8" x14ac:dyDescent="0.2">
      <c r="A16" s="93">
        <v>2.5000000000000001E-3</v>
      </c>
      <c r="B16" s="94">
        <v>526.66452047822804</v>
      </c>
      <c r="D16" s="93">
        <v>2.5000000000000001E-3</v>
      </c>
      <c r="E16" s="95">
        <v>526.66452047822804</v>
      </c>
      <c r="F16" s="95">
        <v>789.99678071734206</v>
      </c>
      <c r="G16" s="95">
        <v>1053.3290409564561</v>
      </c>
      <c r="H16" s="94">
        <v>1316.6613011955701</v>
      </c>
    </row>
    <row r="17" spans="1:8" x14ac:dyDescent="0.2">
      <c r="A17" s="96">
        <v>5.0000000000000001E-3</v>
      </c>
      <c r="B17" s="97">
        <v>526.66452047822804</v>
      </c>
      <c r="D17" s="96">
        <v>5.0000000000000001E-3</v>
      </c>
      <c r="E17" s="98">
        <v>526.66452047822804</v>
      </c>
      <c r="F17" s="98">
        <v>789.99678071734206</v>
      </c>
      <c r="G17" s="98">
        <v>1053.3290409564561</v>
      </c>
      <c r="H17" s="97">
        <v>1316.6613011955701</v>
      </c>
    </row>
    <row r="18" spans="1:8" x14ac:dyDescent="0.2">
      <c r="A18" s="96">
        <v>7.4999999999999997E-3</v>
      </c>
      <c r="B18" s="97">
        <v>526.66452047822804</v>
      </c>
      <c r="D18" s="96">
        <v>7.4999999999999997E-3</v>
      </c>
      <c r="E18" s="98">
        <v>526.66452047822804</v>
      </c>
      <c r="F18" s="98">
        <v>789.99678071734206</v>
      </c>
      <c r="G18" s="98">
        <v>1053.3290409564561</v>
      </c>
      <c r="H18" s="97">
        <v>1316.6613011955701</v>
      </c>
    </row>
    <row r="19" spans="1:8" x14ac:dyDescent="0.2">
      <c r="A19" s="96">
        <v>0.01</v>
      </c>
      <c r="B19" s="97">
        <v>526.66452047822804</v>
      </c>
      <c r="D19" s="96">
        <v>0.01</v>
      </c>
      <c r="E19" s="98">
        <v>526.66452047822804</v>
      </c>
      <c r="F19" s="98">
        <v>789.99678071734206</v>
      </c>
      <c r="G19" s="98">
        <v>1053.3290409564561</v>
      </c>
      <c r="H19" s="97">
        <v>1316.6613011955701</v>
      </c>
    </row>
    <row r="20" spans="1:8" x14ac:dyDescent="0.2">
      <c r="A20" s="96">
        <v>1.2500000000000001E-2</v>
      </c>
      <c r="B20" s="97">
        <v>526.66452047822804</v>
      </c>
      <c r="D20" s="96">
        <v>1.2500000000000001E-2</v>
      </c>
      <c r="E20" s="98">
        <v>526.66452047822804</v>
      </c>
      <c r="F20" s="98">
        <v>789.99678071734206</v>
      </c>
      <c r="G20" s="98">
        <v>1053.3290409564561</v>
      </c>
      <c r="H20" s="97">
        <v>1316.6613011955701</v>
      </c>
    </row>
    <row r="21" spans="1:8" x14ac:dyDescent="0.2">
      <c r="A21" s="99">
        <v>1.5000000000000001E-2</v>
      </c>
      <c r="B21" s="100">
        <v>526.66452047822804</v>
      </c>
      <c r="D21" s="99">
        <v>1.5000000000000001E-2</v>
      </c>
      <c r="E21" s="101">
        <v>526.66452047822804</v>
      </c>
      <c r="F21" s="101">
        <v>789.99678071734206</v>
      </c>
      <c r="G21" s="101">
        <v>1053.3290409564561</v>
      </c>
      <c r="H21" s="100">
        <v>1316.6613011955701</v>
      </c>
    </row>
  </sheetData>
  <mergeCells count="2">
    <mergeCell ref="A14:B14"/>
    <mergeCell ref="D14:H14"/>
  </mergeCells>
  <dataValidations count="1">
    <dataValidation type="list" allowBlank="1" showInputMessage="1" showErrorMessage="1" sqref="B6" xr:uid="{DEA32392-9428-49D4-9176-1C365BA66A67}">
      <formula1>$G$3:$G$6</formula1>
    </dataValidation>
  </dataValidations>
  <hyperlinks>
    <hyperlink ref="A1" r:id="rId1" xr:uid="{85768A19-6DDF-4286-B857-4BC76F0ED2F6}"/>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0C865-2E38-C44F-B065-7F990BED9ED5}">
  <sheetPr codeName="Sheet11"/>
  <dimension ref="A1:Q51"/>
  <sheetViews>
    <sheetView workbookViewId="0">
      <selection activeCell="S21" sqref="S21:T21"/>
    </sheetView>
  </sheetViews>
  <sheetFormatPr baseColWidth="10" defaultColWidth="11" defaultRowHeight="16" x14ac:dyDescent="0.2"/>
  <cols>
    <col min="1" max="1" width="23.1640625" style="4" bestFit="1" customWidth="1"/>
    <col min="2" max="2" width="16.6640625" style="4" customWidth="1"/>
    <col min="3" max="3" width="15.6640625" style="4" bestFit="1" customWidth="1"/>
    <col min="4" max="4" width="17.1640625" style="4" customWidth="1"/>
    <col min="5" max="5" width="17.5" style="4" bestFit="1" customWidth="1"/>
    <col min="6" max="6" width="15.6640625" style="4" bestFit="1" customWidth="1"/>
    <col min="7" max="7" width="26" style="4" customWidth="1"/>
    <col min="8" max="8" width="19.33203125" style="4" customWidth="1"/>
    <col min="9" max="9" width="15.6640625" style="4" bestFit="1" customWidth="1"/>
    <col min="10" max="11" width="17.5" style="4" bestFit="1" customWidth="1"/>
    <col min="12" max="12" width="23.1640625" style="4" bestFit="1" customWidth="1"/>
    <col min="13" max="13" width="17.5" style="4" bestFit="1" customWidth="1"/>
    <col min="14" max="15" width="11" style="4"/>
    <col min="16" max="16" width="17.83203125" style="4" customWidth="1"/>
    <col min="17" max="17" width="22.6640625" style="4" customWidth="1"/>
    <col min="18" max="16384" width="11" style="4"/>
  </cols>
  <sheetData>
    <row r="1" spans="1:17" ht="78" customHeight="1" x14ac:dyDescent="0.3">
      <c r="A1" s="49" t="s">
        <v>11</v>
      </c>
      <c r="B1" s="50" t="s">
        <v>12</v>
      </c>
      <c r="C1" s="50" t="s">
        <v>13</v>
      </c>
      <c r="D1" s="50" t="s">
        <v>14</v>
      </c>
      <c r="E1" s="50" t="s">
        <v>15</v>
      </c>
      <c r="F1" s="50" t="s">
        <v>16</v>
      </c>
      <c r="G1" s="50" t="s">
        <v>17</v>
      </c>
      <c r="H1" s="50" t="s">
        <v>18</v>
      </c>
      <c r="I1" s="50" t="s">
        <v>19</v>
      </c>
      <c r="J1" s="50" t="s">
        <v>20</v>
      </c>
      <c r="K1" s="50" t="s">
        <v>21</v>
      </c>
      <c r="L1" s="50" t="s">
        <v>22</v>
      </c>
      <c r="M1" s="51" t="s">
        <v>23</v>
      </c>
    </row>
    <row r="2" spans="1:17" x14ac:dyDescent="0.2">
      <c r="A2" s="38">
        <v>23672743</v>
      </c>
      <c r="B2" s="3" t="s">
        <v>27</v>
      </c>
      <c r="C2" s="3" t="s">
        <v>28</v>
      </c>
      <c r="D2" s="3">
        <v>57</v>
      </c>
      <c r="E2" s="3">
        <v>49</v>
      </c>
      <c r="F2" s="3">
        <v>37</v>
      </c>
      <c r="G2" s="3">
        <v>47</v>
      </c>
      <c r="H2" s="3">
        <v>47.5</v>
      </c>
      <c r="I2" s="10">
        <f t="shared" ref="I2:I33" si="0">(22.5%*D2)+(22.5%*E2)+(25%*F2)+(5%*G2)+(25%*H2)</f>
        <v>47.325000000000003</v>
      </c>
      <c r="J2" s="3" t="str">
        <f t="shared" ref="J2:J33" si="1">IF(I2&gt;=93,"A",IF(I2&gt;=90,"A-",IF(I2&gt;=87,"B+",IF(I2&gt;=83,"B",IF(I2&gt;=80,"B-",IF(I2&gt;=77,"C+",IF(I2&gt;=73,"C",IF(I2&gt;=70,"C-",IF(I2&gt;=60,"D",IF(I2&lt;60,"F"))))))))))</f>
        <v>F</v>
      </c>
      <c r="K2" s="3">
        <f t="shared" ref="K2:K33" ca="1" si="2">IF(I2&lt;50,RANDBETWEEN(10,15),RANDBETWEEN(0,9))</f>
        <v>13</v>
      </c>
      <c r="L2" s="3" t="str">
        <f t="shared" ref="L2:L33" ca="1" si="3">IF(AND(I2&lt;=60,K2&gt;=10),"Yes","No")</f>
        <v>Yes</v>
      </c>
      <c r="M2" s="32" t="str">
        <f t="shared" ref="M2:M33" ca="1" si="4">IF(AND(I2&gt;=87,K2&lt;=5),"Yes","No")</f>
        <v>No</v>
      </c>
    </row>
    <row r="3" spans="1:17" ht="23" x14ac:dyDescent="0.3">
      <c r="A3" s="38">
        <v>23570945</v>
      </c>
      <c r="B3" s="3" t="s">
        <v>29</v>
      </c>
      <c r="C3" s="3" t="s">
        <v>30</v>
      </c>
      <c r="D3" s="3">
        <v>88</v>
      </c>
      <c r="E3" s="3">
        <v>86</v>
      </c>
      <c r="F3" s="3">
        <v>94</v>
      </c>
      <c r="G3" s="3">
        <v>89</v>
      </c>
      <c r="H3" s="3">
        <v>89.25</v>
      </c>
      <c r="I3" s="10">
        <f t="shared" si="0"/>
        <v>89.412500000000009</v>
      </c>
      <c r="J3" s="3" t="str">
        <f t="shared" si="1"/>
        <v>B+</v>
      </c>
      <c r="K3" s="3">
        <f t="shared" ca="1" si="2"/>
        <v>4</v>
      </c>
      <c r="L3" s="3" t="str">
        <f t="shared" ca="1" si="3"/>
        <v>No</v>
      </c>
      <c r="M3" s="32" t="str">
        <f t="shared" ca="1" si="4"/>
        <v>Yes</v>
      </c>
      <c r="O3" s="52" t="s">
        <v>24</v>
      </c>
      <c r="P3" s="52" t="s">
        <v>25</v>
      </c>
      <c r="Q3" s="52" t="s">
        <v>26</v>
      </c>
    </row>
    <row r="4" spans="1:17" ht="23" x14ac:dyDescent="0.3">
      <c r="A4" s="38">
        <v>23569340</v>
      </c>
      <c r="B4" s="3" t="s">
        <v>31</v>
      </c>
      <c r="C4" s="3" t="s">
        <v>32</v>
      </c>
      <c r="D4" s="3">
        <v>76</v>
      </c>
      <c r="E4" s="3">
        <v>75</v>
      </c>
      <c r="F4" s="3">
        <v>79</v>
      </c>
      <c r="G4" s="3">
        <v>76</v>
      </c>
      <c r="H4" s="3">
        <v>76.5</v>
      </c>
      <c r="I4" s="10">
        <f t="shared" si="0"/>
        <v>76.650000000000006</v>
      </c>
      <c r="J4" s="3" t="str">
        <f t="shared" si="1"/>
        <v>C</v>
      </c>
      <c r="K4" s="3">
        <f t="shared" ca="1" si="2"/>
        <v>8</v>
      </c>
      <c r="L4" s="3" t="str">
        <f t="shared" ca="1" si="3"/>
        <v>No</v>
      </c>
      <c r="M4" s="32" t="str">
        <f t="shared" ca="1" si="4"/>
        <v>No</v>
      </c>
      <c r="O4" s="5">
        <v>1</v>
      </c>
      <c r="P4" s="5">
        <f t="shared" ref="P4:P13" si="5">INDEX(StudentID,MATCH(Q4,Grades,0))</f>
        <v>23648989</v>
      </c>
      <c r="Q4" s="6" cm="1">
        <f t="array" ref="Q4:Q13">LARGE(Grades,{1;2;3;4;5;6;7;8;9;10})</f>
        <v>96.649999999999991</v>
      </c>
    </row>
    <row r="5" spans="1:17" ht="23" x14ac:dyDescent="0.3">
      <c r="A5" s="38">
        <v>23503674</v>
      </c>
      <c r="B5" s="3" t="s">
        <v>33</v>
      </c>
      <c r="C5" s="3" t="s">
        <v>34</v>
      </c>
      <c r="D5" s="3">
        <v>70</v>
      </c>
      <c r="E5" s="3">
        <v>78</v>
      </c>
      <c r="F5" s="3">
        <v>82</v>
      </c>
      <c r="G5" s="3">
        <v>76</v>
      </c>
      <c r="H5" s="3">
        <v>76.5</v>
      </c>
      <c r="I5" s="10">
        <f t="shared" si="0"/>
        <v>76.724999999999994</v>
      </c>
      <c r="J5" s="3" t="str">
        <f t="shared" si="1"/>
        <v>C</v>
      </c>
      <c r="K5" s="3">
        <f t="shared" ca="1" si="2"/>
        <v>3</v>
      </c>
      <c r="L5" s="3" t="str">
        <f t="shared" ca="1" si="3"/>
        <v>No</v>
      </c>
      <c r="M5" s="32" t="str">
        <f t="shared" ca="1" si="4"/>
        <v>No</v>
      </c>
      <c r="O5" s="5">
        <v>2</v>
      </c>
      <c r="P5" s="5">
        <f t="shared" si="5"/>
        <v>23686037</v>
      </c>
      <c r="Q5" s="6">
        <v>95.387500000000003</v>
      </c>
    </row>
    <row r="6" spans="1:17" ht="23" x14ac:dyDescent="0.3">
      <c r="A6" s="38">
        <v>23545029</v>
      </c>
      <c r="B6" s="3" t="s">
        <v>35</v>
      </c>
      <c r="C6" s="3" t="s">
        <v>36</v>
      </c>
      <c r="D6" s="3">
        <v>77</v>
      </c>
      <c r="E6" s="3">
        <v>79</v>
      </c>
      <c r="F6" s="3">
        <v>81</v>
      </c>
      <c r="G6" s="3">
        <v>79</v>
      </c>
      <c r="H6" s="3">
        <v>79</v>
      </c>
      <c r="I6" s="10">
        <f t="shared" si="0"/>
        <v>79.050000000000011</v>
      </c>
      <c r="J6" s="3" t="str">
        <f t="shared" si="1"/>
        <v>C+</v>
      </c>
      <c r="K6" s="3">
        <f t="shared" ca="1" si="2"/>
        <v>4</v>
      </c>
      <c r="L6" s="3" t="str">
        <f t="shared" ca="1" si="3"/>
        <v>No</v>
      </c>
      <c r="M6" s="32" t="str">
        <f t="shared" ca="1" si="4"/>
        <v>No</v>
      </c>
      <c r="O6" s="5">
        <v>3</v>
      </c>
      <c r="P6" s="5">
        <f t="shared" si="5"/>
        <v>23501390</v>
      </c>
      <c r="Q6" s="6">
        <v>95.237500000000011</v>
      </c>
    </row>
    <row r="7" spans="1:17" ht="23" x14ac:dyDescent="0.3">
      <c r="A7" s="38">
        <v>23555563</v>
      </c>
      <c r="B7" s="3" t="s">
        <v>37</v>
      </c>
      <c r="C7" s="3" t="s">
        <v>38</v>
      </c>
      <c r="D7" s="3">
        <v>65</v>
      </c>
      <c r="E7" s="3">
        <v>66</v>
      </c>
      <c r="F7" s="3">
        <v>72</v>
      </c>
      <c r="G7" s="3">
        <v>67</v>
      </c>
      <c r="H7" s="3">
        <v>67.5</v>
      </c>
      <c r="I7" s="10">
        <f t="shared" si="0"/>
        <v>67.7</v>
      </c>
      <c r="J7" s="3" t="str">
        <f t="shared" si="1"/>
        <v>D</v>
      </c>
      <c r="K7" s="3">
        <f t="shared" ca="1" si="2"/>
        <v>7</v>
      </c>
      <c r="L7" s="3" t="str">
        <f t="shared" ca="1" si="3"/>
        <v>No</v>
      </c>
      <c r="M7" s="32" t="str">
        <f t="shared" ca="1" si="4"/>
        <v>No</v>
      </c>
      <c r="O7" s="5">
        <v>4</v>
      </c>
      <c r="P7" s="5">
        <f t="shared" si="5"/>
        <v>23599332</v>
      </c>
      <c r="Q7" s="6">
        <v>94.674999999999997</v>
      </c>
    </row>
    <row r="8" spans="1:17" ht="23" x14ac:dyDescent="0.3">
      <c r="A8" s="38">
        <v>23544190</v>
      </c>
      <c r="B8" s="3" t="s">
        <v>39</v>
      </c>
      <c r="C8" s="3" t="s">
        <v>40</v>
      </c>
      <c r="D8" s="3">
        <v>53</v>
      </c>
      <c r="E8" s="3">
        <v>42</v>
      </c>
      <c r="F8" s="3">
        <v>40</v>
      </c>
      <c r="G8" s="3">
        <v>45</v>
      </c>
      <c r="H8" s="3">
        <v>45</v>
      </c>
      <c r="I8" s="10">
        <f t="shared" si="0"/>
        <v>44.875</v>
      </c>
      <c r="J8" s="3" t="str">
        <f t="shared" si="1"/>
        <v>F</v>
      </c>
      <c r="K8" s="3">
        <f t="shared" ca="1" si="2"/>
        <v>10</v>
      </c>
      <c r="L8" s="3" t="str">
        <f t="shared" ca="1" si="3"/>
        <v>Yes</v>
      </c>
      <c r="M8" s="32" t="str">
        <f t="shared" ca="1" si="4"/>
        <v>No</v>
      </c>
      <c r="O8" s="5">
        <v>5</v>
      </c>
      <c r="P8" s="5">
        <f t="shared" si="5"/>
        <v>23512527</v>
      </c>
      <c r="Q8" s="6">
        <v>92.574999999999989</v>
      </c>
    </row>
    <row r="9" spans="1:17" ht="23" x14ac:dyDescent="0.3">
      <c r="A9" s="38">
        <v>23578756</v>
      </c>
      <c r="B9" s="3" t="s">
        <v>41</v>
      </c>
      <c r="C9" s="3" t="s">
        <v>42</v>
      </c>
      <c r="D9" s="3">
        <v>64</v>
      </c>
      <c r="E9" s="3">
        <v>65</v>
      </c>
      <c r="F9" s="3">
        <v>70</v>
      </c>
      <c r="G9" s="3">
        <v>66</v>
      </c>
      <c r="H9" s="3">
        <v>66.25</v>
      </c>
      <c r="I9" s="10">
        <f t="shared" si="0"/>
        <v>66.387499999999989</v>
      </c>
      <c r="J9" s="3" t="str">
        <f t="shared" si="1"/>
        <v>D</v>
      </c>
      <c r="K9" s="3">
        <f t="shared" ca="1" si="2"/>
        <v>0</v>
      </c>
      <c r="L9" s="3" t="str">
        <f t="shared" ca="1" si="3"/>
        <v>No</v>
      </c>
      <c r="M9" s="32" t="str">
        <f t="shared" ca="1" si="4"/>
        <v>No</v>
      </c>
      <c r="O9" s="5">
        <v>6</v>
      </c>
      <c r="P9" s="5">
        <f t="shared" si="5"/>
        <v>23570945</v>
      </c>
      <c r="Q9" s="6">
        <v>89.412500000000009</v>
      </c>
    </row>
    <row r="10" spans="1:17" ht="23" x14ac:dyDescent="0.3">
      <c r="A10" s="38">
        <v>23538914</v>
      </c>
      <c r="B10" s="3" t="s">
        <v>43</v>
      </c>
      <c r="C10" s="3" t="s">
        <v>44</v>
      </c>
      <c r="D10" s="3">
        <v>48</v>
      </c>
      <c r="E10" s="3">
        <v>32</v>
      </c>
      <c r="F10" s="3">
        <v>39</v>
      </c>
      <c r="G10" s="3">
        <v>39</v>
      </c>
      <c r="H10" s="3">
        <v>39.5</v>
      </c>
      <c r="I10" s="10">
        <f t="shared" si="0"/>
        <v>39.575000000000003</v>
      </c>
      <c r="J10" s="3" t="str">
        <f t="shared" si="1"/>
        <v>F</v>
      </c>
      <c r="K10" s="3">
        <f t="shared" ca="1" si="2"/>
        <v>15</v>
      </c>
      <c r="L10" s="3" t="str">
        <f t="shared" ca="1" si="3"/>
        <v>Yes</v>
      </c>
      <c r="M10" s="32" t="str">
        <f t="shared" ca="1" si="4"/>
        <v>No</v>
      </c>
      <c r="O10" s="5">
        <v>7</v>
      </c>
      <c r="P10" s="5">
        <f t="shared" si="5"/>
        <v>23512829</v>
      </c>
      <c r="Q10" s="6">
        <v>88.362500000000011</v>
      </c>
    </row>
    <row r="11" spans="1:17" ht="23" x14ac:dyDescent="0.3">
      <c r="A11" s="38">
        <v>23536981</v>
      </c>
      <c r="B11" s="3" t="s">
        <v>45</v>
      </c>
      <c r="C11" s="3" t="s">
        <v>46</v>
      </c>
      <c r="D11" s="3">
        <v>45</v>
      </c>
      <c r="E11" s="3">
        <v>30</v>
      </c>
      <c r="F11" s="3">
        <v>49</v>
      </c>
      <c r="G11" s="3">
        <v>41</v>
      </c>
      <c r="H11" s="3">
        <v>41.25</v>
      </c>
      <c r="I11" s="10">
        <f t="shared" si="0"/>
        <v>41.487499999999997</v>
      </c>
      <c r="J11" s="3" t="str">
        <f t="shared" si="1"/>
        <v>F</v>
      </c>
      <c r="K11" s="3">
        <f t="shared" ca="1" si="2"/>
        <v>11</v>
      </c>
      <c r="L11" s="3" t="str">
        <f t="shared" ca="1" si="3"/>
        <v>Yes</v>
      </c>
      <c r="M11" s="32" t="str">
        <f t="shared" ca="1" si="4"/>
        <v>No</v>
      </c>
      <c r="O11" s="5">
        <v>8</v>
      </c>
      <c r="P11" s="5">
        <f t="shared" si="5"/>
        <v>23552303</v>
      </c>
      <c r="Q11" s="6">
        <v>87.649999999999991</v>
      </c>
    </row>
    <row r="12" spans="1:17" ht="23" x14ac:dyDescent="0.3">
      <c r="A12" s="38">
        <v>23643612</v>
      </c>
      <c r="B12" s="3" t="s">
        <v>47</v>
      </c>
      <c r="C12" s="3" t="s">
        <v>48</v>
      </c>
      <c r="D12" s="3">
        <v>55</v>
      </c>
      <c r="E12" s="3">
        <v>55</v>
      </c>
      <c r="F12" s="3">
        <v>41</v>
      </c>
      <c r="G12" s="3">
        <v>50</v>
      </c>
      <c r="H12" s="3">
        <v>50.25</v>
      </c>
      <c r="I12" s="10">
        <f t="shared" si="0"/>
        <v>50.0625</v>
      </c>
      <c r="J12" s="3" t="str">
        <f t="shared" si="1"/>
        <v>F</v>
      </c>
      <c r="K12" s="3">
        <f t="shared" ca="1" si="2"/>
        <v>3</v>
      </c>
      <c r="L12" s="3" t="str">
        <f t="shared" ca="1" si="3"/>
        <v>No</v>
      </c>
      <c r="M12" s="32" t="str">
        <f t="shared" ca="1" si="4"/>
        <v>No</v>
      </c>
      <c r="O12" s="5">
        <v>9</v>
      </c>
      <c r="P12" s="5">
        <f t="shared" si="5"/>
        <v>23688909</v>
      </c>
      <c r="Q12" s="6">
        <v>87.075000000000003</v>
      </c>
    </row>
    <row r="13" spans="1:17" ht="23" x14ac:dyDescent="0.3">
      <c r="A13" s="38">
        <v>23635346</v>
      </c>
      <c r="B13" s="3" t="s">
        <v>49</v>
      </c>
      <c r="C13" s="3" t="s">
        <v>50</v>
      </c>
      <c r="D13" s="3">
        <v>77</v>
      </c>
      <c r="E13" s="3">
        <v>80</v>
      </c>
      <c r="F13" s="3">
        <v>93</v>
      </c>
      <c r="G13" s="3">
        <v>83</v>
      </c>
      <c r="H13" s="3">
        <v>83.25</v>
      </c>
      <c r="I13" s="10">
        <f t="shared" si="0"/>
        <v>83.537499999999994</v>
      </c>
      <c r="J13" s="3" t="str">
        <f t="shared" si="1"/>
        <v>B</v>
      </c>
      <c r="K13" s="3">
        <f t="shared" ca="1" si="2"/>
        <v>2</v>
      </c>
      <c r="L13" s="3" t="str">
        <f t="shared" ca="1" si="3"/>
        <v>No</v>
      </c>
      <c r="M13" s="32" t="str">
        <f t="shared" ca="1" si="4"/>
        <v>No</v>
      </c>
      <c r="O13" s="5">
        <v>10</v>
      </c>
      <c r="P13" s="5">
        <f t="shared" si="5"/>
        <v>23551669</v>
      </c>
      <c r="Q13" s="6">
        <v>85.724999999999994</v>
      </c>
    </row>
    <row r="14" spans="1:17" x14ac:dyDescent="0.2">
      <c r="A14" s="38">
        <v>23602899</v>
      </c>
      <c r="B14" s="3" t="s">
        <v>51</v>
      </c>
      <c r="C14" s="3" t="s">
        <v>52</v>
      </c>
      <c r="D14" s="3">
        <v>60</v>
      </c>
      <c r="E14" s="3">
        <v>69</v>
      </c>
      <c r="F14" s="3">
        <v>71</v>
      </c>
      <c r="G14" s="3">
        <v>66</v>
      </c>
      <c r="H14" s="3">
        <v>66.5</v>
      </c>
      <c r="I14" s="10">
        <f t="shared" si="0"/>
        <v>66.699999999999989</v>
      </c>
      <c r="J14" s="3" t="str">
        <f t="shared" si="1"/>
        <v>D</v>
      </c>
      <c r="K14" s="3">
        <f t="shared" ca="1" si="2"/>
        <v>6</v>
      </c>
      <c r="L14" s="3" t="str">
        <f t="shared" ca="1" si="3"/>
        <v>No</v>
      </c>
      <c r="M14" s="32" t="str">
        <f t="shared" ca="1" si="4"/>
        <v>No</v>
      </c>
    </row>
    <row r="15" spans="1:17" x14ac:dyDescent="0.2">
      <c r="A15" s="38">
        <v>23518502</v>
      </c>
      <c r="B15" s="3" t="s">
        <v>53</v>
      </c>
      <c r="C15" s="3" t="s">
        <v>54</v>
      </c>
      <c r="D15" s="3">
        <v>50</v>
      </c>
      <c r="E15" s="3">
        <v>33</v>
      </c>
      <c r="F15" s="3">
        <v>38</v>
      </c>
      <c r="G15" s="3">
        <v>40</v>
      </c>
      <c r="H15" s="3">
        <v>40.25</v>
      </c>
      <c r="I15" s="10">
        <f t="shared" si="0"/>
        <v>40.237499999999997</v>
      </c>
      <c r="J15" s="3" t="str">
        <f t="shared" si="1"/>
        <v>F</v>
      </c>
      <c r="K15" s="3">
        <f t="shared" ca="1" si="2"/>
        <v>10</v>
      </c>
      <c r="L15" s="3" t="str">
        <f t="shared" ca="1" si="3"/>
        <v>Yes</v>
      </c>
      <c r="M15" s="32" t="str">
        <f t="shared" ca="1" si="4"/>
        <v>No</v>
      </c>
    </row>
    <row r="16" spans="1:17" x14ac:dyDescent="0.2">
      <c r="A16" s="38">
        <v>23545298</v>
      </c>
      <c r="B16" s="3" t="s">
        <v>55</v>
      </c>
      <c r="C16" s="3" t="s">
        <v>56</v>
      </c>
      <c r="D16" s="3">
        <v>47</v>
      </c>
      <c r="E16" s="3">
        <v>44</v>
      </c>
      <c r="F16" s="3">
        <v>43</v>
      </c>
      <c r="G16" s="3">
        <v>44</v>
      </c>
      <c r="H16" s="3">
        <v>44.5</v>
      </c>
      <c r="I16" s="10">
        <f t="shared" si="0"/>
        <v>44.550000000000004</v>
      </c>
      <c r="J16" s="3" t="str">
        <f t="shared" si="1"/>
        <v>F</v>
      </c>
      <c r="K16" s="3">
        <f t="shared" ca="1" si="2"/>
        <v>13</v>
      </c>
      <c r="L16" s="3" t="str">
        <f t="shared" ca="1" si="3"/>
        <v>Yes</v>
      </c>
      <c r="M16" s="32" t="str">
        <f t="shared" ca="1" si="4"/>
        <v>No</v>
      </c>
    </row>
    <row r="17" spans="1:13" x14ac:dyDescent="0.2">
      <c r="A17" s="38">
        <v>23681588</v>
      </c>
      <c r="B17" s="3" t="s">
        <v>57</v>
      </c>
      <c r="C17" s="3" t="s">
        <v>58</v>
      </c>
      <c r="D17" s="3">
        <v>71</v>
      </c>
      <c r="E17" s="3">
        <v>78</v>
      </c>
      <c r="F17" s="3">
        <v>82</v>
      </c>
      <c r="G17" s="3">
        <v>77</v>
      </c>
      <c r="H17" s="3">
        <v>77</v>
      </c>
      <c r="I17" s="10">
        <f t="shared" si="0"/>
        <v>77.125</v>
      </c>
      <c r="J17" s="3" t="str">
        <f t="shared" si="1"/>
        <v>C+</v>
      </c>
      <c r="K17" s="3">
        <f t="shared" ca="1" si="2"/>
        <v>6</v>
      </c>
      <c r="L17" s="3" t="str">
        <f t="shared" ca="1" si="3"/>
        <v>No</v>
      </c>
      <c r="M17" s="32" t="str">
        <f t="shared" ca="1" si="4"/>
        <v>No</v>
      </c>
    </row>
    <row r="18" spans="1:13" x14ac:dyDescent="0.2">
      <c r="A18" s="38">
        <v>23558031</v>
      </c>
      <c r="B18" s="3" t="s">
        <v>59</v>
      </c>
      <c r="C18" s="3" t="s">
        <v>60</v>
      </c>
      <c r="D18" s="3">
        <v>71</v>
      </c>
      <c r="E18" s="3">
        <v>78</v>
      </c>
      <c r="F18" s="3">
        <v>77</v>
      </c>
      <c r="G18" s="3">
        <v>75</v>
      </c>
      <c r="H18" s="3">
        <v>75.25</v>
      </c>
      <c r="I18" s="10">
        <f t="shared" si="0"/>
        <v>75.337500000000006</v>
      </c>
      <c r="J18" s="3" t="str">
        <f t="shared" si="1"/>
        <v>C</v>
      </c>
      <c r="K18" s="3">
        <f t="shared" ca="1" si="2"/>
        <v>2</v>
      </c>
      <c r="L18" s="3" t="str">
        <f t="shared" ca="1" si="3"/>
        <v>No</v>
      </c>
      <c r="M18" s="32" t="str">
        <f t="shared" ca="1" si="4"/>
        <v>No</v>
      </c>
    </row>
    <row r="19" spans="1:13" x14ac:dyDescent="0.2">
      <c r="A19" s="38">
        <v>23630771</v>
      </c>
      <c r="B19" s="3" t="s">
        <v>61</v>
      </c>
      <c r="C19" s="3" t="s">
        <v>62</v>
      </c>
      <c r="D19" s="3">
        <v>30</v>
      </c>
      <c r="E19" s="3">
        <v>32</v>
      </c>
      <c r="F19" s="3">
        <v>46</v>
      </c>
      <c r="G19" s="3">
        <v>36</v>
      </c>
      <c r="H19" s="3">
        <v>36</v>
      </c>
      <c r="I19" s="10">
        <f t="shared" si="0"/>
        <v>36.25</v>
      </c>
      <c r="J19" s="3" t="str">
        <f t="shared" si="1"/>
        <v>F</v>
      </c>
      <c r="K19" s="3">
        <f t="shared" ca="1" si="2"/>
        <v>12</v>
      </c>
      <c r="L19" s="3" t="str">
        <f t="shared" ca="1" si="3"/>
        <v>Yes</v>
      </c>
      <c r="M19" s="32" t="str">
        <f t="shared" ca="1" si="4"/>
        <v>No</v>
      </c>
    </row>
    <row r="20" spans="1:13" x14ac:dyDescent="0.2">
      <c r="A20" s="38">
        <v>23580679</v>
      </c>
      <c r="B20" s="3" t="s">
        <v>63</v>
      </c>
      <c r="C20" s="3" t="s">
        <v>64</v>
      </c>
      <c r="D20" s="3">
        <v>73</v>
      </c>
      <c r="E20" s="3">
        <v>78</v>
      </c>
      <c r="F20" s="3">
        <v>77</v>
      </c>
      <c r="G20" s="3">
        <v>76</v>
      </c>
      <c r="H20" s="3">
        <v>76</v>
      </c>
      <c r="I20" s="10">
        <f t="shared" si="0"/>
        <v>76.025000000000006</v>
      </c>
      <c r="J20" s="3" t="str">
        <f t="shared" si="1"/>
        <v>C</v>
      </c>
      <c r="K20" s="3">
        <f t="shared" ca="1" si="2"/>
        <v>2</v>
      </c>
      <c r="L20" s="3" t="str">
        <f t="shared" ca="1" si="3"/>
        <v>No</v>
      </c>
      <c r="M20" s="32" t="str">
        <f t="shared" ca="1" si="4"/>
        <v>No</v>
      </c>
    </row>
    <row r="21" spans="1:13" x14ac:dyDescent="0.2">
      <c r="A21" s="38">
        <v>23521122</v>
      </c>
      <c r="B21" s="3" t="s">
        <v>65</v>
      </c>
      <c r="C21" s="3" t="s">
        <v>66</v>
      </c>
      <c r="D21" s="3">
        <v>32</v>
      </c>
      <c r="E21" s="3">
        <v>44</v>
      </c>
      <c r="F21" s="3">
        <v>38</v>
      </c>
      <c r="G21" s="3">
        <v>38</v>
      </c>
      <c r="H21" s="3">
        <v>38</v>
      </c>
      <c r="I21" s="10">
        <f t="shared" si="0"/>
        <v>38</v>
      </c>
      <c r="J21" s="3" t="str">
        <f t="shared" si="1"/>
        <v>F</v>
      </c>
      <c r="K21" s="3">
        <f t="shared" ca="1" si="2"/>
        <v>12</v>
      </c>
      <c r="L21" s="3" t="str">
        <f t="shared" ca="1" si="3"/>
        <v>Yes</v>
      </c>
      <c r="M21" s="32" t="str">
        <f t="shared" ca="1" si="4"/>
        <v>No</v>
      </c>
    </row>
    <row r="22" spans="1:13" x14ac:dyDescent="0.2">
      <c r="A22" s="38">
        <v>23607530</v>
      </c>
      <c r="B22" s="3" t="s">
        <v>67</v>
      </c>
      <c r="C22" s="3" t="s">
        <v>68</v>
      </c>
      <c r="D22" s="3">
        <v>55</v>
      </c>
      <c r="E22" s="3">
        <v>36</v>
      </c>
      <c r="F22" s="3">
        <v>46</v>
      </c>
      <c r="G22" s="3">
        <v>45</v>
      </c>
      <c r="H22" s="3">
        <v>45.5</v>
      </c>
      <c r="I22" s="10">
        <f t="shared" si="0"/>
        <v>45.6</v>
      </c>
      <c r="J22" s="3" t="str">
        <f t="shared" si="1"/>
        <v>F</v>
      </c>
      <c r="K22" s="3">
        <f t="shared" ca="1" si="2"/>
        <v>12</v>
      </c>
      <c r="L22" s="3" t="str">
        <f t="shared" ca="1" si="3"/>
        <v>Yes</v>
      </c>
      <c r="M22" s="32" t="str">
        <f t="shared" ca="1" si="4"/>
        <v>No</v>
      </c>
    </row>
    <row r="23" spans="1:13" x14ac:dyDescent="0.2">
      <c r="A23" s="38">
        <v>23625004</v>
      </c>
      <c r="B23" s="3" t="s">
        <v>69</v>
      </c>
      <c r="C23" s="3" t="s">
        <v>70</v>
      </c>
      <c r="D23" s="3">
        <v>36</v>
      </c>
      <c r="E23" s="3">
        <v>53</v>
      </c>
      <c r="F23" s="3">
        <v>65</v>
      </c>
      <c r="G23" s="3">
        <v>51</v>
      </c>
      <c r="H23" s="3">
        <v>51.25</v>
      </c>
      <c r="I23" s="10">
        <f t="shared" si="0"/>
        <v>51.637499999999996</v>
      </c>
      <c r="J23" s="3" t="str">
        <f t="shared" si="1"/>
        <v>F</v>
      </c>
      <c r="K23" s="3">
        <f t="shared" ca="1" si="2"/>
        <v>3</v>
      </c>
      <c r="L23" s="3" t="str">
        <f t="shared" ca="1" si="3"/>
        <v>No</v>
      </c>
      <c r="M23" s="32" t="str">
        <f t="shared" ca="1" si="4"/>
        <v>No</v>
      </c>
    </row>
    <row r="24" spans="1:13" x14ac:dyDescent="0.2">
      <c r="A24" s="38">
        <v>23501390</v>
      </c>
      <c r="B24" s="3" t="s">
        <v>71</v>
      </c>
      <c r="C24" s="3" t="s">
        <v>72</v>
      </c>
      <c r="D24" s="3">
        <v>94</v>
      </c>
      <c r="E24" s="3">
        <v>99</v>
      </c>
      <c r="F24" s="3">
        <v>93</v>
      </c>
      <c r="G24" s="3">
        <v>95</v>
      </c>
      <c r="H24" s="3">
        <v>95.25</v>
      </c>
      <c r="I24" s="10">
        <f t="shared" si="0"/>
        <v>95.237500000000011</v>
      </c>
      <c r="J24" s="3" t="str">
        <f t="shared" si="1"/>
        <v>A</v>
      </c>
      <c r="K24" s="3">
        <f t="shared" ca="1" si="2"/>
        <v>0</v>
      </c>
      <c r="L24" s="3" t="str">
        <f t="shared" ca="1" si="3"/>
        <v>No</v>
      </c>
      <c r="M24" s="32" t="str">
        <f t="shared" ca="1" si="4"/>
        <v>Yes</v>
      </c>
    </row>
    <row r="25" spans="1:13" x14ac:dyDescent="0.2">
      <c r="A25" s="38">
        <v>23591771</v>
      </c>
      <c r="B25" s="3" t="s">
        <v>73</v>
      </c>
      <c r="C25" s="3" t="s">
        <v>74</v>
      </c>
      <c r="D25" s="3">
        <v>69</v>
      </c>
      <c r="E25" s="3">
        <v>70</v>
      </c>
      <c r="F25" s="3">
        <v>85</v>
      </c>
      <c r="G25" s="3">
        <v>74</v>
      </c>
      <c r="H25" s="3">
        <v>74.5</v>
      </c>
      <c r="I25" s="10">
        <f t="shared" si="0"/>
        <v>74.849999999999994</v>
      </c>
      <c r="J25" s="3" t="str">
        <f t="shared" si="1"/>
        <v>C</v>
      </c>
      <c r="K25" s="3">
        <f t="shared" ca="1" si="2"/>
        <v>0</v>
      </c>
      <c r="L25" s="3" t="str">
        <f t="shared" ca="1" si="3"/>
        <v>No</v>
      </c>
      <c r="M25" s="32" t="str">
        <f t="shared" ca="1" si="4"/>
        <v>No</v>
      </c>
    </row>
    <row r="26" spans="1:13" x14ac:dyDescent="0.2">
      <c r="A26" s="38">
        <v>23686037</v>
      </c>
      <c r="B26" s="3" t="s">
        <v>75</v>
      </c>
      <c r="C26" s="3" t="s">
        <v>76</v>
      </c>
      <c r="D26" s="3">
        <v>93</v>
      </c>
      <c r="E26" s="3">
        <v>94</v>
      </c>
      <c r="F26" s="3">
        <v>99</v>
      </c>
      <c r="G26" s="3">
        <v>95</v>
      </c>
      <c r="H26" s="3">
        <v>95.25</v>
      </c>
      <c r="I26" s="10">
        <f t="shared" si="0"/>
        <v>95.387500000000003</v>
      </c>
      <c r="J26" s="3" t="str">
        <f t="shared" si="1"/>
        <v>A</v>
      </c>
      <c r="K26" s="3">
        <f t="shared" ca="1" si="2"/>
        <v>6</v>
      </c>
      <c r="L26" s="3" t="str">
        <f t="shared" ca="1" si="3"/>
        <v>No</v>
      </c>
      <c r="M26" s="32" t="str">
        <f t="shared" ca="1" si="4"/>
        <v>No</v>
      </c>
    </row>
    <row r="27" spans="1:13" x14ac:dyDescent="0.2">
      <c r="A27" s="38">
        <v>23563708</v>
      </c>
      <c r="B27" s="3" t="s">
        <v>77</v>
      </c>
      <c r="C27" s="3" t="s">
        <v>78</v>
      </c>
      <c r="D27" s="3">
        <v>31</v>
      </c>
      <c r="E27" s="3">
        <v>37</v>
      </c>
      <c r="F27" s="3">
        <v>52</v>
      </c>
      <c r="G27" s="3">
        <v>40</v>
      </c>
      <c r="H27" s="3">
        <v>40</v>
      </c>
      <c r="I27" s="10">
        <f t="shared" si="0"/>
        <v>40.299999999999997</v>
      </c>
      <c r="J27" s="3" t="str">
        <f t="shared" si="1"/>
        <v>F</v>
      </c>
      <c r="K27" s="3">
        <f t="shared" ca="1" si="2"/>
        <v>11</v>
      </c>
      <c r="L27" s="3" t="str">
        <f t="shared" ca="1" si="3"/>
        <v>Yes</v>
      </c>
      <c r="M27" s="32" t="str">
        <f t="shared" ca="1" si="4"/>
        <v>No</v>
      </c>
    </row>
    <row r="28" spans="1:13" x14ac:dyDescent="0.2">
      <c r="A28" s="38">
        <v>23688909</v>
      </c>
      <c r="B28" s="3" t="s">
        <v>79</v>
      </c>
      <c r="C28" s="3" t="s">
        <v>80</v>
      </c>
      <c r="D28" s="3">
        <v>85</v>
      </c>
      <c r="E28" s="3">
        <v>86</v>
      </c>
      <c r="F28" s="3">
        <v>90</v>
      </c>
      <c r="G28" s="3">
        <v>87</v>
      </c>
      <c r="H28" s="3">
        <v>87</v>
      </c>
      <c r="I28" s="10">
        <f t="shared" si="0"/>
        <v>87.075000000000003</v>
      </c>
      <c r="J28" s="3" t="str">
        <f t="shared" si="1"/>
        <v>B+</v>
      </c>
      <c r="K28" s="3">
        <f t="shared" ca="1" si="2"/>
        <v>6</v>
      </c>
      <c r="L28" s="3" t="str">
        <f t="shared" ca="1" si="3"/>
        <v>No</v>
      </c>
      <c r="M28" s="32" t="str">
        <f t="shared" ca="1" si="4"/>
        <v>No</v>
      </c>
    </row>
    <row r="29" spans="1:13" x14ac:dyDescent="0.2">
      <c r="A29" s="38">
        <v>23634419</v>
      </c>
      <c r="B29" s="3" t="s">
        <v>81</v>
      </c>
      <c r="C29" s="3" t="s">
        <v>82</v>
      </c>
      <c r="D29" s="3">
        <v>67</v>
      </c>
      <c r="E29" s="3">
        <v>69</v>
      </c>
      <c r="F29" s="3">
        <v>68</v>
      </c>
      <c r="G29" s="3">
        <v>68</v>
      </c>
      <c r="H29" s="3">
        <v>68</v>
      </c>
      <c r="I29" s="10">
        <f t="shared" si="0"/>
        <v>68</v>
      </c>
      <c r="J29" s="3" t="str">
        <f t="shared" si="1"/>
        <v>D</v>
      </c>
      <c r="K29" s="3">
        <f t="shared" ca="1" si="2"/>
        <v>3</v>
      </c>
      <c r="L29" s="3" t="str">
        <f t="shared" ca="1" si="3"/>
        <v>No</v>
      </c>
      <c r="M29" s="32" t="str">
        <f t="shared" ca="1" si="4"/>
        <v>No</v>
      </c>
    </row>
    <row r="30" spans="1:13" x14ac:dyDescent="0.2">
      <c r="A30" s="38">
        <v>23698407</v>
      </c>
      <c r="B30" s="3" t="s">
        <v>83</v>
      </c>
      <c r="C30" s="3" t="s">
        <v>84</v>
      </c>
      <c r="D30" s="3">
        <v>70</v>
      </c>
      <c r="E30" s="3">
        <v>75</v>
      </c>
      <c r="F30" s="3">
        <v>76</v>
      </c>
      <c r="G30" s="3">
        <v>73</v>
      </c>
      <c r="H30" s="3">
        <v>73.5</v>
      </c>
      <c r="I30" s="10">
        <f t="shared" si="0"/>
        <v>73.650000000000006</v>
      </c>
      <c r="J30" s="3" t="str">
        <f t="shared" si="1"/>
        <v>C</v>
      </c>
      <c r="K30" s="3">
        <f t="shared" ca="1" si="2"/>
        <v>7</v>
      </c>
      <c r="L30" s="3" t="str">
        <f t="shared" ca="1" si="3"/>
        <v>No</v>
      </c>
      <c r="M30" s="32" t="str">
        <f t="shared" ca="1" si="4"/>
        <v>No</v>
      </c>
    </row>
    <row r="31" spans="1:13" x14ac:dyDescent="0.2">
      <c r="A31" s="38">
        <v>23552303</v>
      </c>
      <c r="B31" s="3" t="s">
        <v>85</v>
      </c>
      <c r="C31" s="3" t="s">
        <v>86</v>
      </c>
      <c r="D31" s="3">
        <v>86</v>
      </c>
      <c r="E31" s="3">
        <v>87</v>
      </c>
      <c r="F31" s="3">
        <v>90</v>
      </c>
      <c r="G31" s="3">
        <v>87</v>
      </c>
      <c r="H31" s="3">
        <v>87.5</v>
      </c>
      <c r="I31" s="10">
        <f t="shared" si="0"/>
        <v>87.649999999999991</v>
      </c>
      <c r="J31" s="3" t="str">
        <f t="shared" si="1"/>
        <v>B+</v>
      </c>
      <c r="K31" s="3">
        <f t="shared" ca="1" si="2"/>
        <v>7</v>
      </c>
      <c r="L31" s="3" t="str">
        <f t="shared" ca="1" si="3"/>
        <v>No</v>
      </c>
      <c r="M31" s="32" t="str">
        <f t="shared" ca="1" si="4"/>
        <v>No</v>
      </c>
    </row>
    <row r="32" spans="1:13" x14ac:dyDescent="0.2">
      <c r="A32" s="38">
        <v>23554960</v>
      </c>
      <c r="B32" s="3" t="s">
        <v>87</v>
      </c>
      <c r="C32" s="3" t="s">
        <v>88</v>
      </c>
      <c r="D32" s="3">
        <v>50</v>
      </c>
      <c r="E32" s="3">
        <v>49</v>
      </c>
      <c r="F32" s="3">
        <v>50</v>
      </c>
      <c r="G32" s="3">
        <v>49</v>
      </c>
      <c r="H32" s="3">
        <v>49.5</v>
      </c>
      <c r="I32" s="10">
        <f t="shared" si="0"/>
        <v>49.6</v>
      </c>
      <c r="J32" s="3" t="str">
        <f t="shared" si="1"/>
        <v>F</v>
      </c>
      <c r="K32" s="3">
        <f t="shared" ca="1" si="2"/>
        <v>14</v>
      </c>
      <c r="L32" s="3" t="str">
        <f t="shared" ca="1" si="3"/>
        <v>Yes</v>
      </c>
      <c r="M32" s="32" t="str">
        <f t="shared" ca="1" si="4"/>
        <v>No</v>
      </c>
    </row>
    <row r="33" spans="1:13" x14ac:dyDescent="0.2">
      <c r="A33" s="38">
        <v>23551669</v>
      </c>
      <c r="B33" s="3" t="s">
        <v>89</v>
      </c>
      <c r="C33" s="3" t="s">
        <v>90</v>
      </c>
      <c r="D33" s="3">
        <v>81</v>
      </c>
      <c r="E33" s="3">
        <v>85</v>
      </c>
      <c r="F33" s="3">
        <v>91</v>
      </c>
      <c r="G33" s="3">
        <v>85</v>
      </c>
      <c r="H33" s="3">
        <v>85.5</v>
      </c>
      <c r="I33" s="10">
        <f t="shared" si="0"/>
        <v>85.724999999999994</v>
      </c>
      <c r="J33" s="3" t="str">
        <f t="shared" si="1"/>
        <v>B</v>
      </c>
      <c r="K33" s="3">
        <f t="shared" ca="1" si="2"/>
        <v>4</v>
      </c>
      <c r="L33" s="3" t="str">
        <f t="shared" ca="1" si="3"/>
        <v>No</v>
      </c>
      <c r="M33" s="32" t="str">
        <f t="shared" ca="1" si="4"/>
        <v>No</v>
      </c>
    </row>
    <row r="34" spans="1:13" x14ac:dyDescent="0.2">
      <c r="A34" s="38">
        <v>23602592</v>
      </c>
      <c r="B34" s="3" t="s">
        <v>91</v>
      </c>
      <c r="C34" s="3" t="s">
        <v>92</v>
      </c>
      <c r="D34" s="3">
        <v>35</v>
      </c>
      <c r="E34" s="3">
        <v>55</v>
      </c>
      <c r="F34" s="3">
        <v>49</v>
      </c>
      <c r="G34" s="3">
        <v>46</v>
      </c>
      <c r="H34" s="3">
        <v>46.25</v>
      </c>
      <c r="I34" s="10">
        <f t="shared" ref="I34:I51" si="6">(22.5%*D34)+(22.5%*E34)+(25%*F34)+(5%*G34)+(25%*H34)</f>
        <v>46.362499999999997</v>
      </c>
      <c r="J34" s="3" t="str">
        <f t="shared" ref="J34:J51" si="7">IF(I34&gt;=93,"A",IF(I34&gt;=90,"A-",IF(I34&gt;=87,"B+",IF(I34&gt;=83,"B",IF(I34&gt;=80,"B-",IF(I34&gt;=77,"C+",IF(I34&gt;=73,"C",IF(I34&gt;=70,"C-",IF(I34&gt;=60,"D",IF(I34&lt;60,"F"))))))))))</f>
        <v>F</v>
      </c>
      <c r="K34" s="3">
        <f t="shared" ref="K34:K51" ca="1" si="8">IF(I34&lt;50,RANDBETWEEN(10,15),RANDBETWEEN(0,9))</f>
        <v>14</v>
      </c>
      <c r="L34" s="3" t="str">
        <f t="shared" ref="L34:L51" ca="1" si="9">IF(AND(I34&lt;=60,K34&gt;=10),"Yes","No")</f>
        <v>Yes</v>
      </c>
      <c r="M34" s="32" t="str">
        <f t="shared" ref="M34:M51" ca="1" si="10">IF(AND(I34&gt;=87,K34&lt;=5),"Yes","No")</f>
        <v>No</v>
      </c>
    </row>
    <row r="35" spans="1:13" x14ac:dyDescent="0.2">
      <c r="A35" s="38">
        <v>23698874</v>
      </c>
      <c r="B35" s="3" t="s">
        <v>93</v>
      </c>
      <c r="C35" s="3" t="s">
        <v>94</v>
      </c>
      <c r="D35" s="3">
        <v>56</v>
      </c>
      <c r="E35" s="3">
        <v>35</v>
      </c>
      <c r="F35" s="3">
        <v>33</v>
      </c>
      <c r="G35" s="3">
        <v>41</v>
      </c>
      <c r="H35" s="3">
        <v>41.25</v>
      </c>
      <c r="I35" s="10">
        <f t="shared" si="6"/>
        <v>41.087500000000006</v>
      </c>
      <c r="J35" s="3" t="str">
        <f t="shared" si="7"/>
        <v>F</v>
      </c>
      <c r="K35" s="3">
        <f t="shared" ca="1" si="8"/>
        <v>13</v>
      </c>
      <c r="L35" s="3" t="str">
        <f t="shared" ca="1" si="9"/>
        <v>Yes</v>
      </c>
      <c r="M35" s="32" t="str">
        <f t="shared" ca="1" si="10"/>
        <v>No</v>
      </c>
    </row>
    <row r="36" spans="1:13" x14ac:dyDescent="0.2">
      <c r="A36" s="38">
        <v>23512829</v>
      </c>
      <c r="B36" s="3" t="s">
        <v>95</v>
      </c>
      <c r="C36" s="3" t="s">
        <v>96</v>
      </c>
      <c r="D36" s="3">
        <v>85</v>
      </c>
      <c r="E36" s="3">
        <v>89</v>
      </c>
      <c r="F36" s="3">
        <v>91</v>
      </c>
      <c r="G36" s="3">
        <v>88</v>
      </c>
      <c r="H36" s="3">
        <v>88.25</v>
      </c>
      <c r="I36" s="10">
        <f t="shared" si="6"/>
        <v>88.362500000000011</v>
      </c>
      <c r="J36" s="3" t="str">
        <f t="shared" si="7"/>
        <v>B+</v>
      </c>
      <c r="K36" s="3">
        <f t="shared" ca="1" si="8"/>
        <v>5</v>
      </c>
      <c r="L36" s="3" t="str">
        <f t="shared" ca="1" si="9"/>
        <v>No</v>
      </c>
      <c r="M36" s="32" t="str">
        <f t="shared" ca="1" si="10"/>
        <v>Yes</v>
      </c>
    </row>
    <row r="37" spans="1:13" x14ac:dyDescent="0.2">
      <c r="A37" s="38">
        <v>23665210</v>
      </c>
      <c r="B37" s="3" t="s">
        <v>97</v>
      </c>
      <c r="C37" s="3" t="s">
        <v>98</v>
      </c>
      <c r="D37" s="3">
        <v>30</v>
      </c>
      <c r="E37" s="3">
        <v>56</v>
      </c>
      <c r="F37" s="3">
        <v>40</v>
      </c>
      <c r="G37" s="3">
        <v>42</v>
      </c>
      <c r="H37" s="3">
        <v>42</v>
      </c>
      <c r="I37" s="10">
        <f t="shared" si="6"/>
        <v>41.95</v>
      </c>
      <c r="J37" s="3" t="str">
        <f t="shared" si="7"/>
        <v>F</v>
      </c>
      <c r="K37" s="3">
        <f t="shared" ca="1" si="8"/>
        <v>14</v>
      </c>
      <c r="L37" s="3" t="str">
        <f t="shared" ca="1" si="9"/>
        <v>Yes</v>
      </c>
      <c r="M37" s="32" t="str">
        <f t="shared" ca="1" si="10"/>
        <v>No</v>
      </c>
    </row>
    <row r="38" spans="1:13" x14ac:dyDescent="0.2">
      <c r="A38" s="38">
        <v>23614752</v>
      </c>
      <c r="B38" s="3" t="s">
        <v>99</v>
      </c>
      <c r="C38" s="3" t="s">
        <v>100</v>
      </c>
      <c r="D38" s="3">
        <v>33</v>
      </c>
      <c r="E38" s="3">
        <v>49</v>
      </c>
      <c r="F38" s="3">
        <v>31</v>
      </c>
      <c r="G38" s="3">
        <v>37</v>
      </c>
      <c r="H38" s="3">
        <v>37.5</v>
      </c>
      <c r="I38" s="10">
        <f t="shared" si="6"/>
        <v>37.424999999999997</v>
      </c>
      <c r="J38" s="3" t="str">
        <f t="shared" si="7"/>
        <v>F</v>
      </c>
      <c r="K38" s="3">
        <f t="shared" ca="1" si="8"/>
        <v>10</v>
      </c>
      <c r="L38" s="3" t="str">
        <f t="shared" ca="1" si="9"/>
        <v>Yes</v>
      </c>
      <c r="M38" s="32" t="str">
        <f t="shared" ca="1" si="10"/>
        <v>No</v>
      </c>
    </row>
    <row r="39" spans="1:13" x14ac:dyDescent="0.2">
      <c r="A39" s="38">
        <v>23648989</v>
      </c>
      <c r="B39" s="3" t="s">
        <v>101</v>
      </c>
      <c r="C39" s="3" t="s">
        <v>102</v>
      </c>
      <c r="D39" s="3">
        <v>100</v>
      </c>
      <c r="E39" s="3">
        <v>91</v>
      </c>
      <c r="F39" s="3">
        <v>99</v>
      </c>
      <c r="G39" s="3">
        <v>96</v>
      </c>
      <c r="H39" s="3">
        <v>96.5</v>
      </c>
      <c r="I39" s="10">
        <f t="shared" si="6"/>
        <v>96.649999999999991</v>
      </c>
      <c r="J39" s="3" t="str">
        <f t="shared" si="7"/>
        <v>A</v>
      </c>
      <c r="K39" s="3">
        <f t="shared" ca="1" si="8"/>
        <v>0</v>
      </c>
      <c r="L39" s="3" t="str">
        <f t="shared" ca="1" si="9"/>
        <v>No</v>
      </c>
      <c r="M39" s="32" t="str">
        <f t="shared" ca="1" si="10"/>
        <v>Yes</v>
      </c>
    </row>
    <row r="40" spans="1:13" x14ac:dyDescent="0.2">
      <c r="A40" s="38">
        <v>23599332</v>
      </c>
      <c r="B40" s="3" t="s">
        <v>103</v>
      </c>
      <c r="C40" s="3" t="s">
        <v>104</v>
      </c>
      <c r="D40" s="3">
        <v>93</v>
      </c>
      <c r="E40" s="3">
        <v>93</v>
      </c>
      <c r="F40" s="3">
        <v>98</v>
      </c>
      <c r="G40" s="3">
        <v>94</v>
      </c>
      <c r="H40" s="3">
        <v>94.5</v>
      </c>
      <c r="I40" s="10">
        <f t="shared" si="6"/>
        <v>94.674999999999997</v>
      </c>
      <c r="J40" s="3" t="str">
        <f t="shared" si="7"/>
        <v>A</v>
      </c>
      <c r="K40" s="3">
        <f t="shared" ca="1" si="8"/>
        <v>7</v>
      </c>
      <c r="L40" s="3" t="str">
        <f t="shared" ca="1" si="9"/>
        <v>No</v>
      </c>
      <c r="M40" s="32" t="str">
        <f t="shared" ca="1" si="10"/>
        <v>No</v>
      </c>
    </row>
    <row r="41" spans="1:13" x14ac:dyDescent="0.2">
      <c r="A41" s="38">
        <v>23513165</v>
      </c>
      <c r="B41" s="3" t="s">
        <v>105</v>
      </c>
      <c r="C41" s="3" t="s">
        <v>106</v>
      </c>
      <c r="D41" s="3">
        <v>66</v>
      </c>
      <c r="E41" s="3">
        <v>67</v>
      </c>
      <c r="F41" s="3">
        <v>66</v>
      </c>
      <c r="G41" s="3">
        <v>66</v>
      </c>
      <c r="H41" s="3">
        <v>66.25</v>
      </c>
      <c r="I41" s="10">
        <f t="shared" si="6"/>
        <v>66.287499999999994</v>
      </c>
      <c r="J41" s="3" t="str">
        <f t="shared" si="7"/>
        <v>D</v>
      </c>
      <c r="K41" s="3">
        <f t="shared" ca="1" si="8"/>
        <v>6</v>
      </c>
      <c r="L41" s="3" t="str">
        <f t="shared" ca="1" si="9"/>
        <v>No</v>
      </c>
      <c r="M41" s="32" t="str">
        <f t="shared" ca="1" si="10"/>
        <v>No</v>
      </c>
    </row>
    <row r="42" spans="1:13" x14ac:dyDescent="0.2">
      <c r="A42" s="38">
        <v>23697900</v>
      </c>
      <c r="B42" s="3" t="s">
        <v>107</v>
      </c>
      <c r="C42" s="3" t="s">
        <v>108</v>
      </c>
      <c r="D42" s="3">
        <v>70</v>
      </c>
      <c r="E42" s="3">
        <v>77</v>
      </c>
      <c r="F42" s="3">
        <v>75</v>
      </c>
      <c r="G42" s="3">
        <v>74</v>
      </c>
      <c r="H42" s="3">
        <v>74</v>
      </c>
      <c r="I42" s="10">
        <f t="shared" si="6"/>
        <v>74.025000000000006</v>
      </c>
      <c r="J42" s="3" t="str">
        <f t="shared" si="7"/>
        <v>C</v>
      </c>
      <c r="K42" s="3">
        <f t="shared" ca="1" si="8"/>
        <v>8</v>
      </c>
      <c r="L42" s="3" t="str">
        <f t="shared" ca="1" si="9"/>
        <v>No</v>
      </c>
      <c r="M42" s="32" t="str">
        <f t="shared" ca="1" si="10"/>
        <v>No</v>
      </c>
    </row>
    <row r="43" spans="1:13" x14ac:dyDescent="0.2">
      <c r="A43" s="38">
        <v>23511179</v>
      </c>
      <c r="B43" s="3" t="s">
        <v>109</v>
      </c>
      <c r="C43" s="3" t="s">
        <v>110</v>
      </c>
      <c r="D43" s="3">
        <v>38</v>
      </c>
      <c r="E43" s="3">
        <v>35</v>
      </c>
      <c r="F43" s="3">
        <v>47</v>
      </c>
      <c r="G43" s="3">
        <v>40</v>
      </c>
      <c r="H43" s="3">
        <v>40</v>
      </c>
      <c r="I43" s="10">
        <f t="shared" si="6"/>
        <v>40.174999999999997</v>
      </c>
      <c r="J43" s="3" t="str">
        <f t="shared" si="7"/>
        <v>F</v>
      </c>
      <c r="K43" s="3">
        <f t="shared" ca="1" si="8"/>
        <v>13</v>
      </c>
      <c r="L43" s="3" t="str">
        <f t="shared" ca="1" si="9"/>
        <v>Yes</v>
      </c>
      <c r="M43" s="32" t="str">
        <f t="shared" ca="1" si="10"/>
        <v>No</v>
      </c>
    </row>
    <row r="44" spans="1:13" x14ac:dyDescent="0.2">
      <c r="A44" s="38">
        <v>23614522</v>
      </c>
      <c r="B44" s="3" t="s">
        <v>111</v>
      </c>
      <c r="C44" s="3" t="s">
        <v>35</v>
      </c>
      <c r="D44" s="3">
        <v>30</v>
      </c>
      <c r="E44" s="3">
        <v>39</v>
      </c>
      <c r="F44" s="3">
        <v>64</v>
      </c>
      <c r="G44" s="3">
        <v>44</v>
      </c>
      <c r="H44" s="3">
        <v>44.25</v>
      </c>
      <c r="I44" s="10">
        <f t="shared" si="6"/>
        <v>44.787500000000001</v>
      </c>
      <c r="J44" s="3" t="str">
        <f t="shared" si="7"/>
        <v>F</v>
      </c>
      <c r="K44" s="3">
        <f t="shared" ca="1" si="8"/>
        <v>13</v>
      </c>
      <c r="L44" s="3" t="str">
        <f t="shared" ca="1" si="9"/>
        <v>Yes</v>
      </c>
      <c r="M44" s="32" t="str">
        <f t="shared" ca="1" si="10"/>
        <v>No</v>
      </c>
    </row>
    <row r="45" spans="1:13" x14ac:dyDescent="0.2">
      <c r="A45" s="38">
        <v>23589906</v>
      </c>
      <c r="B45" s="3" t="s">
        <v>112</v>
      </c>
      <c r="C45" s="3" t="s">
        <v>113</v>
      </c>
      <c r="D45" s="3">
        <v>63</v>
      </c>
      <c r="E45" s="3">
        <v>67</v>
      </c>
      <c r="F45" s="3">
        <v>65</v>
      </c>
      <c r="G45" s="3">
        <v>65</v>
      </c>
      <c r="H45" s="3">
        <v>65</v>
      </c>
      <c r="I45" s="10">
        <f t="shared" si="6"/>
        <v>65</v>
      </c>
      <c r="J45" s="3" t="str">
        <f t="shared" si="7"/>
        <v>D</v>
      </c>
      <c r="K45" s="3">
        <f t="shared" ca="1" si="8"/>
        <v>3</v>
      </c>
      <c r="L45" s="3" t="str">
        <f t="shared" ca="1" si="9"/>
        <v>No</v>
      </c>
      <c r="M45" s="32" t="str">
        <f t="shared" ca="1" si="10"/>
        <v>No</v>
      </c>
    </row>
    <row r="46" spans="1:13" x14ac:dyDescent="0.2">
      <c r="A46" s="38">
        <v>23579559</v>
      </c>
      <c r="B46" s="3" t="s">
        <v>114</v>
      </c>
      <c r="C46" s="3" t="s">
        <v>115</v>
      </c>
      <c r="D46" s="3">
        <v>40</v>
      </c>
      <c r="E46" s="3">
        <v>33</v>
      </c>
      <c r="F46" s="3">
        <v>41</v>
      </c>
      <c r="G46" s="3">
        <v>38</v>
      </c>
      <c r="H46" s="3">
        <v>38</v>
      </c>
      <c r="I46" s="10">
        <f t="shared" si="6"/>
        <v>38.075000000000003</v>
      </c>
      <c r="J46" s="3" t="str">
        <f t="shared" si="7"/>
        <v>F</v>
      </c>
      <c r="K46" s="3">
        <f t="shared" ca="1" si="8"/>
        <v>10</v>
      </c>
      <c r="L46" s="3" t="str">
        <f t="shared" ca="1" si="9"/>
        <v>Yes</v>
      </c>
      <c r="M46" s="32" t="str">
        <f t="shared" ca="1" si="10"/>
        <v>No</v>
      </c>
    </row>
    <row r="47" spans="1:13" x14ac:dyDescent="0.2">
      <c r="A47" s="38">
        <v>23512527</v>
      </c>
      <c r="B47" s="3" t="s">
        <v>116</v>
      </c>
      <c r="C47" s="3" t="s">
        <v>117</v>
      </c>
      <c r="D47" s="3">
        <v>95</v>
      </c>
      <c r="E47" s="3">
        <v>91</v>
      </c>
      <c r="F47" s="3">
        <v>92</v>
      </c>
      <c r="G47" s="3">
        <v>92</v>
      </c>
      <c r="H47" s="3">
        <v>92.5</v>
      </c>
      <c r="I47" s="10">
        <f t="shared" si="6"/>
        <v>92.574999999999989</v>
      </c>
      <c r="J47" s="3" t="str">
        <f t="shared" si="7"/>
        <v>A-</v>
      </c>
      <c r="K47" s="3">
        <f t="shared" ca="1" si="8"/>
        <v>3</v>
      </c>
      <c r="L47" s="3" t="str">
        <f t="shared" ca="1" si="9"/>
        <v>No</v>
      </c>
      <c r="M47" s="32" t="str">
        <f t="shared" ca="1" si="10"/>
        <v>Yes</v>
      </c>
    </row>
    <row r="48" spans="1:13" x14ac:dyDescent="0.2">
      <c r="A48" s="38">
        <v>23655570</v>
      </c>
      <c r="B48" s="3" t="s">
        <v>118</v>
      </c>
      <c r="C48" s="3" t="s">
        <v>119</v>
      </c>
      <c r="D48" s="3">
        <v>74</v>
      </c>
      <c r="E48" s="3">
        <v>80</v>
      </c>
      <c r="F48" s="3">
        <v>88</v>
      </c>
      <c r="G48" s="3">
        <v>80</v>
      </c>
      <c r="H48" s="3">
        <v>80.5</v>
      </c>
      <c r="I48" s="10">
        <f t="shared" si="6"/>
        <v>80.775000000000006</v>
      </c>
      <c r="J48" s="3" t="str">
        <f t="shared" si="7"/>
        <v>B-</v>
      </c>
      <c r="K48" s="3">
        <f t="shared" ca="1" si="8"/>
        <v>3</v>
      </c>
      <c r="L48" s="3" t="str">
        <f t="shared" ca="1" si="9"/>
        <v>No</v>
      </c>
      <c r="M48" s="32" t="str">
        <f t="shared" ca="1" si="10"/>
        <v>No</v>
      </c>
    </row>
    <row r="49" spans="1:13" x14ac:dyDescent="0.2">
      <c r="A49" s="38">
        <v>23552203</v>
      </c>
      <c r="B49" s="3" t="s">
        <v>120</v>
      </c>
      <c r="C49" s="3" t="s">
        <v>121</v>
      </c>
      <c r="D49" s="3">
        <v>45</v>
      </c>
      <c r="E49" s="3">
        <v>36</v>
      </c>
      <c r="F49" s="3">
        <v>58</v>
      </c>
      <c r="G49" s="3">
        <v>46</v>
      </c>
      <c r="H49" s="3">
        <v>46.25</v>
      </c>
      <c r="I49" s="10">
        <f t="shared" si="6"/>
        <v>46.587499999999999</v>
      </c>
      <c r="J49" s="3" t="str">
        <f t="shared" si="7"/>
        <v>F</v>
      </c>
      <c r="K49" s="3">
        <f t="shared" ca="1" si="8"/>
        <v>15</v>
      </c>
      <c r="L49" s="3" t="str">
        <f t="shared" ca="1" si="9"/>
        <v>Yes</v>
      </c>
      <c r="M49" s="32" t="str">
        <f t="shared" ca="1" si="10"/>
        <v>No</v>
      </c>
    </row>
    <row r="50" spans="1:13" x14ac:dyDescent="0.2">
      <c r="A50" s="38">
        <v>23590970</v>
      </c>
      <c r="B50" s="3" t="s">
        <v>122</v>
      </c>
      <c r="C50" s="3" t="s">
        <v>123</v>
      </c>
      <c r="D50" s="3">
        <v>45</v>
      </c>
      <c r="E50" s="3">
        <v>33</v>
      </c>
      <c r="F50" s="3">
        <v>55</v>
      </c>
      <c r="G50" s="3">
        <v>44</v>
      </c>
      <c r="H50" s="3">
        <v>44.25</v>
      </c>
      <c r="I50" s="10">
        <f t="shared" si="6"/>
        <v>44.5625</v>
      </c>
      <c r="J50" s="3" t="str">
        <f t="shared" si="7"/>
        <v>F</v>
      </c>
      <c r="K50" s="3">
        <f t="shared" ca="1" si="8"/>
        <v>10</v>
      </c>
      <c r="L50" s="3" t="str">
        <f t="shared" ca="1" si="9"/>
        <v>Yes</v>
      </c>
      <c r="M50" s="32" t="str">
        <f t="shared" ca="1" si="10"/>
        <v>No</v>
      </c>
    </row>
    <row r="51" spans="1:13" x14ac:dyDescent="0.2">
      <c r="A51" s="39">
        <v>23574855</v>
      </c>
      <c r="B51" s="34" t="s">
        <v>124</v>
      </c>
      <c r="C51" s="34" t="s">
        <v>125</v>
      </c>
      <c r="D51" s="34">
        <v>41</v>
      </c>
      <c r="E51" s="34">
        <v>34</v>
      </c>
      <c r="F51" s="34">
        <v>62</v>
      </c>
      <c r="G51" s="34">
        <v>45</v>
      </c>
      <c r="H51" s="34">
        <v>45.5</v>
      </c>
      <c r="I51" s="40">
        <f t="shared" si="6"/>
        <v>46</v>
      </c>
      <c r="J51" s="34" t="str">
        <f t="shared" si="7"/>
        <v>F</v>
      </c>
      <c r="K51" s="34">
        <f t="shared" ca="1" si="8"/>
        <v>11</v>
      </c>
      <c r="L51" s="34" t="str">
        <f t="shared" ca="1" si="9"/>
        <v>Yes</v>
      </c>
      <c r="M51" s="36" t="str">
        <f t="shared" ca="1" si="10"/>
        <v>No</v>
      </c>
    </row>
  </sheetData>
  <conditionalFormatting sqref="I2:I51">
    <cfRule type="cellIs" dxfId="21" priority="2" operator="greaterThan">
      <formula>69</formula>
    </cfRule>
    <cfRule type="cellIs" dxfId="20" priority="3" operator="lessThanOrEqual">
      <formula>69</formula>
    </cfRule>
    <cfRule type="cellIs" dxfId="19" priority="4" operator="lessThanOrEqual">
      <formula>60</formula>
    </cfRule>
  </conditionalFormatting>
  <conditionalFormatting sqref="M2:M51">
    <cfRule type="expression" dxfId="18" priority="1">
      <formula>IF(M2="Yes",TRUE,FALSE)</formula>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0652F-02A0-814A-BCE8-856558505058}">
  <sheetPr codeName="Sheet12"/>
  <dimension ref="B3:G16"/>
  <sheetViews>
    <sheetView workbookViewId="0">
      <selection activeCell="H21" sqref="H21"/>
    </sheetView>
  </sheetViews>
  <sheetFormatPr baseColWidth="10" defaultColWidth="11" defaultRowHeight="16" x14ac:dyDescent="0.2"/>
  <cols>
    <col min="1" max="4" width="11" style="69"/>
    <col min="5" max="5" width="15.1640625" style="69" bestFit="1" customWidth="1"/>
    <col min="6" max="6" width="11" style="69"/>
    <col min="7" max="7" width="15.6640625" style="69" bestFit="1" customWidth="1"/>
    <col min="8" max="16384" width="11" style="69"/>
  </cols>
  <sheetData>
    <row r="3" spans="2:7" x14ac:dyDescent="0.2">
      <c r="B3" s="107" t="s">
        <v>200</v>
      </c>
      <c r="C3" s="108"/>
      <c r="D3" s="108"/>
      <c r="E3" s="109" t="s">
        <v>201</v>
      </c>
      <c r="F3" s="109" t="s">
        <v>201</v>
      </c>
      <c r="G3" s="109" t="s">
        <v>201</v>
      </c>
    </row>
    <row r="4" spans="2:7" x14ac:dyDescent="0.2">
      <c r="B4" s="110" t="s">
        <v>201</v>
      </c>
      <c r="C4" s="110" t="s">
        <v>201</v>
      </c>
      <c r="D4" s="111" t="s">
        <v>202</v>
      </c>
      <c r="E4" s="111" t="s">
        <v>203</v>
      </c>
      <c r="F4" s="111" t="s">
        <v>204</v>
      </c>
      <c r="G4" s="111" t="s">
        <v>205</v>
      </c>
    </row>
    <row r="5" spans="2:7" x14ac:dyDescent="0.2">
      <c r="B5" s="112" t="s">
        <v>206</v>
      </c>
      <c r="C5" s="113"/>
      <c r="D5" s="102" t="s">
        <v>201</v>
      </c>
      <c r="E5" s="102" t="s">
        <v>201</v>
      </c>
      <c r="F5" s="102" t="s">
        <v>201</v>
      </c>
      <c r="G5" s="102" t="s">
        <v>201</v>
      </c>
    </row>
    <row r="6" spans="2:7" x14ac:dyDescent="0.2">
      <c r="B6" s="114" t="s">
        <v>201</v>
      </c>
      <c r="C6" s="114" t="s">
        <v>207</v>
      </c>
      <c r="D6" s="103">
        <v>10000</v>
      </c>
      <c r="E6" s="116">
        <v>15000</v>
      </c>
      <c r="F6" s="116">
        <v>20000</v>
      </c>
      <c r="G6" s="116">
        <v>25000</v>
      </c>
    </row>
    <row r="7" spans="2:7" x14ac:dyDescent="0.2">
      <c r="B7" s="114" t="s">
        <v>201</v>
      </c>
      <c r="C7" s="114" t="s">
        <v>208</v>
      </c>
      <c r="D7" s="103">
        <v>2000</v>
      </c>
      <c r="E7" s="116">
        <v>1000</v>
      </c>
      <c r="F7" s="116">
        <v>3000</v>
      </c>
      <c r="G7" s="116">
        <v>4000</v>
      </c>
    </row>
    <row r="8" spans="2:7" x14ac:dyDescent="0.2">
      <c r="B8" s="114" t="s">
        <v>201</v>
      </c>
      <c r="C8" s="114" t="s">
        <v>209</v>
      </c>
      <c r="D8" s="103">
        <v>8000</v>
      </c>
      <c r="E8" s="116">
        <v>14000</v>
      </c>
      <c r="F8" s="116">
        <v>17000</v>
      </c>
      <c r="G8" s="116">
        <v>21000</v>
      </c>
    </row>
    <row r="9" spans="2:7" x14ac:dyDescent="0.2">
      <c r="B9" s="114" t="s">
        <v>201</v>
      </c>
      <c r="C9" s="114" t="s">
        <v>210</v>
      </c>
      <c r="D9" s="104">
        <v>1.2E-2</v>
      </c>
      <c r="E9" s="117">
        <v>1.2E-2</v>
      </c>
      <c r="F9" s="117">
        <v>5.0000000000000001E-3</v>
      </c>
      <c r="G9" s="117">
        <v>0.01</v>
      </c>
    </row>
    <row r="10" spans="2:7" x14ac:dyDescent="0.2">
      <c r="B10" s="114" t="s">
        <v>201</v>
      </c>
      <c r="C10" s="114" t="s">
        <v>211</v>
      </c>
      <c r="D10" s="105">
        <v>20</v>
      </c>
      <c r="E10" s="118">
        <v>20</v>
      </c>
      <c r="F10" s="118">
        <v>20</v>
      </c>
      <c r="G10" s="118">
        <v>20</v>
      </c>
    </row>
    <row r="11" spans="2:7" x14ac:dyDescent="0.2">
      <c r="B11" s="114" t="s">
        <v>201</v>
      </c>
      <c r="C11" s="114" t="s">
        <v>212</v>
      </c>
      <c r="D11" s="104">
        <v>5.0000000000000001E-3</v>
      </c>
      <c r="E11" s="117">
        <v>5.0000000000000001E-3</v>
      </c>
      <c r="F11" s="117">
        <v>5.0000000000000001E-3</v>
      </c>
      <c r="G11" s="117">
        <v>5.0000000000000001E-3</v>
      </c>
    </row>
    <row r="12" spans="2:7" x14ac:dyDescent="0.2">
      <c r="B12" s="112" t="s">
        <v>213</v>
      </c>
      <c r="C12" s="113"/>
      <c r="D12" s="102" t="s">
        <v>201</v>
      </c>
      <c r="E12" s="102" t="s">
        <v>201</v>
      </c>
      <c r="F12" s="102" t="s">
        <v>201</v>
      </c>
      <c r="G12" s="102" t="s">
        <v>201</v>
      </c>
    </row>
    <row r="13" spans="2:7" x14ac:dyDescent="0.2">
      <c r="B13" s="115" t="s">
        <v>201</v>
      </c>
      <c r="C13" s="115" t="s">
        <v>214</v>
      </c>
      <c r="D13" s="106">
        <v>421</v>
      </c>
      <c r="E13" s="106">
        <v>737</v>
      </c>
      <c r="F13" s="106">
        <v>895</v>
      </c>
      <c r="G13" s="106">
        <v>1106</v>
      </c>
    </row>
    <row r="14" spans="2:7" x14ac:dyDescent="0.2">
      <c r="B14" s="105" t="s">
        <v>215</v>
      </c>
      <c r="C14" s="105"/>
      <c r="D14" s="105"/>
      <c r="E14" s="105"/>
      <c r="F14" s="105"/>
      <c r="G14" s="105"/>
    </row>
    <row r="15" spans="2:7" x14ac:dyDescent="0.2">
      <c r="B15" s="105" t="s">
        <v>216</v>
      </c>
      <c r="C15" s="105"/>
      <c r="D15" s="105"/>
      <c r="E15" s="105"/>
      <c r="F15" s="105"/>
      <c r="G15" s="105"/>
    </row>
    <row r="16" spans="2:7" x14ac:dyDescent="0.2">
      <c r="B16" s="105" t="s">
        <v>217</v>
      </c>
      <c r="C16" s="105"/>
      <c r="D16" s="105"/>
      <c r="E16" s="105"/>
      <c r="F16" s="105"/>
      <c r="G16" s="10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Cover Page</vt:lpstr>
      <vt:lpstr>Dashboard</vt:lpstr>
      <vt:lpstr>Data</vt:lpstr>
      <vt:lpstr>Charts</vt:lpstr>
      <vt:lpstr>Summary Statistics</vt:lpstr>
      <vt:lpstr>Behavior</vt:lpstr>
      <vt:lpstr>Performance</vt:lpstr>
      <vt:lpstr>Pivot Table</vt:lpstr>
      <vt:lpstr>One Variable Data</vt:lpstr>
      <vt:lpstr>Two Variable Data</vt:lpstr>
      <vt:lpstr>Sorted Grades</vt:lpstr>
      <vt:lpstr>Scenario Summary</vt:lpstr>
      <vt:lpstr>Behavior_Score</vt:lpstr>
      <vt:lpstr>Final_Grade</vt:lpstr>
      <vt:lpstr>First_Name</vt:lpstr>
      <vt:lpstr>Grades</vt:lpstr>
      <vt:lpstr>Honors</vt:lpstr>
      <vt:lpstr>Last_Name</vt:lpstr>
      <vt:lpstr>Student_ID</vt:lpstr>
      <vt:lpstr>StudentID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Microsoft Office User</cp:lastModifiedBy>
  <cp:revision/>
  <dcterms:created xsi:type="dcterms:W3CDTF">2023-01-11T11:03:08Z</dcterms:created>
  <dcterms:modified xsi:type="dcterms:W3CDTF">2023-01-24T02:50:28Z</dcterms:modified>
  <cp:category/>
  <cp:contentStatus/>
</cp:coreProperties>
</file>