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ichael\OneDrive - The University of Texas at Austin\Outreach\"/>
    </mc:Choice>
  </mc:AlternateContent>
  <xr:revisionPtr revIDLastSave="359" documentId="11_255EC0BA53B37D51B905E680572BC73A82572360" xr6:coauthVersionLast="28" xr6:coauthVersionMax="28" xr10:uidLastSave="{BA836B47-DD75-466A-9DC4-6D12BA97630B}"/>
  <bookViews>
    <workbookView xWindow="0" yWindow="0" windowWidth="27270" windowHeight="9180" xr2:uid="{00000000-000D-0000-FFFF-FFFF00000000}"/>
  </bookViews>
  <sheets>
    <sheet name="Por-Perm-Logs" sheetId="1" r:id="rId1"/>
    <sheet name="Regress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0" i="1" l="1"/>
  <c r="AO45" i="1" l="1"/>
  <c r="AO23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G124" i="1" l="1"/>
  <c r="G123" i="1"/>
  <c r="G120" i="1"/>
  <c r="G121" i="1"/>
  <c r="G122" i="1"/>
  <c r="F121" i="1"/>
  <c r="G39" i="1"/>
  <c r="F124" i="1"/>
  <c r="G27" i="1"/>
  <c r="G33" i="1"/>
  <c r="F123" i="1"/>
  <c r="F122" i="1"/>
  <c r="G70" i="1"/>
  <c r="G58" i="1"/>
  <c r="G82" i="1"/>
  <c r="G34" i="1"/>
  <c r="G106" i="1"/>
  <c r="G46" i="1"/>
  <c r="G112" i="1"/>
  <c r="G64" i="1"/>
  <c r="G100" i="1"/>
  <c r="G76" i="1"/>
  <c r="G88" i="1"/>
  <c r="G52" i="1"/>
  <c r="G118" i="1"/>
  <c r="G40" i="1"/>
  <c r="G94" i="1"/>
  <c r="F33" i="1"/>
  <c r="F39" i="1"/>
  <c r="F45" i="1"/>
  <c r="F51" i="1"/>
  <c r="F57" i="1"/>
  <c r="F63" i="1"/>
  <c r="F69" i="1"/>
  <c r="F75" i="1"/>
  <c r="F81" i="1"/>
  <c r="F93" i="1"/>
  <c r="F99" i="1"/>
  <c r="F105" i="1"/>
  <c r="F117" i="1"/>
  <c r="G45" i="1"/>
  <c r="G51" i="1"/>
  <c r="G57" i="1"/>
  <c r="G63" i="1"/>
  <c r="G69" i="1"/>
  <c r="G75" i="1"/>
  <c r="G81" i="1"/>
  <c r="G87" i="1"/>
  <c r="G93" i="1"/>
  <c r="G99" i="1"/>
  <c r="G105" i="1"/>
  <c r="G111" i="1"/>
  <c r="G117" i="1"/>
  <c r="F27" i="1"/>
  <c r="F40" i="1"/>
  <c r="F46" i="1"/>
  <c r="F52" i="1"/>
  <c r="F58" i="1"/>
  <c r="F64" i="1"/>
  <c r="F70" i="1"/>
  <c r="F76" i="1"/>
  <c r="F82" i="1"/>
  <c r="F88" i="1"/>
  <c r="F94" i="1"/>
  <c r="F100" i="1"/>
  <c r="F106" i="1"/>
  <c r="F112" i="1"/>
  <c r="F118" i="1"/>
  <c r="F41" i="1"/>
  <c r="F59" i="1"/>
  <c r="F65" i="1"/>
  <c r="F83" i="1"/>
  <c r="F89" i="1"/>
  <c r="F95" i="1"/>
  <c r="F113" i="1"/>
  <c r="F119" i="1"/>
  <c r="F29" i="1"/>
  <c r="F53" i="1"/>
  <c r="F77" i="1"/>
  <c r="F107" i="1"/>
  <c r="F111" i="1"/>
  <c r="F35" i="1"/>
  <c r="F47" i="1"/>
  <c r="F71" i="1"/>
  <c r="F101" i="1"/>
  <c r="F87" i="1"/>
  <c r="G30" i="1"/>
  <c r="G36" i="1"/>
  <c r="G42" i="1"/>
  <c r="G48" i="1"/>
  <c r="G54" i="1"/>
  <c r="G60" i="1"/>
  <c r="G66" i="1"/>
  <c r="G72" i="1"/>
  <c r="G78" i="1"/>
  <c r="G84" i="1"/>
  <c r="G90" i="1"/>
  <c r="G96" i="1"/>
  <c r="G102" i="1"/>
  <c r="G108" i="1"/>
  <c r="G114" i="1"/>
  <c r="F28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G28" i="1"/>
  <c r="G25" i="1"/>
  <c r="G29" i="1"/>
  <c r="G35" i="1"/>
  <c r="G43" i="1"/>
  <c r="G49" i="1"/>
  <c r="G53" i="1"/>
  <c r="G59" i="1"/>
  <c r="G67" i="1"/>
  <c r="G71" i="1"/>
  <c r="G77" i="1"/>
  <c r="G83" i="1"/>
  <c r="G89" i="1"/>
  <c r="G97" i="1"/>
  <c r="G103" i="1"/>
  <c r="G109" i="1"/>
  <c r="G113" i="1"/>
  <c r="G119" i="1"/>
  <c r="F26" i="1"/>
  <c r="F30" i="1"/>
  <c r="F38" i="1"/>
  <c r="F44" i="1"/>
  <c r="F50" i="1"/>
  <c r="F54" i="1"/>
  <c r="F60" i="1"/>
  <c r="F68" i="1"/>
  <c r="F74" i="1"/>
  <c r="F78" i="1"/>
  <c r="F86" i="1"/>
  <c r="F90" i="1"/>
  <c r="F98" i="1"/>
  <c r="F102" i="1"/>
  <c r="F108" i="1"/>
  <c r="F116" i="1"/>
  <c r="F34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G116" i="1"/>
  <c r="G41" i="1"/>
  <c r="G107" i="1"/>
  <c r="F36" i="1"/>
  <c r="F72" i="1"/>
  <c r="G24" i="1"/>
  <c r="G47" i="1"/>
  <c r="G101" i="1"/>
  <c r="F42" i="1"/>
  <c r="F66" i="1"/>
  <c r="F120" i="1"/>
  <c r="G95" i="1"/>
  <c r="F48" i="1"/>
  <c r="F114" i="1"/>
  <c r="G65" i="1"/>
  <c r="F84" i="1"/>
  <c r="G31" i="1"/>
  <c r="G37" i="1"/>
  <c r="G55" i="1"/>
  <c r="G61" i="1"/>
  <c r="G73" i="1"/>
  <c r="G79" i="1"/>
  <c r="G85" i="1"/>
  <c r="G91" i="1"/>
  <c r="G115" i="1"/>
  <c r="F96" i="1"/>
  <c r="F32" i="1"/>
  <c r="F56" i="1"/>
  <c r="F62" i="1"/>
  <c r="F80" i="1"/>
  <c r="F92" i="1"/>
  <c r="F104" i="1"/>
  <c r="F110" i="1"/>
  <c r="F23" i="1"/>
  <c r="G20" i="1"/>
  <c r="G21" i="1"/>
  <c r="G22" i="1"/>
  <c r="G23" i="1"/>
  <c r="F21" i="1"/>
  <c r="F22" i="1"/>
  <c r="F20" i="1"/>
  <c r="F24" i="1"/>
  <c r="G15" i="1" l="1"/>
  <c r="G14" i="1"/>
  <c r="G12" i="1"/>
  <c r="G11" i="1"/>
  <c r="I20" i="1" l="1"/>
  <c r="I116" i="1"/>
  <c r="I50" i="1"/>
  <c r="I43" i="1"/>
  <c r="I49" i="1"/>
  <c r="I76" i="1"/>
  <c r="I52" i="1"/>
  <c r="I79" i="1"/>
  <c r="I27" i="1"/>
  <c r="I110" i="1"/>
  <c r="I56" i="1"/>
  <c r="I32" i="1"/>
  <c r="I78" i="1"/>
  <c r="I107" i="1"/>
  <c r="I122" i="1"/>
  <c r="I95" i="1"/>
  <c r="I112" i="1"/>
  <c r="I64" i="1"/>
  <c r="I66" i="1"/>
  <c r="I41" i="1"/>
  <c r="I23" i="1"/>
  <c r="I124" i="1"/>
  <c r="I21" i="1"/>
  <c r="I104" i="1"/>
  <c r="I65" i="1"/>
  <c r="I106" i="1"/>
  <c r="I46" i="1"/>
  <c r="I57" i="1"/>
  <c r="I63" i="1"/>
  <c r="I77" i="1"/>
  <c r="I87" i="1"/>
  <c r="I81" i="1"/>
  <c r="I70" i="1"/>
  <c r="I123" i="1"/>
  <c r="I25" i="1"/>
  <c r="I89" i="1"/>
  <c r="I45" i="1"/>
  <c r="I51" i="1"/>
  <c r="I54" i="1"/>
  <c r="I60" i="1"/>
  <c r="I92" i="1"/>
  <c r="I119" i="1"/>
  <c r="I22" i="1"/>
  <c r="I62" i="1"/>
  <c r="I118" i="1"/>
  <c r="I58" i="1"/>
  <c r="I120" i="1"/>
  <c r="I97" i="1"/>
  <c r="I117" i="1"/>
  <c r="I48" i="1"/>
  <c r="I67" i="1"/>
  <c r="I71" i="1"/>
  <c r="I73" i="1"/>
  <c r="I113" i="1"/>
  <c r="I69" i="1"/>
  <c r="I93" i="1"/>
  <c r="I40" i="1"/>
  <c r="I82" i="1"/>
  <c r="I121" i="1"/>
  <c r="I42" i="1"/>
  <c r="I59" i="1"/>
  <c r="I80" i="1"/>
  <c r="I86" i="1"/>
  <c r="I33" i="1"/>
  <c r="I90" i="1"/>
  <c r="I99" i="1"/>
  <c r="I114" i="1"/>
  <c r="I74" i="1"/>
  <c r="I47" i="1"/>
  <c r="I101" i="1"/>
  <c r="I98" i="1"/>
  <c r="I83" i="1"/>
  <c r="I29" i="1"/>
  <c r="I96" i="1"/>
  <c r="I105" i="1"/>
  <c r="I111" i="1"/>
  <c r="I53" i="1"/>
  <c r="I24" i="1"/>
  <c r="I55" i="1"/>
  <c r="I61" i="1"/>
  <c r="I88" i="1"/>
  <c r="I115" i="1"/>
  <c r="I100" i="1"/>
  <c r="I38" i="1"/>
  <c r="I94" i="1"/>
  <c r="I103" i="1"/>
  <c r="I35" i="1"/>
  <c r="I30" i="1"/>
  <c r="I36" i="1"/>
  <c r="I68" i="1"/>
  <c r="I37" i="1"/>
  <c r="I75" i="1"/>
  <c r="I85" i="1"/>
  <c r="I28" i="1"/>
  <c r="I39" i="1"/>
  <c r="I34" i="1"/>
  <c r="I44" i="1"/>
  <c r="I109" i="1"/>
  <c r="I102" i="1"/>
  <c r="I108" i="1"/>
  <c r="I31" i="1"/>
  <c r="I72" i="1"/>
  <c r="I26" i="1"/>
  <c r="I91" i="1"/>
  <c r="I84" i="1"/>
  <c r="H20" i="1"/>
  <c r="H95" i="1"/>
  <c r="H32" i="1"/>
  <c r="H83" i="1"/>
  <c r="H27" i="1"/>
  <c r="H77" i="1"/>
  <c r="H103" i="1"/>
  <c r="H34" i="1"/>
  <c r="H23" i="1"/>
  <c r="H82" i="1"/>
  <c r="H87" i="1"/>
  <c r="H21" i="1"/>
  <c r="H39" i="1"/>
  <c r="H106" i="1"/>
  <c r="H25" i="1"/>
  <c r="H44" i="1"/>
  <c r="H42" i="1"/>
  <c r="H71" i="1"/>
  <c r="H45" i="1"/>
  <c r="H67" i="1"/>
  <c r="H33" i="1"/>
  <c r="H100" i="1"/>
  <c r="H53" i="1"/>
  <c r="H97" i="1"/>
  <c r="H116" i="1"/>
  <c r="H110" i="1"/>
  <c r="H68" i="1"/>
  <c r="H66" i="1"/>
  <c r="H93" i="1"/>
  <c r="H78" i="1"/>
  <c r="H117" i="1"/>
  <c r="H29" i="1"/>
  <c r="H28" i="1"/>
  <c r="H38" i="1"/>
  <c r="H104" i="1"/>
  <c r="H81" i="1"/>
  <c r="H123" i="1"/>
  <c r="H50" i="1"/>
  <c r="H76" i="1"/>
  <c r="H114" i="1"/>
  <c r="H94" i="1"/>
  <c r="H85" i="1"/>
  <c r="H91" i="1"/>
  <c r="H108" i="1"/>
  <c r="H55" i="1"/>
  <c r="H69" i="1"/>
  <c r="H75" i="1"/>
  <c r="H112" i="1"/>
  <c r="H89" i="1"/>
  <c r="H96" i="1"/>
  <c r="H119" i="1"/>
  <c r="H26" i="1"/>
  <c r="H30" i="1"/>
  <c r="H92" i="1"/>
  <c r="H63" i="1"/>
  <c r="H58" i="1"/>
  <c r="H64" i="1"/>
  <c r="H101" i="1"/>
  <c r="H122" i="1"/>
  <c r="H79" i="1"/>
  <c r="H98" i="1"/>
  <c r="H102" i="1"/>
  <c r="H124" i="1"/>
  <c r="H52" i="1"/>
  <c r="H59" i="1"/>
  <c r="H65" i="1"/>
  <c r="H31" i="1"/>
  <c r="H61" i="1"/>
  <c r="H105" i="1"/>
  <c r="H90" i="1"/>
  <c r="H72" i="1"/>
  <c r="H80" i="1"/>
  <c r="H57" i="1"/>
  <c r="H41" i="1"/>
  <c r="H35" i="1"/>
  <c r="H47" i="1"/>
  <c r="H74" i="1"/>
  <c r="H88" i="1"/>
  <c r="H36" i="1"/>
  <c r="H62" i="1"/>
  <c r="H24" i="1"/>
  <c r="H46" i="1"/>
  <c r="H111" i="1"/>
  <c r="H43" i="1"/>
  <c r="H49" i="1"/>
  <c r="H22" i="1"/>
  <c r="H48" i="1"/>
  <c r="H113" i="1"/>
  <c r="H84" i="1"/>
  <c r="H70" i="1"/>
  <c r="H51" i="1"/>
  <c r="H118" i="1"/>
  <c r="H37" i="1"/>
  <c r="H115" i="1"/>
  <c r="H60" i="1"/>
  <c r="H86" i="1"/>
  <c r="H99" i="1"/>
  <c r="H73" i="1"/>
  <c r="H56" i="1"/>
  <c r="H121" i="1"/>
  <c r="H40" i="1"/>
  <c r="H107" i="1"/>
  <c r="H109" i="1"/>
  <c r="H54" i="1"/>
  <c r="H120" i="1"/>
  <c r="I12" i="1" l="1"/>
  <c r="I11" i="1"/>
  <c r="I15" i="1"/>
  <c r="I14" i="1"/>
  <c r="J25" i="1" l="1"/>
  <c r="J40" i="1"/>
  <c r="J54" i="1"/>
  <c r="J44" i="1"/>
  <c r="J57" i="1"/>
  <c r="J106" i="1"/>
  <c r="J48" i="1"/>
  <c r="J124" i="1"/>
  <c r="J65" i="1"/>
  <c r="J32" i="1"/>
  <c r="J99" i="1"/>
  <c r="J60" i="1"/>
  <c r="J89" i="1"/>
  <c r="J29" i="1"/>
  <c r="J62" i="1"/>
  <c r="J55" i="1"/>
  <c r="J52" i="1"/>
  <c r="J121" i="1"/>
  <c r="J114" i="1"/>
  <c r="J107" i="1"/>
  <c r="J108" i="1"/>
  <c r="J93" i="1"/>
  <c r="J70" i="1"/>
  <c r="J63" i="1"/>
  <c r="J64" i="1"/>
  <c r="J105" i="1"/>
  <c r="J26" i="1"/>
  <c r="J122" i="1"/>
  <c r="J115" i="1"/>
  <c r="J116" i="1"/>
  <c r="J53" i="1"/>
  <c r="J72" i="1"/>
  <c r="J79" i="1"/>
  <c r="J30" i="1"/>
  <c r="J75" i="1"/>
  <c r="J109" i="1"/>
  <c r="J46" i="1"/>
  <c r="J39" i="1"/>
  <c r="J36" i="1"/>
  <c r="J50" i="1"/>
  <c r="J43" i="1"/>
  <c r="J69" i="1"/>
  <c r="J38" i="1"/>
  <c r="J41" i="1"/>
  <c r="J113" i="1"/>
  <c r="J74" i="1"/>
  <c r="J67" i="1"/>
  <c r="J68" i="1"/>
  <c r="J61" i="1"/>
  <c r="J78" i="1"/>
  <c r="J27" i="1"/>
  <c r="J84" i="1"/>
  <c r="J83" i="1"/>
  <c r="J42" i="1"/>
  <c r="J77" i="1"/>
  <c r="J94" i="1"/>
  <c r="J87" i="1"/>
  <c r="J88" i="1"/>
  <c r="J97" i="1"/>
  <c r="J98" i="1"/>
  <c r="J91" i="1"/>
  <c r="J92" i="1"/>
  <c r="J37" i="1"/>
  <c r="J47" i="1"/>
  <c r="J96" i="1"/>
  <c r="J58" i="1"/>
  <c r="J51" i="1"/>
  <c r="J100" i="1"/>
  <c r="J117" i="1"/>
  <c r="J80" i="1"/>
  <c r="J90" i="1"/>
  <c r="J95" i="1"/>
  <c r="J31" i="1"/>
  <c r="J102" i="1"/>
  <c r="J103" i="1"/>
  <c r="J120" i="1"/>
  <c r="J59" i="1"/>
  <c r="J22" i="1"/>
  <c r="J112" i="1"/>
  <c r="J82" i="1"/>
  <c r="J33" i="1"/>
  <c r="J21" i="1"/>
  <c r="J104" i="1"/>
  <c r="J23" i="1"/>
  <c r="J81" i="1"/>
  <c r="J86" i="1"/>
  <c r="J56" i="1"/>
  <c r="J118" i="1"/>
  <c r="J35" i="1"/>
  <c r="J101" i="1"/>
  <c r="J49" i="1"/>
  <c r="J71" i="1"/>
  <c r="J73" i="1"/>
  <c r="J28" i="1"/>
  <c r="J110" i="1"/>
  <c r="J66" i="1"/>
  <c r="J119" i="1"/>
  <c r="J45" i="1"/>
  <c r="J123" i="1"/>
  <c r="J76" i="1"/>
  <c r="J111" i="1"/>
  <c r="J34" i="1"/>
  <c r="J24" i="1"/>
  <c r="J20" i="1"/>
  <c r="K20" i="1" s="1"/>
  <c r="J85" i="1"/>
  <c r="L118" i="1" l="1"/>
  <c r="O118" i="1" s="1"/>
  <c r="P118" i="1" s="1"/>
  <c r="K118" i="1"/>
  <c r="L94" i="1"/>
  <c r="O94" i="1" s="1"/>
  <c r="P94" i="1" s="1"/>
  <c r="K94" i="1"/>
  <c r="M94" i="1" s="1"/>
  <c r="N94" i="1" s="1"/>
  <c r="K24" i="1"/>
  <c r="M24" i="1" s="1"/>
  <c r="N24" i="1" s="1"/>
  <c r="K56" i="1"/>
  <c r="M56" i="1" s="1"/>
  <c r="N56" i="1" s="1"/>
  <c r="L112" i="1"/>
  <c r="O112" i="1" s="1"/>
  <c r="P112" i="1" s="1"/>
  <c r="K112" i="1"/>
  <c r="M112" i="1" s="1"/>
  <c r="N112" i="1" s="1"/>
  <c r="L90" i="1"/>
  <c r="O90" i="1" s="1"/>
  <c r="P90" i="1" s="1"/>
  <c r="K90" i="1"/>
  <c r="M90" i="1" s="1"/>
  <c r="N90" i="1" s="1"/>
  <c r="L37" i="1"/>
  <c r="O37" i="1" s="1"/>
  <c r="P37" i="1" s="1"/>
  <c r="K37" i="1"/>
  <c r="M37" i="1" s="1"/>
  <c r="N37" i="1" s="1"/>
  <c r="K77" i="1"/>
  <c r="M77" i="1" s="1"/>
  <c r="N77" i="1" s="1"/>
  <c r="L67" i="1"/>
  <c r="O67" i="1" s="1"/>
  <c r="P67" i="1" s="1"/>
  <c r="K67" i="1"/>
  <c r="M67" i="1" s="1"/>
  <c r="N67" i="1" s="1"/>
  <c r="L36" i="1"/>
  <c r="O36" i="1" s="1"/>
  <c r="P36" i="1" s="1"/>
  <c r="K36" i="1"/>
  <c r="M36" i="1" s="1"/>
  <c r="N36" i="1" s="1"/>
  <c r="L53" i="1"/>
  <c r="O53" i="1" s="1"/>
  <c r="P53" i="1" s="1"/>
  <c r="K53" i="1"/>
  <c r="M53" i="1" s="1"/>
  <c r="N53" i="1" s="1"/>
  <c r="L70" i="1"/>
  <c r="O70" i="1" s="1"/>
  <c r="P70" i="1" s="1"/>
  <c r="K70" i="1"/>
  <c r="M70" i="1" s="1"/>
  <c r="N70" i="1" s="1"/>
  <c r="L62" i="1"/>
  <c r="O62" i="1" s="1"/>
  <c r="P62" i="1" s="1"/>
  <c r="K62" i="1"/>
  <c r="M62" i="1" s="1"/>
  <c r="N62" i="1" s="1"/>
  <c r="K48" i="1"/>
  <c r="M48" i="1" s="1"/>
  <c r="N48" i="1" s="1"/>
  <c r="K47" i="1"/>
  <c r="M47" i="1" s="1"/>
  <c r="N47" i="1" s="1"/>
  <c r="L72" i="1"/>
  <c r="O72" i="1" s="1"/>
  <c r="P72" i="1" s="1"/>
  <c r="K72" i="1"/>
  <c r="M72" i="1" s="1"/>
  <c r="N72" i="1" s="1"/>
  <c r="L22" i="1"/>
  <c r="O22" i="1" s="1"/>
  <c r="P22" i="1" s="1"/>
  <c r="K22" i="1"/>
  <c r="M22" i="1" s="1"/>
  <c r="N22" i="1" s="1"/>
  <c r="K80" i="1"/>
  <c r="M80" i="1" s="1"/>
  <c r="N80" i="1" s="1"/>
  <c r="L92" i="1"/>
  <c r="O92" i="1" s="1"/>
  <c r="P92" i="1" s="1"/>
  <c r="K92" i="1"/>
  <c r="M92" i="1" s="1"/>
  <c r="N92" i="1" s="1"/>
  <c r="L42" i="1"/>
  <c r="O42" i="1" s="1"/>
  <c r="P42" i="1" s="1"/>
  <c r="K42" i="1"/>
  <c r="M42" i="1" s="1"/>
  <c r="N42" i="1" s="1"/>
  <c r="K74" i="1"/>
  <c r="M74" i="1" s="1"/>
  <c r="N74" i="1" s="1"/>
  <c r="K39" i="1"/>
  <c r="M39" i="1" s="1"/>
  <c r="N39" i="1" s="1"/>
  <c r="K116" i="1"/>
  <c r="M116" i="1" s="1"/>
  <c r="N116" i="1" s="1"/>
  <c r="K93" i="1"/>
  <c r="M93" i="1" s="1"/>
  <c r="N93" i="1" s="1"/>
  <c r="K29" i="1"/>
  <c r="M29" i="1" s="1"/>
  <c r="N29" i="1" s="1"/>
  <c r="K106" i="1"/>
  <c r="M106" i="1" s="1"/>
  <c r="N106" i="1" s="1"/>
  <c r="K124" i="1"/>
  <c r="M124" i="1" s="1"/>
  <c r="N124" i="1" s="1"/>
  <c r="L34" i="1"/>
  <c r="O34" i="1" s="1"/>
  <c r="P34" i="1" s="1"/>
  <c r="K34" i="1"/>
  <c r="M34" i="1" s="1"/>
  <c r="N34" i="1" s="1"/>
  <c r="L111" i="1"/>
  <c r="O111" i="1" s="1"/>
  <c r="P111" i="1" s="1"/>
  <c r="K111" i="1"/>
  <c r="M111" i="1" s="1"/>
  <c r="N111" i="1" s="1"/>
  <c r="L73" i="1"/>
  <c r="O73" i="1" s="1"/>
  <c r="P73" i="1" s="1"/>
  <c r="K73" i="1"/>
  <c r="M73" i="1" s="1"/>
  <c r="N73" i="1" s="1"/>
  <c r="L81" i="1"/>
  <c r="O81" i="1" s="1"/>
  <c r="P81" i="1" s="1"/>
  <c r="K81" i="1"/>
  <c r="M81" i="1" s="1"/>
  <c r="N81" i="1" s="1"/>
  <c r="L59" i="1"/>
  <c r="O59" i="1" s="1"/>
  <c r="P59" i="1" s="1"/>
  <c r="K59" i="1"/>
  <c r="M59" i="1" s="1"/>
  <c r="N59" i="1" s="1"/>
  <c r="L117" i="1"/>
  <c r="O117" i="1" s="1"/>
  <c r="P117" i="1" s="1"/>
  <c r="K117" i="1"/>
  <c r="M117" i="1" s="1"/>
  <c r="N117" i="1" s="1"/>
  <c r="K91" i="1"/>
  <c r="M91" i="1" s="1"/>
  <c r="N91" i="1" s="1"/>
  <c r="L83" i="1"/>
  <c r="O83" i="1" s="1"/>
  <c r="P83" i="1" s="1"/>
  <c r="K83" i="1"/>
  <c r="M83" i="1" s="1"/>
  <c r="N83" i="1" s="1"/>
  <c r="L113" i="1"/>
  <c r="O113" i="1" s="1"/>
  <c r="P113" i="1" s="1"/>
  <c r="K113" i="1"/>
  <c r="M113" i="1" s="1"/>
  <c r="N113" i="1" s="1"/>
  <c r="K46" i="1"/>
  <c r="M46" i="1" s="1"/>
  <c r="N46" i="1" s="1"/>
  <c r="K115" i="1"/>
  <c r="M115" i="1" s="1"/>
  <c r="N115" i="1" s="1"/>
  <c r="K108" i="1"/>
  <c r="M108" i="1" s="1"/>
  <c r="N108" i="1" s="1"/>
  <c r="L89" i="1"/>
  <c r="O89" i="1" s="1"/>
  <c r="P89" i="1" s="1"/>
  <c r="K89" i="1"/>
  <c r="M89" i="1" s="1"/>
  <c r="N89" i="1" s="1"/>
  <c r="K57" i="1"/>
  <c r="M57" i="1" s="1"/>
  <c r="N57" i="1" s="1"/>
  <c r="L66" i="1"/>
  <c r="O66" i="1" s="1"/>
  <c r="P66" i="1" s="1"/>
  <c r="K66" i="1"/>
  <c r="M66" i="1" s="1"/>
  <c r="N66" i="1" s="1"/>
  <c r="L63" i="1"/>
  <c r="O63" i="1" s="1"/>
  <c r="P63" i="1" s="1"/>
  <c r="K63" i="1"/>
  <c r="M63" i="1" s="1"/>
  <c r="N63" i="1" s="1"/>
  <c r="K28" i="1"/>
  <c r="M28" i="1" s="1"/>
  <c r="N28" i="1" s="1"/>
  <c r="L76" i="1"/>
  <c r="O76" i="1" s="1"/>
  <c r="P76" i="1" s="1"/>
  <c r="K76" i="1"/>
  <c r="M76" i="1" s="1"/>
  <c r="N76" i="1" s="1"/>
  <c r="K71" i="1"/>
  <c r="M71" i="1" s="1"/>
  <c r="N71" i="1" s="1"/>
  <c r="K23" i="1"/>
  <c r="M23" i="1" s="1"/>
  <c r="N23" i="1" s="1"/>
  <c r="K120" i="1"/>
  <c r="M120" i="1" s="1"/>
  <c r="N120" i="1" s="1"/>
  <c r="K100" i="1"/>
  <c r="M100" i="1" s="1"/>
  <c r="N100" i="1" s="1"/>
  <c r="L98" i="1"/>
  <c r="O98" i="1" s="1"/>
  <c r="P98" i="1" s="1"/>
  <c r="K98" i="1"/>
  <c r="M98" i="1" s="1"/>
  <c r="N98" i="1" s="1"/>
  <c r="K84" i="1"/>
  <c r="M84" i="1" s="1"/>
  <c r="N84" i="1" s="1"/>
  <c r="K41" i="1"/>
  <c r="M41" i="1" s="1"/>
  <c r="N41" i="1" s="1"/>
  <c r="K109" i="1"/>
  <c r="M109" i="1" s="1"/>
  <c r="N109" i="1" s="1"/>
  <c r="K122" i="1"/>
  <c r="M122" i="1" s="1"/>
  <c r="N122" i="1" s="1"/>
  <c r="K107" i="1"/>
  <c r="M107" i="1" s="1"/>
  <c r="N107" i="1" s="1"/>
  <c r="L60" i="1"/>
  <c r="O60" i="1" s="1"/>
  <c r="P60" i="1" s="1"/>
  <c r="K60" i="1"/>
  <c r="M60" i="1" s="1"/>
  <c r="N60" i="1" s="1"/>
  <c r="L44" i="1"/>
  <c r="O44" i="1" s="1"/>
  <c r="P44" i="1" s="1"/>
  <c r="K44" i="1"/>
  <c r="M44" i="1" s="1"/>
  <c r="N44" i="1" s="1"/>
  <c r="K55" i="1"/>
  <c r="M55" i="1" s="1"/>
  <c r="N55" i="1" s="1"/>
  <c r="L110" i="1"/>
  <c r="O110" i="1" s="1"/>
  <c r="P110" i="1" s="1"/>
  <c r="K110" i="1"/>
  <c r="M110" i="1" s="1"/>
  <c r="N110" i="1" s="1"/>
  <c r="L123" i="1"/>
  <c r="O123" i="1" s="1"/>
  <c r="P123" i="1" s="1"/>
  <c r="K123" i="1"/>
  <c r="M123" i="1" s="1"/>
  <c r="N123" i="1" s="1"/>
  <c r="K49" i="1"/>
  <c r="M49" i="1" s="1"/>
  <c r="N49" i="1" s="1"/>
  <c r="K104" i="1"/>
  <c r="M104" i="1" s="1"/>
  <c r="N104" i="1" s="1"/>
  <c r="L103" i="1"/>
  <c r="O103" i="1" s="1"/>
  <c r="P103" i="1" s="1"/>
  <c r="K103" i="1"/>
  <c r="M103" i="1" s="1"/>
  <c r="N103" i="1" s="1"/>
  <c r="K51" i="1"/>
  <c r="M51" i="1" s="1"/>
  <c r="N51" i="1" s="1"/>
  <c r="L97" i="1"/>
  <c r="O97" i="1" s="1"/>
  <c r="P97" i="1" s="1"/>
  <c r="K97" i="1"/>
  <c r="M97" i="1" s="1"/>
  <c r="N97" i="1" s="1"/>
  <c r="L27" i="1"/>
  <c r="O27" i="1" s="1"/>
  <c r="P27" i="1" s="1"/>
  <c r="K27" i="1"/>
  <c r="M27" i="1" s="1"/>
  <c r="N27" i="1" s="1"/>
  <c r="L38" i="1"/>
  <c r="O38" i="1" s="1"/>
  <c r="P38" i="1" s="1"/>
  <c r="K38" i="1"/>
  <c r="M38" i="1" s="1"/>
  <c r="N38" i="1" s="1"/>
  <c r="K75" i="1"/>
  <c r="M75" i="1" s="1"/>
  <c r="N75" i="1" s="1"/>
  <c r="L26" i="1"/>
  <c r="O26" i="1" s="1"/>
  <c r="P26" i="1" s="1"/>
  <c r="K26" i="1"/>
  <c r="M26" i="1" s="1"/>
  <c r="N26" i="1" s="1"/>
  <c r="L114" i="1"/>
  <c r="O114" i="1" s="1"/>
  <c r="P114" i="1" s="1"/>
  <c r="K114" i="1"/>
  <c r="M114" i="1" s="1"/>
  <c r="N114" i="1" s="1"/>
  <c r="L99" i="1"/>
  <c r="O99" i="1" s="1"/>
  <c r="P99" i="1" s="1"/>
  <c r="K99" i="1"/>
  <c r="M99" i="1" s="1"/>
  <c r="N99" i="1" s="1"/>
  <c r="L54" i="1"/>
  <c r="O54" i="1" s="1"/>
  <c r="P54" i="1" s="1"/>
  <c r="K54" i="1"/>
  <c r="M54" i="1" s="1"/>
  <c r="N54" i="1" s="1"/>
  <c r="L95" i="1"/>
  <c r="O95" i="1" s="1"/>
  <c r="P95" i="1" s="1"/>
  <c r="K95" i="1"/>
  <c r="M95" i="1" s="1"/>
  <c r="N95" i="1" s="1"/>
  <c r="L50" i="1"/>
  <c r="O50" i="1" s="1"/>
  <c r="P50" i="1" s="1"/>
  <c r="K50" i="1"/>
  <c r="M50" i="1" s="1"/>
  <c r="N50" i="1" s="1"/>
  <c r="L86" i="1"/>
  <c r="O86" i="1" s="1"/>
  <c r="P86" i="1" s="1"/>
  <c r="K86" i="1"/>
  <c r="M86" i="1" s="1"/>
  <c r="N86" i="1" s="1"/>
  <c r="K45" i="1"/>
  <c r="M45" i="1" s="1"/>
  <c r="N45" i="1" s="1"/>
  <c r="L101" i="1"/>
  <c r="O101" i="1" s="1"/>
  <c r="P101" i="1" s="1"/>
  <c r="K101" i="1"/>
  <c r="M101" i="1" s="1"/>
  <c r="N101" i="1" s="1"/>
  <c r="L21" i="1"/>
  <c r="O21" i="1" s="1"/>
  <c r="P21" i="1" s="1"/>
  <c r="K21" i="1"/>
  <c r="M21" i="1" s="1"/>
  <c r="N21" i="1" s="1"/>
  <c r="L102" i="1"/>
  <c r="O102" i="1" s="1"/>
  <c r="P102" i="1" s="1"/>
  <c r="K102" i="1"/>
  <c r="M102" i="1" s="1"/>
  <c r="N102" i="1" s="1"/>
  <c r="L58" i="1"/>
  <c r="O58" i="1" s="1"/>
  <c r="P58" i="1" s="1"/>
  <c r="K58" i="1"/>
  <c r="M58" i="1" s="1"/>
  <c r="N58" i="1" s="1"/>
  <c r="K88" i="1"/>
  <c r="M88" i="1" s="1"/>
  <c r="N88" i="1" s="1"/>
  <c r="L78" i="1"/>
  <c r="O78" i="1" s="1"/>
  <c r="P78" i="1" s="1"/>
  <c r="K78" i="1"/>
  <c r="M78" i="1" s="1"/>
  <c r="N78" i="1" s="1"/>
  <c r="K69" i="1"/>
  <c r="M69" i="1" s="1"/>
  <c r="N69" i="1" s="1"/>
  <c r="K30" i="1"/>
  <c r="M30" i="1" s="1"/>
  <c r="N30" i="1" s="1"/>
  <c r="K105" i="1"/>
  <c r="M105" i="1" s="1"/>
  <c r="N105" i="1" s="1"/>
  <c r="K121" i="1"/>
  <c r="M121" i="1" s="1"/>
  <c r="N121" i="1" s="1"/>
  <c r="K32" i="1"/>
  <c r="M32" i="1" s="1"/>
  <c r="N32" i="1" s="1"/>
  <c r="K40" i="1"/>
  <c r="M40" i="1" s="1"/>
  <c r="N40" i="1" s="1"/>
  <c r="L82" i="1"/>
  <c r="O82" i="1" s="1"/>
  <c r="P82" i="1" s="1"/>
  <c r="K82" i="1"/>
  <c r="M82" i="1" s="1"/>
  <c r="N82" i="1" s="1"/>
  <c r="L68" i="1"/>
  <c r="O68" i="1" s="1"/>
  <c r="P68" i="1" s="1"/>
  <c r="K68" i="1"/>
  <c r="M68" i="1" s="1"/>
  <c r="N68" i="1" s="1"/>
  <c r="L85" i="1"/>
  <c r="O85" i="1" s="1"/>
  <c r="P85" i="1" s="1"/>
  <c r="K85" i="1"/>
  <c r="M85" i="1" s="1"/>
  <c r="N85" i="1" s="1"/>
  <c r="L119" i="1"/>
  <c r="O119" i="1" s="1"/>
  <c r="P119" i="1" s="1"/>
  <c r="K119" i="1"/>
  <c r="M119" i="1" s="1"/>
  <c r="N119" i="1" s="1"/>
  <c r="K35" i="1"/>
  <c r="M35" i="1" s="1"/>
  <c r="N35" i="1" s="1"/>
  <c r="K33" i="1"/>
  <c r="M33" i="1" s="1"/>
  <c r="N33" i="1" s="1"/>
  <c r="K31" i="1"/>
  <c r="M31" i="1" s="1"/>
  <c r="N31" i="1" s="1"/>
  <c r="L96" i="1"/>
  <c r="O96" i="1" s="1"/>
  <c r="P96" i="1" s="1"/>
  <c r="K96" i="1"/>
  <c r="M96" i="1" s="1"/>
  <c r="N96" i="1" s="1"/>
  <c r="L87" i="1"/>
  <c r="O87" i="1" s="1"/>
  <c r="P87" i="1" s="1"/>
  <c r="K87" i="1"/>
  <c r="M87" i="1" s="1"/>
  <c r="N87" i="1" s="1"/>
  <c r="K61" i="1"/>
  <c r="M61" i="1" s="1"/>
  <c r="N61" i="1" s="1"/>
  <c r="K43" i="1"/>
  <c r="M43" i="1" s="1"/>
  <c r="N43" i="1" s="1"/>
  <c r="L79" i="1"/>
  <c r="O79" i="1" s="1"/>
  <c r="P79" i="1" s="1"/>
  <c r="K79" i="1"/>
  <c r="M79" i="1" s="1"/>
  <c r="N79" i="1" s="1"/>
  <c r="L64" i="1"/>
  <c r="O64" i="1" s="1"/>
  <c r="P64" i="1" s="1"/>
  <c r="K64" i="1"/>
  <c r="M64" i="1" s="1"/>
  <c r="N64" i="1" s="1"/>
  <c r="K52" i="1"/>
  <c r="M52" i="1" s="1"/>
  <c r="N52" i="1" s="1"/>
  <c r="K65" i="1"/>
  <c r="M65" i="1" s="1"/>
  <c r="N65" i="1" s="1"/>
  <c r="K25" i="1"/>
  <c r="M25" i="1" s="1"/>
  <c r="N25" i="1" s="1"/>
  <c r="M20" i="1"/>
  <c r="N20" i="1" s="1"/>
  <c r="L33" i="1"/>
  <c r="O33" i="1" s="1"/>
  <c r="P33" i="1" s="1"/>
  <c r="L39" i="1"/>
  <c r="O39" i="1" s="1"/>
  <c r="P39" i="1" s="1"/>
  <c r="L23" i="1"/>
  <c r="O23" i="1" s="1"/>
  <c r="P23" i="1" s="1"/>
  <c r="L93" i="1"/>
  <c r="O93" i="1" s="1"/>
  <c r="P93" i="1" s="1"/>
  <c r="L69" i="1"/>
  <c r="O69" i="1" s="1"/>
  <c r="P69" i="1" s="1"/>
  <c r="L105" i="1"/>
  <c r="O105" i="1" s="1"/>
  <c r="P105" i="1" s="1"/>
  <c r="L29" i="1"/>
  <c r="O29" i="1" s="1"/>
  <c r="P29" i="1" s="1"/>
  <c r="L49" i="1"/>
  <c r="O49" i="1" s="1"/>
  <c r="P49" i="1" s="1"/>
  <c r="L116" i="1"/>
  <c r="O116" i="1" s="1"/>
  <c r="P116" i="1" s="1"/>
  <c r="L32" i="1"/>
  <c r="O32" i="1" s="1"/>
  <c r="P32" i="1" s="1"/>
  <c r="M118" i="1"/>
  <c r="N118" i="1" s="1"/>
  <c r="L30" i="1"/>
  <c r="O30" i="1" s="1"/>
  <c r="P30" i="1" s="1"/>
  <c r="L100" i="1"/>
  <c r="O100" i="1" s="1"/>
  <c r="P100" i="1" s="1"/>
  <c r="L40" i="1"/>
  <c r="O40" i="1" s="1"/>
  <c r="P40" i="1" s="1"/>
  <c r="L45" i="1"/>
  <c r="O45" i="1" s="1"/>
  <c r="P45" i="1" s="1"/>
  <c r="L121" i="1"/>
  <c r="O121" i="1" s="1"/>
  <c r="P121" i="1" s="1"/>
  <c r="L20" i="1"/>
  <c r="O20" i="1" s="1"/>
  <c r="L106" i="1"/>
  <c r="O106" i="1" s="1"/>
  <c r="P106" i="1" s="1"/>
  <c r="L56" i="1"/>
  <c r="O56" i="1" s="1"/>
  <c r="P56" i="1" s="1"/>
  <c r="L104" i="1"/>
  <c r="O104" i="1" s="1"/>
  <c r="P104" i="1" s="1"/>
  <c r="L31" i="1"/>
  <c r="O31" i="1" s="1"/>
  <c r="P31" i="1" s="1"/>
  <c r="L51" i="1"/>
  <c r="O51" i="1" s="1"/>
  <c r="P51" i="1" s="1"/>
  <c r="L91" i="1"/>
  <c r="O91" i="1" s="1"/>
  <c r="P91" i="1" s="1"/>
  <c r="L77" i="1"/>
  <c r="O77" i="1" s="1"/>
  <c r="P77" i="1" s="1"/>
  <c r="L61" i="1"/>
  <c r="O61" i="1" s="1"/>
  <c r="P61" i="1" s="1"/>
  <c r="L43" i="1"/>
  <c r="O43" i="1" s="1"/>
  <c r="P43" i="1" s="1"/>
  <c r="L46" i="1"/>
  <c r="O46" i="1" s="1"/>
  <c r="P46" i="1" s="1"/>
  <c r="L115" i="1"/>
  <c r="O115" i="1" s="1"/>
  <c r="P115" i="1" s="1"/>
  <c r="L108" i="1"/>
  <c r="O108" i="1" s="1"/>
  <c r="P108" i="1" s="1"/>
  <c r="L52" i="1"/>
  <c r="O52" i="1" s="1"/>
  <c r="P52" i="1" s="1"/>
  <c r="L65" i="1"/>
  <c r="O65" i="1" s="1"/>
  <c r="P65" i="1" s="1"/>
  <c r="L57" i="1"/>
  <c r="O57" i="1" s="1"/>
  <c r="P57" i="1" s="1"/>
  <c r="L25" i="1"/>
  <c r="O25" i="1" s="1"/>
  <c r="P25" i="1" s="1"/>
  <c r="L120" i="1"/>
  <c r="O120" i="1" s="1"/>
  <c r="P120" i="1" s="1"/>
  <c r="L24" i="1"/>
  <c r="O24" i="1" s="1"/>
  <c r="P24" i="1" s="1"/>
  <c r="L35" i="1"/>
  <c r="O35" i="1" s="1"/>
  <c r="P35" i="1" s="1"/>
  <c r="L71" i="1"/>
  <c r="O71" i="1" s="1"/>
  <c r="P71" i="1" s="1"/>
  <c r="L28" i="1"/>
  <c r="O28" i="1" s="1"/>
  <c r="P28" i="1" s="1"/>
  <c r="L41" i="1"/>
  <c r="O41" i="1" s="1"/>
  <c r="P41" i="1" s="1"/>
  <c r="L109" i="1"/>
  <c r="O109" i="1" s="1"/>
  <c r="P109" i="1" s="1"/>
  <c r="L122" i="1"/>
  <c r="O122" i="1" s="1"/>
  <c r="P122" i="1" s="1"/>
  <c r="L107" i="1"/>
  <c r="O107" i="1" s="1"/>
  <c r="P107" i="1" s="1"/>
  <c r="L55" i="1"/>
  <c r="O55" i="1" s="1"/>
  <c r="P55" i="1" s="1"/>
  <c r="L124" i="1"/>
  <c r="O124" i="1" s="1"/>
  <c r="P124" i="1" s="1"/>
  <c r="L80" i="1"/>
  <c r="O80" i="1" s="1"/>
  <c r="P80" i="1" s="1"/>
  <c r="L47" i="1"/>
  <c r="O47" i="1" s="1"/>
  <c r="L88" i="1"/>
  <c r="O88" i="1" s="1"/>
  <c r="P88" i="1" s="1"/>
  <c r="L84" i="1"/>
  <c r="O84" i="1" s="1"/>
  <c r="P84" i="1" s="1"/>
  <c r="L74" i="1"/>
  <c r="O74" i="1" s="1"/>
  <c r="P74" i="1" s="1"/>
  <c r="L75" i="1"/>
  <c r="O75" i="1" s="1"/>
  <c r="P75" i="1" s="1"/>
  <c r="L48" i="1"/>
  <c r="O48" i="1" s="1"/>
  <c r="P48" i="1" s="1"/>
  <c r="P47" i="1" l="1"/>
  <c r="P20" i="1"/>
  <c r="O11" i="1"/>
  <c r="AO21" i="1"/>
  <c r="AM22" i="1"/>
  <c r="AZ21" i="1" s="1"/>
  <c r="O15" i="1"/>
  <c r="O12" i="1"/>
  <c r="AM21" i="1"/>
  <c r="O14" i="1"/>
  <c r="AO43" i="1"/>
  <c r="AM43" i="1"/>
  <c r="AP41" i="1" s="1"/>
  <c r="AM44" i="1"/>
  <c r="AZ43" i="1" s="1"/>
  <c r="Q20" i="1" l="1"/>
  <c r="T20" i="1" s="1"/>
  <c r="P14" i="1"/>
  <c r="Z123" i="1" a="1"/>
  <c r="AA126" i="1" s="1"/>
  <c r="AQ137" i="1" s="1"/>
  <c r="AF75" i="1"/>
  <c r="AH75" i="1" s="1"/>
  <c r="P15" i="1"/>
  <c r="Q108" i="1"/>
  <c r="Q120" i="1"/>
  <c r="Q44" i="1"/>
  <c r="Q40" i="1"/>
  <c r="Q81" i="1"/>
  <c r="Q57" i="1"/>
  <c r="Q82" i="1"/>
  <c r="Q80" i="1"/>
  <c r="Q74" i="1"/>
  <c r="Q88" i="1"/>
  <c r="Q59" i="1"/>
  <c r="Q42" i="1"/>
  <c r="Q60" i="1"/>
  <c r="Q110" i="1"/>
  <c r="Q91" i="1"/>
  <c r="Q61" i="1"/>
  <c r="Q122" i="1"/>
  <c r="Q113" i="1"/>
  <c r="Q92" i="1"/>
  <c r="Q73" i="1"/>
  <c r="Q94" i="1"/>
  <c r="Q101" i="1"/>
  <c r="Q85" i="1"/>
  <c r="Q32" i="1"/>
  <c r="Q27" i="1"/>
  <c r="Q30" i="1"/>
  <c r="Q84" i="1"/>
  <c r="Q67" i="1"/>
  <c r="Q63" i="1"/>
  <c r="Q36" i="1"/>
  <c r="Q26" i="1"/>
  <c r="Q107" i="1"/>
  <c r="Q62" i="1"/>
  <c r="Q105" i="1"/>
  <c r="Q99" i="1"/>
  <c r="Q31" i="1"/>
  <c r="Q72" i="1"/>
  <c r="Q24" i="1"/>
  <c r="Q34" i="1"/>
  <c r="Q109" i="1"/>
  <c r="Q86" i="1"/>
  <c r="Q35" i="1"/>
  <c r="Q83" i="1"/>
  <c r="Q119" i="1"/>
  <c r="Q65" i="1"/>
  <c r="Q29" i="1"/>
  <c r="Q102" i="1"/>
  <c r="Q124" i="1"/>
  <c r="Q118" i="1"/>
  <c r="Q38" i="1"/>
  <c r="Q49" i="1"/>
  <c r="Q46" i="1"/>
  <c r="Q78" i="1"/>
  <c r="Q37" i="1"/>
  <c r="Q64" i="1"/>
  <c r="Q25" i="1"/>
  <c r="Q66" i="1"/>
  <c r="Q104" i="1"/>
  <c r="Q121" i="1"/>
  <c r="Q89" i="1"/>
  <c r="Q45" i="1"/>
  <c r="Q48" i="1"/>
  <c r="Q22" i="1"/>
  <c r="Q23" i="1"/>
  <c r="Q33" i="1"/>
  <c r="Q100" i="1"/>
  <c r="Q76" i="1"/>
  <c r="Q96" i="1"/>
  <c r="Q98" i="1"/>
  <c r="Q58" i="1"/>
  <c r="Q41" i="1"/>
  <c r="Q114" i="1"/>
  <c r="Q69" i="1"/>
  <c r="Q39" i="1"/>
  <c r="Q28" i="1"/>
  <c r="Q77" i="1"/>
  <c r="Q52" i="1"/>
  <c r="Q93" i="1"/>
  <c r="Q55" i="1"/>
  <c r="Q123" i="1"/>
  <c r="Q103" i="1"/>
  <c r="Q70" i="1"/>
  <c r="Q117" i="1"/>
  <c r="Q47" i="1"/>
  <c r="Q95" i="1"/>
  <c r="Q56" i="1"/>
  <c r="Q87" i="1"/>
  <c r="Q75" i="1"/>
  <c r="Q97" i="1"/>
  <c r="Q90" i="1"/>
  <c r="Q79" i="1"/>
  <c r="Q115" i="1"/>
  <c r="Q68" i="1"/>
  <c r="Q51" i="1"/>
  <c r="Q21" i="1"/>
  <c r="Q53" i="1"/>
  <c r="Q116" i="1"/>
  <c r="Q54" i="1"/>
  <c r="Q106" i="1"/>
  <c r="Q50" i="1"/>
  <c r="Q112" i="1"/>
  <c r="Q43" i="1"/>
  <c r="Q111" i="1"/>
  <c r="Q71" i="1"/>
  <c r="AP42" i="1"/>
  <c r="AP44" i="1" s="1"/>
  <c r="AP45" i="1" s="1"/>
  <c r="AQ41" i="1"/>
  <c r="AP19" i="1"/>
  <c r="AP21" i="1"/>
  <c r="AQ21" i="1" s="1"/>
  <c r="AR21" i="1" s="1"/>
  <c r="AS21" i="1" s="1"/>
  <c r="AT21" i="1" s="1"/>
  <c r="AU21" i="1" s="1"/>
  <c r="AV21" i="1" s="1"/>
  <c r="AW21" i="1" s="1"/>
  <c r="AX21" i="1" s="1"/>
  <c r="AY21" i="1" s="1"/>
  <c r="V22" i="1" l="1"/>
  <c r="AK126" i="1"/>
  <c r="AG136" i="1" s="1"/>
  <c r="R58" i="1"/>
  <c r="S58" i="1" s="1"/>
  <c r="V84" i="1"/>
  <c r="V90" i="1"/>
  <c r="V51" i="1"/>
  <c r="V99" i="1"/>
  <c r="V66" i="1"/>
  <c r="V110" i="1"/>
  <c r="V49" i="1"/>
  <c r="V109" i="1"/>
  <c r="V41" i="1"/>
  <c r="V35" i="1"/>
  <c r="V33" i="1"/>
  <c r="V81" i="1"/>
  <c r="V59" i="1"/>
  <c r="V91" i="1"/>
  <c r="V42" i="1"/>
  <c r="V38" i="1"/>
  <c r="V71" i="1"/>
  <c r="V74" i="1"/>
  <c r="V63" i="1"/>
  <c r="V76" i="1"/>
  <c r="V45" i="1"/>
  <c r="V98" i="1"/>
  <c r="V96" i="1"/>
  <c r="V115" i="1"/>
  <c r="V46" i="1"/>
  <c r="V119" i="1"/>
  <c r="V52" i="1"/>
  <c r="V118" i="1"/>
  <c r="V77" i="1"/>
  <c r="V79" i="1"/>
  <c r="V122" i="1"/>
  <c r="V24" i="1"/>
  <c r="V69" i="1"/>
  <c r="V75" i="1"/>
  <c r="V40" i="1"/>
  <c r="V23" i="1"/>
  <c r="V83" i="1"/>
  <c r="V39" i="1"/>
  <c r="V103" i="1"/>
  <c r="V117" i="1"/>
  <c r="V102" i="1"/>
  <c r="V29" i="1"/>
  <c r="V121" i="1"/>
  <c r="V26" i="1"/>
  <c r="V111" i="1"/>
  <c r="V116" i="1"/>
  <c r="V108" i="1"/>
  <c r="V88" i="1"/>
  <c r="V48" i="1"/>
  <c r="V93" i="1"/>
  <c r="V62" i="1"/>
  <c r="V92" i="1"/>
  <c r="V57" i="1"/>
  <c r="V47" i="1"/>
  <c r="V27" i="1"/>
  <c r="V54" i="1"/>
  <c r="V105" i="1"/>
  <c r="V64" i="1"/>
  <c r="V120" i="1"/>
  <c r="V112" i="1"/>
  <c r="V68" i="1"/>
  <c r="V80" i="1"/>
  <c r="V36" i="1"/>
  <c r="V94" i="1"/>
  <c r="V89" i="1"/>
  <c r="V21" i="1"/>
  <c r="V73" i="1"/>
  <c r="V56" i="1"/>
  <c r="V101" i="1"/>
  <c r="V85" i="1"/>
  <c r="V55" i="1"/>
  <c r="V28" i="1"/>
  <c r="V97" i="1"/>
  <c r="V72" i="1"/>
  <c r="V67" i="1"/>
  <c r="V25" i="1"/>
  <c r="V34" i="1"/>
  <c r="V60" i="1"/>
  <c r="V78" i="1"/>
  <c r="V31" i="1"/>
  <c r="V65" i="1"/>
  <c r="V107" i="1"/>
  <c r="V100" i="1"/>
  <c r="V44" i="1"/>
  <c r="V32" i="1"/>
  <c r="V43" i="1"/>
  <c r="V87" i="1"/>
  <c r="V124" i="1"/>
  <c r="V95" i="1"/>
  <c r="V37" i="1"/>
  <c r="V86" i="1"/>
  <c r="V50" i="1"/>
  <c r="V104" i="1"/>
  <c r="V30" i="1"/>
  <c r="V61" i="1"/>
  <c r="V123" i="1"/>
  <c r="V114" i="1"/>
  <c r="V113" i="1"/>
  <c r="V70" i="1"/>
  <c r="V53" i="1"/>
  <c r="V58" i="1"/>
  <c r="V82" i="1"/>
  <c r="V106" i="1"/>
  <c r="V20" i="1"/>
  <c r="Z124" i="1"/>
  <c r="AF124" i="1" s="1"/>
  <c r="AA123" i="1"/>
  <c r="AK123" i="1" s="1"/>
  <c r="AA125" i="1"/>
  <c r="AK125" i="1" s="1"/>
  <c r="Z125" i="1"/>
  <c r="AF125" i="1" s="1"/>
  <c r="Z126" i="1"/>
  <c r="AF126" i="1" s="1"/>
  <c r="AN137" i="1" s="1"/>
  <c r="AM139" i="1" s="1"/>
  <c r="AA124" i="1"/>
  <c r="AK124" i="1" s="1"/>
  <c r="Z123" i="1"/>
  <c r="AF123" i="1" s="1"/>
  <c r="AA127" i="1"/>
  <c r="AK127" i="1" s="1"/>
  <c r="Z127" i="1"/>
  <c r="AF127" i="1" s="1"/>
  <c r="R68" i="1"/>
  <c r="S68" i="1" s="1"/>
  <c r="R106" i="1"/>
  <c r="S106" i="1" s="1"/>
  <c r="R31" i="1"/>
  <c r="S31" i="1" s="1"/>
  <c r="R83" i="1"/>
  <c r="S83" i="1" s="1"/>
  <c r="R26" i="1"/>
  <c r="S26" i="1" s="1"/>
  <c r="R90" i="1"/>
  <c r="S90" i="1" s="1"/>
  <c r="R113" i="1"/>
  <c r="S113" i="1" s="1"/>
  <c r="R47" i="1"/>
  <c r="S47" i="1" s="1"/>
  <c r="R96" i="1"/>
  <c r="S96" i="1" s="1"/>
  <c r="R97" i="1"/>
  <c r="S97" i="1" s="1"/>
  <c r="R103" i="1"/>
  <c r="S103" i="1" s="1"/>
  <c r="R114" i="1"/>
  <c r="S114" i="1" s="1"/>
  <c r="R79" i="1"/>
  <c r="S79" i="1" s="1"/>
  <c r="R117" i="1"/>
  <c r="S117" i="1" s="1"/>
  <c r="R61" i="1"/>
  <c r="S61" i="1" s="1"/>
  <c r="R42" i="1"/>
  <c r="S42" i="1" s="1"/>
  <c r="R33" i="1"/>
  <c r="S33" i="1" s="1"/>
  <c r="R40" i="1"/>
  <c r="S40" i="1" s="1"/>
  <c r="R28" i="1"/>
  <c r="S28" i="1" s="1"/>
  <c r="R29" i="1"/>
  <c r="S29" i="1" s="1"/>
  <c r="R78" i="1"/>
  <c r="S78" i="1" s="1"/>
  <c r="R30" i="1"/>
  <c r="S30" i="1" s="1"/>
  <c r="R25" i="1"/>
  <c r="S25" i="1" s="1"/>
  <c r="R100" i="1"/>
  <c r="S100" i="1" s="1"/>
  <c r="R57" i="1"/>
  <c r="S57" i="1" s="1"/>
  <c r="R53" i="1"/>
  <c r="S53" i="1" s="1"/>
  <c r="R67" i="1"/>
  <c r="S67" i="1" s="1"/>
  <c r="R62" i="1"/>
  <c r="S62" i="1" s="1"/>
  <c r="R109" i="1"/>
  <c r="S109" i="1" s="1"/>
  <c r="R88" i="1"/>
  <c r="S88" i="1" s="1"/>
  <c r="R110" i="1"/>
  <c r="S110" i="1" s="1"/>
  <c r="R98" i="1"/>
  <c r="S98" i="1" s="1"/>
  <c r="R93" i="1"/>
  <c r="S93" i="1" s="1"/>
  <c r="R69" i="1"/>
  <c r="S69" i="1" s="1"/>
  <c r="R119" i="1"/>
  <c r="S119" i="1" s="1"/>
  <c r="R49" i="1"/>
  <c r="S49" i="1" s="1"/>
  <c r="R102" i="1"/>
  <c r="S102" i="1" s="1"/>
  <c r="R34" i="1"/>
  <c r="S34" i="1" s="1"/>
  <c r="R87" i="1"/>
  <c r="S87" i="1" s="1"/>
  <c r="R81" i="1"/>
  <c r="S81" i="1" s="1"/>
  <c r="R112" i="1"/>
  <c r="S112" i="1" s="1"/>
  <c r="R56" i="1"/>
  <c r="S56" i="1" s="1"/>
  <c r="R91" i="1"/>
  <c r="S91" i="1" s="1"/>
  <c r="R74" i="1"/>
  <c r="S74" i="1" s="1"/>
  <c r="R107" i="1"/>
  <c r="S107" i="1" s="1"/>
  <c r="R111" i="1"/>
  <c r="S111" i="1" s="1"/>
  <c r="R92" i="1"/>
  <c r="S92" i="1" s="1"/>
  <c r="R73" i="1"/>
  <c r="S73" i="1" s="1"/>
  <c r="R118" i="1"/>
  <c r="S118" i="1" s="1"/>
  <c r="R37" i="1"/>
  <c r="S37" i="1" s="1"/>
  <c r="R77" i="1"/>
  <c r="S77" i="1" s="1"/>
  <c r="R101" i="1"/>
  <c r="S101" i="1" s="1"/>
  <c r="R72" i="1"/>
  <c r="S72" i="1" s="1"/>
  <c r="R24" i="1"/>
  <c r="S24" i="1" s="1"/>
  <c r="R115" i="1"/>
  <c r="S115" i="1" s="1"/>
  <c r="R48" i="1"/>
  <c r="S48" i="1" s="1"/>
  <c r="R120" i="1"/>
  <c r="S120" i="1" s="1"/>
  <c r="R121" i="1"/>
  <c r="S121" i="1" s="1"/>
  <c r="R36" i="1"/>
  <c r="S36" i="1" s="1"/>
  <c r="R59" i="1"/>
  <c r="S59" i="1" s="1"/>
  <c r="R45" i="1"/>
  <c r="S45" i="1" s="1"/>
  <c r="R99" i="1"/>
  <c r="S99" i="1" s="1"/>
  <c r="R95" i="1"/>
  <c r="S95" i="1" s="1"/>
  <c r="R32" i="1"/>
  <c r="S32" i="1" s="1"/>
  <c r="R50" i="1"/>
  <c r="S50" i="1" s="1"/>
  <c r="R60" i="1"/>
  <c r="S60" i="1" s="1"/>
  <c r="R116" i="1"/>
  <c r="S116" i="1" s="1"/>
  <c r="R41" i="1"/>
  <c r="S41" i="1" s="1"/>
  <c r="R89" i="1"/>
  <c r="S89" i="1" s="1"/>
  <c r="R43" i="1"/>
  <c r="S43" i="1" s="1"/>
  <c r="R39" i="1"/>
  <c r="S39" i="1" s="1"/>
  <c r="R35" i="1"/>
  <c r="S35" i="1" s="1"/>
  <c r="R85" i="1"/>
  <c r="S85" i="1" s="1"/>
  <c r="R94" i="1"/>
  <c r="S94" i="1" s="1"/>
  <c r="R71" i="1"/>
  <c r="S71" i="1" s="1"/>
  <c r="R55" i="1"/>
  <c r="S55" i="1" s="1"/>
  <c r="R23" i="1"/>
  <c r="S23" i="1" s="1"/>
  <c r="R44" i="1"/>
  <c r="S44" i="1" s="1"/>
  <c r="R84" i="1"/>
  <c r="S84" i="1" s="1"/>
  <c r="R82" i="1"/>
  <c r="S82" i="1" s="1"/>
  <c r="R46" i="1"/>
  <c r="S46" i="1" s="1"/>
  <c r="R63" i="1"/>
  <c r="S63" i="1" s="1"/>
  <c r="R38" i="1"/>
  <c r="S38" i="1" s="1"/>
  <c r="R27" i="1"/>
  <c r="S27" i="1" s="1"/>
  <c r="R75" i="1"/>
  <c r="S75" i="1" s="1"/>
  <c r="R51" i="1"/>
  <c r="S51" i="1" s="1"/>
  <c r="R54" i="1"/>
  <c r="S54" i="1" s="1"/>
  <c r="R66" i="1"/>
  <c r="S66" i="1" s="1"/>
  <c r="R105" i="1"/>
  <c r="S105" i="1" s="1"/>
  <c r="R20" i="1"/>
  <c r="S20" i="1" s="1"/>
  <c r="R122" i="1"/>
  <c r="S122" i="1" s="1"/>
  <c r="R65" i="1"/>
  <c r="S65" i="1" s="1"/>
  <c r="R52" i="1"/>
  <c r="S52" i="1" s="1"/>
  <c r="R21" i="1"/>
  <c r="S21" i="1" s="1"/>
  <c r="R80" i="1"/>
  <c r="S80" i="1" s="1"/>
  <c r="R70" i="1"/>
  <c r="S70" i="1" s="1"/>
  <c r="R76" i="1"/>
  <c r="S76" i="1" s="1"/>
  <c r="R123" i="1"/>
  <c r="S123" i="1" s="1"/>
  <c r="R104" i="1"/>
  <c r="S104" i="1" s="1"/>
  <c r="R124" i="1"/>
  <c r="S124" i="1" s="1"/>
  <c r="R86" i="1"/>
  <c r="S86" i="1" s="1"/>
  <c r="R64" i="1"/>
  <c r="S64" i="1" s="1"/>
  <c r="R22" i="1"/>
  <c r="S22" i="1" s="1"/>
  <c r="R108" i="1"/>
  <c r="S108" i="1" s="1"/>
  <c r="T39" i="1"/>
  <c r="T114" i="1"/>
  <c r="T106" i="1"/>
  <c r="T87" i="1"/>
  <c r="T28" i="1"/>
  <c r="T22" i="1"/>
  <c r="T49" i="1"/>
  <c r="T34" i="1"/>
  <c r="T84" i="1"/>
  <c r="T91" i="1"/>
  <c r="T56" i="1"/>
  <c r="T116" i="1"/>
  <c r="T95" i="1"/>
  <c r="T69" i="1"/>
  <c r="T45" i="1"/>
  <c r="T118" i="1"/>
  <c r="T72" i="1"/>
  <c r="T27" i="1"/>
  <c r="T60" i="1"/>
  <c r="T54" i="1"/>
  <c r="T30" i="1"/>
  <c r="T89" i="1"/>
  <c r="T21" i="1"/>
  <c r="T117" i="1"/>
  <c r="T41" i="1"/>
  <c r="T121" i="1"/>
  <c r="T102" i="1"/>
  <c r="T99" i="1"/>
  <c r="T85" i="1"/>
  <c r="T59" i="1"/>
  <c r="T82" i="1"/>
  <c r="T53" i="1"/>
  <c r="T58" i="1"/>
  <c r="T105" i="1"/>
  <c r="T101" i="1"/>
  <c r="T88" i="1"/>
  <c r="T57" i="1"/>
  <c r="T110" i="1"/>
  <c r="T124" i="1"/>
  <c r="T66" i="1"/>
  <c r="T74" i="1"/>
  <c r="T81" i="1"/>
  <c r="T48" i="1"/>
  <c r="T31" i="1"/>
  <c r="T70" i="1"/>
  <c r="T104" i="1"/>
  <c r="T98" i="1"/>
  <c r="T96" i="1"/>
  <c r="T73" i="1"/>
  <c r="T80" i="1"/>
  <c r="T40" i="1"/>
  <c r="T94" i="1"/>
  <c r="T115" i="1"/>
  <c r="T123" i="1"/>
  <c r="T111" i="1"/>
  <c r="T76" i="1"/>
  <c r="T64" i="1"/>
  <c r="T83" i="1"/>
  <c r="T26" i="1"/>
  <c r="T92" i="1"/>
  <c r="T44" i="1"/>
  <c r="T38" i="1"/>
  <c r="T42" i="1"/>
  <c r="T29" i="1"/>
  <c r="T68" i="1"/>
  <c r="T103" i="1"/>
  <c r="T71" i="1"/>
  <c r="T107" i="1"/>
  <c r="T90" i="1"/>
  <c r="T93" i="1"/>
  <c r="T100" i="1"/>
  <c r="T37" i="1"/>
  <c r="T35" i="1"/>
  <c r="T36" i="1"/>
  <c r="T113" i="1"/>
  <c r="T120" i="1"/>
  <c r="T32" i="1"/>
  <c r="T51" i="1"/>
  <c r="T62" i="1"/>
  <c r="T25" i="1"/>
  <c r="T79" i="1"/>
  <c r="T43" i="1"/>
  <c r="T112" i="1"/>
  <c r="T97" i="1"/>
  <c r="T52" i="1"/>
  <c r="T33" i="1"/>
  <c r="T78" i="1"/>
  <c r="T86" i="1"/>
  <c r="T63" i="1"/>
  <c r="T122" i="1"/>
  <c r="T108" i="1"/>
  <c r="T24" i="1"/>
  <c r="T47" i="1"/>
  <c r="T65" i="1"/>
  <c r="T119" i="1"/>
  <c r="T55" i="1"/>
  <c r="T50" i="1"/>
  <c r="T75" i="1"/>
  <c r="T77" i="1"/>
  <c r="T23" i="1"/>
  <c r="T46" i="1"/>
  <c r="T109" i="1"/>
  <c r="T67" i="1"/>
  <c r="T61" i="1"/>
  <c r="AQ19" i="1"/>
  <c r="AP20" i="1"/>
  <c r="AP22" i="1" s="1"/>
  <c r="AP23" i="1" s="1"/>
  <c r="AQ42" i="1"/>
  <c r="AQ44" i="1" s="1"/>
  <c r="AR41" i="1"/>
  <c r="AP43" i="1"/>
  <c r="AK129" i="1" l="1"/>
  <c r="AZ131" i="1"/>
  <c r="AW141" i="1"/>
  <c r="AX131" i="1"/>
  <c r="AX139" i="1"/>
  <c r="AE136" i="1"/>
  <c r="AE139" i="1" s="1"/>
  <c r="AC136" i="1"/>
  <c r="AC139" i="1" s="1"/>
  <c r="AA95" i="1"/>
  <c r="AC95" i="1" s="1"/>
  <c r="AQ45" i="1"/>
  <c r="AQ43" i="1"/>
  <c r="AS41" i="1"/>
  <c r="AR42" i="1"/>
  <c r="AR19" i="1"/>
  <c r="AQ20" i="1"/>
  <c r="AQ22" i="1" s="1"/>
  <c r="AQ23" i="1" s="1"/>
  <c r="AY139" i="1" l="1"/>
  <c r="AC137" i="1"/>
  <c r="AE137" i="1"/>
  <c r="AB98" i="1"/>
  <c r="AB99" i="1"/>
  <c r="W20" i="1"/>
  <c r="W124" i="1"/>
  <c r="U124" i="1" s="1"/>
  <c r="W112" i="1"/>
  <c r="U112" i="1" s="1"/>
  <c r="W100" i="1"/>
  <c r="U100" i="1" s="1"/>
  <c r="W88" i="1"/>
  <c r="U88" i="1" s="1"/>
  <c r="W76" i="1"/>
  <c r="U76" i="1" s="1"/>
  <c r="W64" i="1"/>
  <c r="U64" i="1" s="1"/>
  <c r="W52" i="1"/>
  <c r="U52" i="1" s="1"/>
  <c r="W40" i="1"/>
  <c r="U40" i="1" s="1"/>
  <c r="W28" i="1"/>
  <c r="U28" i="1" s="1"/>
  <c r="W98" i="1"/>
  <c r="U98" i="1" s="1"/>
  <c r="W62" i="1"/>
  <c r="U62" i="1" s="1"/>
  <c r="W38" i="1"/>
  <c r="U38" i="1" s="1"/>
  <c r="W109" i="1"/>
  <c r="U109" i="1" s="1"/>
  <c r="W85" i="1"/>
  <c r="U85" i="1" s="1"/>
  <c r="W61" i="1"/>
  <c r="U61" i="1" s="1"/>
  <c r="W25" i="1"/>
  <c r="U25" i="1" s="1"/>
  <c r="W84" i="1"/>
  <c r="U84" i="1" s="1"/>
  <c r="W48" i="1"/>
  <c r="U48" i="1" s="1"/>
  <c r="W119" i="1"/>
  <c r="U119" i="1" s="1"/>
  <c r="W71" i="1"/>
  <c r="U71" i="1" s="1"/>
  <c r="W35" i="1"/>
  <c r="U35" i="1" s="1"/>
  <c r="W106" i="1"/>
  <c r="U106" i="1" s="1"/>
  <c r="W70" i="1"/>
  <c r="U70" i="1" s="1"/>
  <c r="W34" i="1"/>
  <c r="U34" i="1" s="1"/>
  <c r="W105" i="1"/>
  <c r="U105" i="1" s="1"/>
  <c r="W57" i="1"/>
  <c r="U57" i="1" s="1"/>
  <c r="W92" i="1"/>
  <c r="U92" i="1" s="1"/>
  <c r="W44" i="1"/>
  <c r="U44" i="1" s="1"/>
  <c r="W91" i="1"/>
  <c r="U91" i="1" s="1"/>
  <c r="W43" i="1"/>
  <c r="U43" i="1" s="1"/>
  <c r="W66" i="1"/>
  <c r="U66" i="1" s="1"/>
  <c r="W54" i="1"/>
  <c r="U54" i="1" s="1"/>
  <c r="W113" i="1"/>
  <c r="U113" i="1" s="1"/>
  <c r="W53" i="1"/>
  <c r="U53" i="1" s="1"/>
  <c r="W123" i="1"/>
  <c r="U123" i="1" s="1"/>
  <c r="W111" i="1"/>
  <c r="U111" i="1" s="1"/>
  <c r="W99" i="1"/>
  <c r="U99" i="1" s="1"/>
  <c r="W87" i="1"/>
  <c r="U87" i="1" s="1"/>
  <c r="W75" i="1"/>
  <c r="U75" i="1" s="1"/>
  <c r="W63" i="1"/>
  <c r="U63" i="1" s="1"/>
  <c r="W51" i="1"/>
  <c r="U51" i="1" s="1"/>
  <c r="W39" i="1"/>
  <c r="U39" i="1" s="1"/>
  <c r="W27" i="1"/>
  <c r="U27" i="1" s="1"/>
  <c r="W110" i="1"/>
  <c r="U110" i="1" s="1"/>
  <c r="W74" i="1"/>
  <c r="U74" i="1" s="1"/>
  <c r="W50" i="1"/>
  <c r="U50" i="1" s="1"/>
  <c r="W121" i="1"/>
  <c r="U121" i="1" s="1"/>
  <c r="W97" i="1"/>
  <c r="U97" i="1" s="1"/>
  <c r="W73" i="1"/>
  <c r="U73" i="1" s="1"/>
  <c r="W37" i="1"/>
  <c r="U37" i="1" s="1"/>
  <c r="W108" i="1"/>
  <c r="U108" i="1" s="1"/>
  <c r="W72" i="1"/>
  <c r="U72" i="1" s="1"/>
  <c r="W24" i="1"/>
  <c r="U24" i="1" s="1"/>
  <c r="W83" i="1"/>
  <c r="U83" i="1" s="1"/>
  <c r="W59" i="1"/>
  <c r="U59" i="1" s="1"/>
  <c r="W23" i="1"/>
  <c r="U23" i="1" s="1"/>
  <c r="W118" i="1"/>
  <c r="U118" i="1" s="1"/>
  <c r="W82" i="1"/>
  <c r="U82" i="1" s="1"/>
  <c r="W46" i="1"/>
  <c r="U46" i="1" s="1"/>
  <c r="W93" i="1"/>
  <c r="U93" i="1" s="1"/>
  <c r="W45" i="1"/>
  <c r="U45" i="1" s="1"/>
  <c r="W116" i="1"/>
  <c r="U116" i="1" s="1"/>
  <c r="W56" i="1"/>
  <c r="U56" i="1" s="1"/>
  <c r="W79" i="1"/>
  <c r="U79" i="1" s="1"/>
  <c r="W31" i="1"/>
  <c r="U31" i="1" s="1"/>
  <c r="W90" i="1"/>
  <c r="U90" i="1" s="1"/>
  <c r="W30" i="1"/>
  <c r="U30" i="1" s="1"/>
  <c r="W77" i="1"/>
  <c r="U77" i="1" s="1"/>
  <c r="W41" i="1"/>
  <c r="U41" i="1" s="1"/>
  <c r="W122" i="1"/>
  <c r="U122" i="1" s="1"/>
  <c r="W86" i="1"/>
  <c r="U86" i="1" s="1"/>
  <c r="W26" i="1"/>
  <c r="U26" i="1" s="1"/>
  <c r="W49" i="1"/>
  <c r="U49" i="1" s="1"/>
  <c r="W96" i="1"/>
  <c r="U96" i="1" s="1"/>
  <c r="W60" i="1"/>
  <c r="U60" i="1" s="1"/>
  <c r="W36" i="1"/>
  <c r="U36" i="1" s="1"/>
  <c r="W107" i="1"/>
  <c r="U107" i="1" s="1"/>
  <c r="W47" i="1"/>
  <c r="U47" i="1" s="1"/>
  <c r="W94" i="1"/>
  <c r="U94" i="1" s="1"/>
  <c r="W58" i="1"/>
  <c r="U58" i="1" s="1"/>
  <c r="W22" i="1"/>
  <c r="U22" i="1" s="1"/>
  <c r="W117" i="1"/>
  <c r="U117" i="1" s="1"/>
  <c r="W69" i="1"/>
  <c r="U69" i="1" s="1"/>
  <c r="W104" i="1"/>
  <c r="U104" i="1" s="1"/>
  <c r="W32" i="1"/>
  <c r="U32" i="1" s="1"/>
  <c r="W67" i="1"/>
  <c r="U67" i="1" s="1"/>
  <c r="W102" i="1"/>
  <c r="U102" i="1" s="1"/>
  <c r="W101" i="1"/>
  <c r="U101" i="1" s="1"/>
  <c r="W29" i="1"/>
  <c r="U29" i="1" s="1"/>
  <c r="W95" i="1"/>
  <c r="U95" i="1" s="1"/>
  <c r="W81" i="1"/>
  <c r="U81" i="1" s="1"/>
  <c r="W33" i="1"/>
  <c r="U33" i="1" s="1"/>
  <c r="W68" i="1"/>
  <c r="U68" i="1" s="1"/>
  <c r="W115" i="1"/>
  <c r="U115" i="1" s="1"/>
  <c r="W55" i="1"/>
  <c r="U55" i="1" s="1"/>
  <c r="W78" i="1"/>
  <c r="U78" i="1" s="1"/>
  <c r="W89" i="1"/>
  <c r="U89" i="1" s="1"/>
  <c r="W120" i="1"/>
  <c r="U120" i="1" s="1"/>
  <c r="W21" i="1"/>
  <c r="U21" i="1" s="1"/>
  <c r="W80" i="1"/>
  <c r="U80" i="1" s="1"/>
  <c r="W103" i="1"/>
  <c r="U103" i="1" s="1"/>
  <c r="W114" i="1"/>
  <c r="U114" i="1" s="1"/>
  <c r="W42" i="1"/>
  <c r="U42" i="1" s="1"/>
  <c r="W65" i="1"/>
  <c r="U65" i="1" s="1"/>
  <c r="AR44" i="1"/>
  <c r="AR45" i="1" s="1"/>
  <c r="AR20" i="1"/>
  <c r="AR22" i="1" s="1"/>
  <c r="AR23" i="1" s="1"/>
  <c r="AS19" i="1"/>
  <c r="AR43" i="1"/>
  <c r="AS42" i="1"/>
  <c r="AT41" i="1"/>
  <c r="U20" i="1" l="1"/>
  <c r="X20" i="1"/>
  <c r="X40" i="1"/>
  <c r="X28" i="1"/>
  <c r="X51" i="1"/>
  <c r="X68" i="1"/>
  <c r="X35" i="1"/>
  <c r="X71" i="1"/>
  <c r="X81" i="1"/>
  <c r="X119" i="1"/>
  <c r="X114" i="1"/>
  <c r="X64" i="1"/>
  <c r="X103" i="1"/>
  <c r="X24" i="1"/>
  <c r="X79" i="1"/>
  <c r="X44" i="1"/>
  <c r="X25" i="1"/>
  <c r="X88" i="1"/>
  <c r="X118" i="1"/>
  <c r="X77" i="1"/>
  <c r="X30" i="1"/>
  <c r="X39" i="1"/>
  <c r="X29" i="1"/>
  <c r="X21" i="1"/>
  <c r="X92" i="1"/>
  <c r="X100" i="1"/>
  <c r="X113" i="1"/>
  <c r="X33" i="1"/>
  <c r="X110" i="1"/>
  <c r="X52" i="1"/>
  <c r="X47" i="1"/>
  <c r="X43" i="1"/>
  <c r="X84" i="1"/>
  <c r="X72" i="1"/>
  <c r="X60" i="1"/>
  <c r="X108" i="1"/>
  <c r="X120" i="1"/>
  <c r="X96" i="1"/>
  <c r="X116" i="1"/>
  <c r="X37" i="1"/>
  <c r="X87" i="1"/>
  <c r="X57" i="1"/>
  <c r="X85" i="1"/>
  <c r="X112" i="1"/>
  <c r="X74" i="1"/>
  <c r="X23" i="1"/>
  <c r="X59" i="1"/>
  <c r="X90" i="1"/>
  <c r="X31" i="1"/>
  <c r="X80" i="1"/>
  <c r="X99" i="1"/>
  <c r="X109" i="1"/>
  <c r="X124" i="1"/>
  <c r="X41" i="1"/>
  <c r="X58" i="1"/>
  <c r="X42" i="1"/>
  <c r="X27" i="1"/>
  <c r="X83" i="1"/>
  <c r="X91" i="1"/>
  <c r="X36" i="1"/>
  <c r="X75" i="1"/>
  <c r="X32" i="1"/>
  <c r="X73" i="1"/>
  <c r="X26" i="1"/>
  <c r="X111" i="1"/>
  <c r="X38" i="1"/>
  <c r="X22" i="1"/>
  <c r="X65" i="1"/>
  <c r="X54" i="1"/>
  <c r="X94" i="1"/>
  <c r="X66" i="1"/>
  <c r="X95" i="1"/>
  <c r="X48" i="1"/>
  <c r="X107" i="1"/>
  <c r="X76" i="1"/>
  <c r="X101" i="1"/>
  <c r="X63" i="1"/>
  <c r="X102" i="1"/>
  <c r="X56" i="1"/>
  <c r="X61" i="1"/>
  <c r="X67" i="1"/>
  <c r="X89" i="1"/>
  <c r="X49" i="1"/>
  <c r="X45" i="1"/>
  <c r="X105" i="1"/>
  <c r="X78" i="1"/>
  <c r="X104" i="1"/>
  <c r="X93" i="1"/>
  <c r="X97" i="1"/>
  <c r="X34" i="1"/>
  <c r="X55" i="1"/>
  <c r="X69" i="1"/>
  <c r="X86" i="1"/>
  <c r="X46" i="1"/>
  <c r="X121" i="1"/>
  <c r="X123" i="1"/>
  <c r="X70" i="1"/>
  <c r="X62" i="1"/>
  <c r="X115" i="1"/>
  <c r="X117" i="1"/>
  <c r="X122" i="1"/>
  <c r="X82" i="1"/>
  <c r="X50" i="1"/>
  <c r="X53" i="1"/>
  <c r="X106" i="1"/>
  <c r="X98" i="1"/>
  <c r="AS44" i="1"/>
  <c r="AS45" i="1" s="1"/>
  <c r="AS43" i="1"/>
  <c r="AT42" i="1"/>
  <c r="AU41" i="1"/>
  <c r="AS20" i="1"/>
  <c r="AS22" i="1" s="1"/>
  <c r="AS23" i="1" s="1"/>
  <c r="AT19" i="1"/>
  <c r="AW103" i="1" l="1"/>
  <c r="AW102" i="1"/>
  <c r="AS104" i="1"/>
  <c r="AS103" i="1"/>
  <c r="AS102" i="1"/>
  <c r="AZ139" i="1"/>
  <c r="BA139" i="1" s="1"/>
  <c r="AM77" i="1"/>
  <c r="AM76" i="1"/>
  <c r="AM74" i="1"/>
  <c r="AM73" i="1"/>
  <c r="AT44" i="1"/>
  <c r="AT45" i="1" s="1"/>
  <c r="AT43" i="1"/>
  <c r="AT20" i="1"/>
  <c r="AT22" i="1" s="1"/>
  <c r="AT23" i="1" s="1"/>
  <c r="AU19" i="1"/>
  <c r="AV41" i="1"/>
  <c r="AU42" i="1"/>
  <c r="AY141" i="1" l="1"/>
  <c r="AP71" i="1"/>
  <c r="AU44" i="1"/>
  <c r="AU45" i="1" s="1"/>
  <c r="AV42" i="1"/>
  <c r="AW41" i="1"/>
  <c r="AU43" i="1"/>
  <c r="AU20" i="1"/>
  <c r="AU22" i="1" s="1"/>
  <c r="AU23" i="1" s="1"/>
  <c r="AV19" i="1"/>
  <c r="AQ71" i="1" l="1"/>
  <c r="AQ72" i="1" s="1"/>
  <c r="AP72" i="1"/>
  <c r="AP74" i="1" s="1"/>
  <c r="AV44" i="1"/>
  <c r="AV45" i="1" s="1"/>
  <c r="AV43" i="1"/>
  <c r="AV20" i="1"/>
  <c r="AV22" i="1" s="1"/>
  <c r="AV23" i="1" s="1"/>
  <c r="AW19" i="1"/>
  <c r="AW42" i="1"/>
  <c r="AX41" i="1"/>
  <c r="AR71" i="1" l="1"/>
  <c r="AS71" i="1" s="1"/>
  <c r="AS72" i="1" s="1"/>
  <c r="AQ73" i="1"/>
  <c r="AP73" i="1"/>
  <c r="AQ74" i="1"/>
  <c r="AP76" i="1"/>
  <c r="AW44" i="1"/>
  <c r="AW45" i="1" s="1"/>
  <c r="AW43" i="1"/>
  <c r="AX42" i="1"/>
  <c r="AY41" i="1"/>
  <c r="AW20" i="1"/>
  <c r="AW22" i="1" s="1"/>
  <c r="AW23" i="1" s="1"/>
  <c r="AX19" i="1"/>
  <c r="AR72" i="1" l="1"/>
  <c r="AR73" i="1" s="1"/>
  <c r="AT71" i="1"/>
  <c r="AT72" i="1" s="1"/>
  <c r="AS73" i="1"/>
  <c r="AQ76" i="1"/>
  <c r="AX44" i="1"/>
  <c r="AX45" i="1" s="1"/>
  <c r="AX43" i="1"/>
  <c r="AX20" i="1"/>
  <c r="AX22" i="1" s="1"/>
  <c r="AX23" i="1" s="1"/>
  <c r="AY19" i="1"/>
  <c r="AY20" i="1" s="1"/>
  <c r="AY42" i="1"/>
  <c r="AR74" i="1" l="1"/>
  <c r="AS74" i="1" s="1"/>
  <c r="AR76" i="1"/>
  <c r="AS76" i="1" s="1"/>
  <c r="AT76" i="1" s="1"/>
  <c r="AU71" i="1"/>
  <c r="AU72" i="1" s="1"/>
  <c r="AT73" i="1"/>
  <c r="AY44" i="1"/>
  <c r="AY45" i="1" s="1"/>
  <c r="AZ45" i="1" s="1"/>
  <c r="AY43" i="1"/>
  <c r="AY22" i="1"/>
  <c r="AY23" i="1" s="1"/>
  <c r="AZ23" i="1" s="1"/>
  <c r="AV71" i="1" l="1"/>
  <c r="AV72" i="1" s="1"/>
  <c r="AU73" i="1"/>
  <c r="AT74" i="1"/>
  <c r="AU76" i="1"/>
  <c r="AU74" i="1" l="1"/>
  <c r="AV74" i="1" s="1"/>
  <c r="AW71" i="1"/>
  <c r="AW72" i="1" s="1"/>
  <c r="AV73" i="1"/>
  <c r="AV76" i="1"/>
  <c r="AX71" i="1" l="1"/>
  <c r="AX72" i="1" s="1"/>
  <c r="AW73" i="1"/>
  <c r="AW76" i="1"/>
  <c r="AW74" i="1"/>
  <c r="AY71" i="1" l="1"/>
  <c r="AX73" i="1"/>
  <c r="AX76" i="1"/>
  <c r="AX74" i="1"/>
  <c r="AY72" i="1" l="1"/>
  <c r="AY73" i="1" s="1"/>
  <c r="AY76" i="1" l="1"/>
  <c r="AV77" i="1" s="1"/>
  <c r="AV78" i="1" s="1"/>
  <c r="AY74" i="1"/>
  <c r="AZ74" i="1" s="1"/>
  <c r="AX77" i="1" l="1"/>
  <c r="AX78" i="1" s="1"/>
  <c r="AQ77" i="1"/>
  <c r="AQ78" i="1" s="1"/>
  <c r="AW77" i="1"/>
  <c r="AW78" i="1" s="1"/>
  <c r="AU77" i="1"/>
  <c r="AU78" i="1" s="1"/>
  <c r="AS77" i="1"/>
  <c r="AS78" i="1" s="1"/>
  <c r="AT77" i="1"/>
  <c r="AT78" i="1" s="1"/>
  <c r="AR77" i="1"/>
  <c r="AR78" i="1" s="1"/>
  <c r="AY77" i="1"/>
  <c r="AY78" i="1" s="1"/>
  <c r="AP77" i="1"/>
  <c r="AP78" i="1" s="1"/>
  <c r="AP75" i="1"/>
  <c r="AQ75" i="1"/>
  <c r="AR75" i="1"/>
  <c r="AS75" i="1"/>
  <c r="AT75" i="1"/>
  <c r="AV75" i="1"/>
  <c r="AU75" i="1"/>
  <c r="AW75" i="1"/>
  <c r="AX75" i="1"/>
  <c r="AY75" i="1"/>
  <c r="AZ75" i="1" l="1"/>
  <c r="AP80" i="1"/>
  <c r="AV80" i="1" s="1"/>
  <c r="AZ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<sst xmlns="http://schemas.openxmlformats.org/spreadsheetml/2006/main" count="172" uniqueCount="134">
  <si>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</si>
  <si>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</si>
  <si>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</si>
  <si>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</si>
  <si>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</si>
  <si>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</si>
  <si>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</si>
  <si>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</si>
  <si>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</si>
  <si>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</si>
  <si>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</si>
  <si>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</si>
  <si>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</si>
  <si>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</si>
  <si>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</si>
  <si>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</si>
  <si>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</si>
  <si>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</si>
  <si>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</si>
  <si>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</si>
  <si>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</si>
  <si>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</si>
  <si>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</si>
  <si>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</si>
  <si>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</si>
  <si>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</si>
  <si>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</si>
  <si>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</si>
  <si>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</si>
  <si>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</si>
  <si>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</si>
  <si>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</si>
  <si>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</si>
  <si>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</si>
  <si>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</si>
  <si>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</si>
  <si>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</si>
  <si>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</si>
  <si>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</si>
  <si>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</si>
  <si>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Ln(K)</t>
  </si>
  <si>
    <t>ln{k}</t>
  </si>
  <si>
    <t>xi-E{x}</t>
  </si>
  <si>
    <t>yi-E{y}</t>
  </si>
  <si>
    <t>Regression by Hand</t>
  </si>
  <si>
    <t>(xi-E{x})(yi-E{y})</t>
  </si>
  <si>
    <r>
      <t>(xi-E{x})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</si>
  <si>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b1 </t>
  </si>
  <si>
    <t>b0</t>
  </si>
  <si>
    <t>pred(Ln(k))</t>
  </si>
  <si>
    <t>Residual</t>
  </si>
  <si>
    <t>Pred</t>
  </si>
  <si>
    <t>Model Line</t>
  </si>
  <si>
    <t>Linear Regression Calculations</t>
  </si>
  <si>
    <t>8. Ln  of Permeability to linearize relationship with porosity.</t>
  </si>
  <si>
    <t xml:space="preserve">Regression Model </t>
  </si>
  <si>
    <t>tstat b1 = b1/se1</t>
  </si>
  <si>
    <t>tstat b0 = b0/se0</t>
  </si>
  <si>
    <t>tcritical</t>
  </si>
  <si>
    <t>confidence interval for slope</t>
  </si>
  <si>
    <t>+/-</t>
  </si>
  <si>
    <t>tstat</t>
  </si>
  <si>
    <t>probability</t>
  </si>
  <si>
    <r>
      <t>(yi-E{y})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</si>
  <si>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(yi-y*)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</si>
  <si>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prediction interval</t>
  </si>
  <si>
    <t>t stat</t>
  </si>
  <si>
    <t>sqrt(MSE)</t>
  </si>
  <si>
    <t>given porsity =</t>
  </si>
  <si>
    <t>P.I.</t>
  </si>
  <si>
    <t>Residual Histogram</t>
  </si>
  <si>
    <t>Freq</t>
  </si>
  <si>
    <t>Sum</t>
  </si>
  <si>
    <t>chi-sq</t>
  </si>
  <si>
    <t>(E-O)^2/E</t>
  </si>
  <si>
    <t>Norm</t>
  </si>
  <si>
    <t>Norm Freq</t>
  </si>
  <si>
    <t>PDF</t>
  </si>
  <si>
    <t xml:space="preserve">        chi-sq critical </t>
  </si>
  <si>
    <t>Test Significance of Coefficients</t>
  </si>
  <si>
    <t>Test Significance of Entire Model</t>
  </si>
  <si>
    <t xml:space="preserve">f-critical  </t>
  </si>
  <si>
    <t xml:space="preserve">f-statistic   </t>
  </si>
  <si>
    <t>Confidence Intervals for Coefficients</t>
  </si>
  <si>
    <t>Prediction Interval</t>
  </si>
  <si>
    <r>
      <t xml:space="preserve">About: </t>
    </r>
    <r>
      <rPr>
        <sz val="12"/>
        <color theme="1"/>
        <rFont val="Calibri"/>
        <family val="2"/>
        <scheme val="minor"/>
      </rPr>
      <t>This demonstration includes (1) a convolution, bivariate, Gaussian method for building 1D, spatially and bivariate correlated dataset  and (2) linear regression.</t>
    </r>
  </si>
  <si>
    <r>
      <t xml:space="preserve">Dtataset: </t>
    </r>
    <r>
      <rPr>
        <sz val="12"/>
        <color theme="1"/>
        <rFont val="Calibri"/>
        <family val="2"/>
        <scheme val="minor"/>
      </rPr>
      <t>The data set is based on spatially correlated random values with a moving window average (convolution with a equal weighted window), that are then applied as random values to draw from a bivariate Gaussian distribution (like P-field simulation).</t>
    </r>
  </si>
  <si>
    <r>
      <t xml:space="preserve">Linear Regression: </t>
    </r>
    <r>
      <rPr>
        <sz val="12"/>
        <color theme="1"/>
        <rFont val="Calibri"/>
        <family val="2"/>
        <scheme val="minor"/>
      </rPr>
      <t xml:space="preserve"> Is applied by hand and compared with the Excel LINEST function.  The output is then explained and relevant hypothesis tests are performed to determine the statistical significance of the result. 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</si>
  <si>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</t>
    </r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1D vectors of random values, R1 and R2, are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spatially correlated with convolution, CR1 and CR2,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 xml:space="preserve">corrected to  range [0,1], CR1U and CR2U, applied as p-values to </t>
    </r>
  </si>
  <si>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standard bivariate Gaussian (with user specified correlation coefficient, rho), X1 and X2, </t>
    </r>
    <r>
      <rPr>
        <b/>
        <sz val="12"/>
        <color theme="1"/>
        <rFont val="Calibri"/>
        <family val="2"/>
        <scheme val="minor"/>
      </rPr>
      <t>5.</t>
    </r>
    <r>
      <rPr>
        <sz val="12"/>
        <color theme="1"/>
        <rFont val="Calibri"/>
        <family val="2"/>
        <scheme val="minor"/>
      </rPr>
      <t xml:space="preserve"> transformed to user specified mean and standard  deviation, X1' and X2'.  </t>
    </r>
    <r>
      <rPr>
        <b/>
        <sz val="12"/>
        <color theme="1"/>
        <rFont val="Calibri"/>
        <family val="2"/>
        <scheme val="minor"/>
      </rPr>
      <t>6.</t>
    </r>
    <r>
      <rPr>
        <sz val="12"/>
        <color theme="1"/>
        <rFont val="Calibri"/>
        <family val="2"/>
        <scheme val="minor"/>
      </rPr>
      <t xml:space="preserve"> X2 is applied directly as porosity and</t>
    </r>
  </si>
  <si>
    <r>
      <rPr>
        <b/>
        <sz val="12"/>
        <color theme="1"/>
        <rFont val="Calibri"/>
        <family val="2"/>
        <scheme val="minor"/>
      </rPr>
      <t xml:space="preserve">7. </t>
    </r>
    <r>
      <rPr>
        <sz val="12"/>
        <color theme="1"/>
        <rFont val="Calibri"/>
        <family val="2"/>
        <scheme val="minor"/>
      </rPr>
      <t xml:space="preserve">EXP{X1'} is applied as permeability for a lognormal distribution with mu sigma specified as the mean and standard deviation of X1' and </t>
    </r>
    <r>
      <rPr>
        <b/>
        <sz val="12"/>
        <color theme="1"/>
        <rFont val="Calibri"/>
        <family val="2"/>
        <scheme val="minor"/>
      </rPr>
      <t>8.</t>
    </r>
    <r>
      <rPr>
        <sz val="12"/>
        <color theme="1"/>
        <rFont val="Calibri"/>
        <family val="2"/>
        <scheme val="minor"/>
      </rPr>
      <t xml:space="preserve"> we then  take the LN(K) ofr modeling (better linear bivariate relationship).</t>
    </r>
  </si>
  <si>
    <r>
      <t xml:space="preserve">It is straightfroward to calculate bivariate linear regression given the slope,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and intercept equations,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</si>
  <si>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t>for Plot</t>
  </si>
  <si>
    <t xml:space="preserve">Lets first take a look at the scatter plot to access how reasonable it is to fit a linear model to predict Ln(permeability) </t>
  </si>
  <si>
    <t xml:space="preserve">from porosity.  The relationship is quite linear, we are in good shape.  Note, given the bivariate Gaussian method to </t>
  </si>
  <si>
    <t>build the dataset the correlation after Ln transform of permeaiblity is linear.</t>
  </si>
  <si>
    <t>We should also check the correlation coefficient.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</si>
  <si>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equal to the square of the correlation coefficient.</t>
    </r>
  </si>
  <si>
    <t>This is useful since for bivariate linear regression</t>
  </si>
  <si>
    <t>later.</t>
  </si>
  <si>
    <r>
      <t>We should get a good prediction model.  More on r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</si>
  <si>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It is useful to look at the distribution of residuals from the regression.  Specifically you want to identify bias and outliers (data that have a high </t>
  </si>
  <si>
    <t>Summary Statistics of Residuals</t>
  </si>
  <si>
    <t>Average</t>
  </si>
  <si>
    <t>Variance</t>
  </si>
  <si>
    <t>St. Dev.</t>
  </si>
  <si>
    <t>Maximum</t>
  </si>
  <si>
    <t>Minimun</t>
  </si>
  <si>
    <t xml:space="preserve">error rate.  Systematic bias is indicated by a mean of the residuals that is not close to 0.0 and outliers inspection of the minimum, maximum </t>
  </si>
  <si>
    <t>and the entire PDF.</t>
  </si>
  <si>
    <t>From the Excel docs we can lable each of the available outputs.</t>
  </si>
  <si>
    <t xml:space="preserve">Now lets take the Excel LINEST function, evaluate the output and perform a variety of tests on the statistical significance  of our model. </t>
  </si>
  <si>
    <r>
      <t xml:space="preserve">b1: </t>
    </r>
    <r>
      <rPr>
        <sz val="11"/>
        <color theme="1"/>
        <rFont val="Calibri"/>
        <family val="2"/>
        <scheme val="minor"/>
      </rPr>
      <t>slope of fit</t>
    </r>
  </si>
  <si>
    <r>
      <t>se1:</t>
    </r>
    <r>
      <rPr>
        <sz val="11"/>
        <color theme="1"/>
        <rFont val="Calibri"/>
        <family val="2"/>
        <scheme val="minor"/>
      </rPr>
      <t xml:space="preserve"> standard error of slope</t>
    </r>
  </si>
  <si>
    <r>
      <t xml:space="preserve">r2: </t>
    </r>
    <r>
      <rPr>
        <sz val="11"/>
        <color theme="1"/>
        <rFont val="Calibri"/>
        <family val="2"/>
        <scheme val="minor"/>
      </rPr>
      <t>proportion var. explained</t>
    </r>
  </si>
  <si>
    <r>
      <t xml:space="preserve">Fstat: </t>
    </r>
    <r>
      <rPr>
        <sz val="11"/>
        <color theme="1"/>
        <rFont val="Calibri"/>
        <family val="2"/>
        <scheme val="minor"/>
      </rPr>
      <t>for test of all coefficients</t>
    </r>
  </si>
  <si>
    <r>
      <t xml:space="preserve">ssreg: </t>
    </r>
    <r>
      <rPr>
        <sz val="11"/>
        <color theme="1"/>
        <rFont val="Calibri"/>
        <family val="2"/>
        <scheme val="minor"/>
      </rPr>
      <t>explained variance</t>
    </r>
  </si>
  <si>
    <r>
      <t xml:space="preserve">ssresid: </t>
    </r>
    <r>
      <rPr>
        <sz val="11"/>
        <color theme="1"/>
        <rFont val="Calibri"/>
        <family val="2"/>
        <scheme val="minor"/>
      </rPr>
      <t>unexpalined variance</t>
    </r>
  </si>
  <si>
    <r>
      <t xml:space="preserve">d.f.: </t>
    </r>
    <r>
      <rPr>
        <sz val="11"/>
        <color theme="1"/>
        <rFont val="Calibri"/>
        <family val="2"/>
        <scheme val="minor"/>
      </rPr>
      <t>degrees of freedom</t>
    </r>
  </si>
  <si>
    <r>
      <t xml:space="preserve">sey: </t>
    </r>
    <r>
      <rPr>
        <sz val="11"/>
        <color theme="1"/>
        <rFont val="Calibri"/>
        <family val="2"/>
        <scheme val="minor"/>
      </rPr>
      <t>standard error for the estimate</t>
    </r>
  </si>
  <si>
    <r>
      <t xml:space="preserve">b0: </t>
    </r>
    <r>
      <rPr>
        <sz val="11"/>
        <color theme="1"/>
        <rFont val="Calibri"/>
        <family val="2"/>
        <scheme val="minor"/>
      </rPr>
      <t xml:space="preserve">intercept of fit    </t>
    </r>
  </si>
  <si>
    <r>
      <t xml:space="preserve">seb: </t>
    </r>
    <r>
      <rPr>
        <sz val="11"/>
        <color theme="1"/>
        <rFont val="Calibri"/>
        <family val="2"/>
        <scheme val="minor"/>
      </rPr>
      <t xml:space="preserve">standard error of the intercept  </t>
    </r>
  </si>
  <si>
    <r>
      <rPr>
        <b/>
        <sz val="11"/>
        <color theme="1"/>
        <rFont val="Calibri"/>
        <family val="2"/>
        <scheme val="minor"/>
      </rPr>
      <t>MSE:</t>
    </r>
    <r>
      <rPr>
        <sz val="11"/>
        <color theme="1"/>
        <rFont val="Calibri"/>
        <family val="2"/>
        <scheme val="minor"/>
      </rPr>
      <t xml:space="preserve"> mean squared error</t>
    </r>
  </si>
  <si>
    <t>Result from Hyposthesis tests for coefficients</t>
  </si>
  <si>
    <t>Result from hypothesis test of the entire model</t>
  </si>
  <si>
    <t>We can preform a hypothesis test on the model coefficients.  Our null hypothesis is that each coefficient is 0.0.</t>
  </si>
  <si>
    <r>
      <t>If we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then our model coefficients are significantly different from 0.0.</t>
    </r>
  </si>
  <si>
    <t>We can also perform a test on the entire model in aggregate.</t>
  </si>
  <si>
    <t>We can calculate confidence intervals for our linear model slope.</t>
  </si>
  <si>
    <t xml:space="preserve">We can also calculate confidence intervals for our prediction of permeability for any </t>
  </si>
  <si>
    <t>porosity value.  Set the porosity value in the yellow box and observe the result.</t>
  </si>
  <si>
    <t>A Synthetic, Random  Porosity and Permeability Dataset with Linear Regression Demonstration, Michael Pyrcz, University of Texas at Austin, @GeostatsGuy on Twitter</t>
  </si>
  <si>
    <t>Building the Dataset and Summary Statistics</t>
  </si>
  <si>
    <t>Excel Linear Regression, Statistical Analysis and Hypothesis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</si>
</sst>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62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left"/>
    </xf>
    <xf numFmtId="165" fontId="0" fillId="6" borderId="0" xfId="0" applyNumberForma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1" fillId="5" borderId="27" xfId="0" applyFont="1" applyFill="1" applyBorder="1"/>
    <xf numFmtId="0" fontId="1" fillId="5" borderId="28" xfId="0" applyFont="1" applyFill="1" applyBorder="1"/>
    <xf numFmtId="0" fontId="0" fillId="6" borderId="5" xfId="0" applyFont="1" applyFill="1" applyBorder="1" applyAlignment="1">
      <alignment horizontal="center" vertical="top" wrapText="1"/>
    </xf>
    <xf numFmtId="0" fontId="0" fillId="6" borderId="6" xfId="0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2" fontId="0" fillId="6" borderId="5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9" fillId="0" borderId="0" xfId="0" applyFont="1" applyBorder="1"/>
    <xf numFmtId="0" fontId="10" fillId="6" borderId="0" xfId="0" applyFont="1" applyFill="1" applyBorder="1" applyAlignment="1">
      <alignment horizontal="right"/>
    </xf>
    <xf numFmtId="2" fontId="10" fillId="6" borderId="0" xfId="0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2" fontId="1" fillId="6" borderId="0" xfId="0" applyNumberFormat="1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quotePrefix="1" applyFill="1" applyBorder="1" applyAlignment="1">
      <alignment horizontal="center"/>
    </xf>
    <xf numFmtId="2" fontId="0" fillId="8" borderId="28" xfId="0" applyNumberFormat="1" applyFill="1" applyBorder="1" applyAlignment="1">
      <alignment horizontal="center"/>
    </xf>
    <xf numFmtId="2" fontId="0" fillId="5" borderId="13" xfId="0" applyNumberFormat="1" applyFill="1" applyBorder="1"/>
    <xf numFmtId="0" fontId="0" fillId="5" borderId="16" xfId="0" applyFill="1" applyBorder="1"/>
    <xf numFmtId="0" fontId="10" fillId="7" borderId="11" xfId="0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4" borderId="26" xfId="0" applyFill="1" applyBorder="1"/>
    <xf numFmtId="0" fontId="1" fillId="4" borderId="27" xfId="0" applyFont="1" applyFill="1" applyBorder="1"/>
    <xf numFmtId="0" fontId="0" fillId="4" borderId="27" xfId="0" applyFill="1" applyBorder="1"/>
    <xf numFmtId="0" fontId="0" fillId="4" borderId="28" xfId="0" applyFill="1" applyBorder="1"/>
    <xf numFmtId="164" fontId="1" fillId="6" borderId="0" xfId="0" applyNumberFormat="1" applyFont="1" applyFill="1" applyBorder="1" applyAlignment="1">
      <alignment horizontal="left"/>
    </xf>
    <xf numFmtId="2" fontId="0" fillId="4" borderId="4" xfId="0" applyNumberFormat="1" applyFill="1" applyBorder="1"/>
    <xf numFmtId="11" fontId="0" fillId="4" borderId="19" xfId="0" applyNumberFormat="1" applyFill="1" applyBorder="1"/>
    <xf numFmtId="2" fontId="0" fillId="9" borderId="1" xfId="0" applyNumberFormat="1" applyFill="1" applyBorder="1"/>
    <xf numFmtId="164" fontId="0" fillId="4" borderId="1" xfId="0" applyNumberFormat="1" applyFill="1" applyBorder="1"/>
    <xf numFmtId="0" fontId="0" fillId="9" borderId="1" xfId="0" applyFill="1" applyBorder="1"/>
    <xf numFmtId="2" fontId="0" fillId="4" borderId="26" xfId="0" applyNumberFormat="1" applyFill="1" applyBorder="1"/>
    <xf numFmtId="0" fontId="0" fillId="4" borderId="27" xfId="0" quotePrefix="1" applyFill="1" applyBorder="1"/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2" fillId="7" borderId="3" xfId="0" applyFont="1" applyFill="1" applyBorder="1" applyAlignment="1">
      <alignment horizontal="right" vertical="center"/>
    </xf>
    <xf numFmtId="0" fontId="4" fillId="6" borderId="0" xfId="0" applyFont="1" applyFill="1" applyBorder="1"/>
    <xf numFmtId="0" fontId="0" fillId="10" borderId="26" xfId="0" applyFill="1" applyBorder="1"/>
    <xf numFmtId="0" fontId="1" fillId="10" borderId="27" xfId="0" applyFont="1" applyFill="1" applyBorder="1" applyAlignment="1">
      <alignment horizontal="center" vertical="top" wrapText="1"/>
    </xf>
    <xf numFmtId="0" fontId="1" fillId="10" borderId="28" xfId="0" applyFont="1" applyFill="1" applyBorder="1" applyAlignment="1">
      <alignment horizontal="center" vertical="top" wrapText="1"/>
    </xf>
    <xf numFmtId="0" fontId="1" fillId="10" borderId="27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/>
    </xf>
    <xf numFmtId="0" fontId="0" fillId="6" borderId="0" xfId="0" applyFont="1" applyFill="1" applyBorder="1"/>
    <xf numFmtId="0" fontId="0" fillId="4" borderId="1" xfId="0" applyFill="1" applyBorder="1"/>
    <xf numFmtId="2" fontId="0" fillId="4" borderId="19" xfId="0" applyNumberFormat="1" applyFill="1" applyBorder="1"/>
    <xf numFmtId="165" fontId="0" fillId="4" borderId="4" xfId="0" applyNumberFormat="1" applyFill="1" applyBorder="1"/>
    <xf numFmtId="0" fontId="0" fillId="4" borderId="31" xfId="0" applyFill="1" applyBorder="1"/>
    <xf numFmtId="0" fontId="0" fillId="4" borderId="19" xfId="0" applyFill="1" applyBorder="1"/>
    <xf numFmtId="164" fontId="12" fillId="6" borderId="0" xfId="0" applyNumberFormat="1" applyFont="1" applyFill="1" applyBorder="1" applyAlignment="1">
      <alignment horizontal="left"/>
    </xf>
    <xf numFmtId="164" fontId="3" fillId="6" borderId="0" xfId="0" applyNumberFormat="1" applyFon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165" fontId="0" fillId="11" borderId="31" xfId="0" applyNumberFormat="1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164" fontId="0" fillId="11" borderId="31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" fontId="0" fillId="11" borderId="31" xfId="0" applyNumberFormat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right"/>
    </xf>
    <xf numFmtId="164" fontId="1" fillId="6" borderId="0" xfId="0" applyNumberFormat="1" applyFont="1" applyFill="1" applyBorder="1" applyAlignment="1">
      <alignment horizontal="right"/>
    </xf>
    <xf numFmtId="165" fontId="0" fillId="9" borderId="1" xfId="0" applyNumberFormat="1" applyFill="1" applyBorder="1" applyAlignment="1">
      <alignment horizontal="center"/>
    </xf>
    <xf numFmtId="0" fontId="1" fillId="9" borderId="20" xfId="0" applyFont="1" applyFill="1" applyBorder="1"/>
    <xf numFmtId="0" fontId="0" fillId="9" borderId="21" xfId="0" applyFill="1" applyBorder="1"/>
    <xf numFmtId="0" fontId="1" fillId="9" borderId="21" xfId="0" applyFont="1" applyFill="1" applyBorder="1"/>
    <xf numFmtId="0" fontId="0" fillId="9" borderId="22" xfId="0" applyFill="1" applyBorder="1"/>
    <xf numFmtId="0" fontId="1" fillId="9" borderId="26" xfId="0" applyFont="1" applyFill="1" applyBorder="1"/>
    <xf numFmtId="0" fontId="0" fillId="9" borderId="27" xfId="0" applyFill="1" applyBorder="1"/>
    <xf numFmtId="0" fontId="0" fillId="9" borderId="28" xfId="0" applyFill="1" applyBorder="1"/>
    <xf numFmtId="165" fontId="0" fillId="4" borderId="28" xfId="0" applyNumberFormat="1" applyFill="1" applyBorder="1" applyAlignment="1">
      <alignment horizontal="center"/>
    </xf>
    <xf numFmtId="9" fontId="0" fillId="6" borderId="0" xfId="1" applyFont="1" applyFill="1" applyBorder="1"/>
    <xf numFmtId="0" fontId="12" fillId="6" borderId="0" xfId="0" applyFont="1" applyFill="1" applyBorder="1"/>
    <xf numFmtId="0" fontId="17" fillId="6" borderId="0" xfId="0" applyFont="1" applyFill="1" applyBorder="1"/>
    <xf numFmtId="0" fontId="13" fillId="5" borderId="26" xfId="0" applyFont="1" applyFill="1" applyBorder="1"/>
    <xf numFmtId="0" fontId="13" fillId="10" borderId="26" xfId="0" applyFont="1" applyFill="1" applyBorder="1"/>
    <xf numFmtId="0" fontId="0" fillId="10" borderId="27" xfId="0" applyFill="1" applyBorder="1"/>
    <xf numFmtId="0" fontId="0" fillId="10" borderId="28" xfId="0" applyFill="1" applyBorder="1"/>
    <xf numFmtId="0" fontId="1" fillId="10" borderId="27" xfId="0" applyFont="1" applyFill="1" applyBorder="1"/>
    <xf numFmtId="0" fontId="1" fillId="10" borderId="28" xfId="0" applyFont="1" applyFill="1" applyBorder="1"/>
    <xf numFmtId="164" fontId="13" fillId="10" borderId="26" xfId="0" applyNumberFormat="1" applyFont="1" applyFill="1" applyBorder="1" applyAlignment="1">
      <alignment horizontal="left"/>
    </xf>
    <xf numFmtId="164" fontId="0" fillId="10" borderId="27" xfId="0" applyNumberFormat="1" applyFill="1" applyBorder="1" applyAlignment="1">
      <alignment horizontal="center"/>
    </xf>
    <xf numFmtId="164" fontId="18" fillId="10" borderId="27" xfId="0" applyNumberFormat="1" applyFont="1" applyFill="1" applyBorder="1" applyAlignment="1">
      <alignment horizontal="center"/>
    </xf>
    <xf numFmtId="0" fontId="18" fillId="10" borderId="27" xfId="0" applyFont="1" applyFill="1" applyBorder="1"/>
    <xf numFmtId="0" fontId="18" fillId="10" borderId="28" xfId="0" applyFont="1" applyFill="1" applyBorder="1"/>
    <xf numFmtId="164" fontId="19" fillId="10" borderId="26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'Por-Perm-Logs'!$J$20:$J$124</c:f>
              <c:numCache>
                <c:formatCode>0.00</c:formatCode>
                <c:ptCount val="105"/>
                <c:pt idx="0">
                  <c:v>0.39668594244673294</c:v>
                </c:pt>
                <c:pt idx="1">
                  <c:v>-0.52361982564687992</c:v>
                </c:pt>
                <c:pt idx="2">
                  <c:v>-0.27329853559752931</c:v>
                </c:pt>
                <c:pt idx="3">
                  <c:v>-1.2259423708044981</c:v>
                </c:pt>
                <c:pt idx="4">
                  <c:v>0.31260980647668568</c:v>
                </c:pt>
                <c:pt idx="5">
                  <c:v>-1.2087734670135459</c:v>
                </c:pt>
                <c:pt idx="6">
                  <c:v>0.97076697415748503</c:v>
                </c:pt>
                <c:pt idx="7">
                  <c:v>0.58081052439053416</c:v>
                </c:pt>
                <c:pt idx="8">
                  <c:v>-0.80402609580385764</c:v>
                </c:pt>
                <c:pt idx="9">
                  <c:v>0.14696614287126283</c:v>
                </c:pt>
                <c:pt idx="10">
                  <c:v>1.0071415457479693</c:v>
                </c:pt>
                <c:pt idx="11">
                  <c:v>-0.56028449736653718</c:v>
                </c:pt>
                <c:pt idx="12">
                  <c:v>1.6064836691787163</c:v>
                </c:pt>
                <c:pt idx="13">
                  <c:v>-1.2158335331408328</c:v>
                </c:pt>
                <c:pt idx="14">
                  <c:v>2.468748227424796</c:v>
                </c:pt>
                <c:pt idx="15">
                  <c:v>0.34924296473573085</c:v>
                </c:pt>
                <c:pt idx="16">
                  <c:v>-0.89457213329165775</c:v>
                </c:pt>
                <c:pt idx="17">
                  <c:v>0.81372890934616304</c:v>
                </c:pt>
                <c:pt idx="18">
                  <c:v>0.88455171420332279</c:v>
                </c:pt>
                <c:pt idx="19">
                  <c:v>-0.22449486333561949</c:v>
                </c:pt>
                <c:pt idx="20">
                  <c:v>-1.0321688866943097</c:v>
                </c:pt>
                <c:pt idx="21">
                  <c:v>-0.44762352373765341</c:v>
                </c:pt>
                <c:pt idx="22">
                  <c:v>-1.1711936422237614</c:v>
                </c:pt>
                <c:pt idx="23">
                  <c:v>1.1852831373670125</c:v>
                </c:pt>
                <c:pt idx="24">
                  <c:v>-0.57449151781989194</c:v>
                </c:pt>
                <c:pt idx="25">
                  <c:v>-0.52524569283663713</c:v>
                </c:pt>
                <c:pt idx="26">
                  <c:v>-0.65152216478557556</c:v>
                </c:pt>
                <c:pt idx="27">
                  <c:v>2.3850211995063844</c:v>
                </c:pt>
                <c:pt idx="28">
                  <c:v>0.57840374583501719</c:v>
                </c:pt>
                <c:pt idx="29">
                  <c:v>0.98059096839770221</c:v>
                </c:pt>
                <c:pt idx="30">
                  <c:v>0.53291135203449969</c:v>
                </c:pt>
                <c:pt idx="31">
                  <c:v>-7.8112276759931126E-2</c:v>
                </c:pt>
                <c:pt idx="32">
                  <c:v>-0.60935098151111911</c:v>
                </c:pt>
                <c:pt idx="33">
                  <c:v>-0.94794329150094281</c:v>
                </c:pt>
                <c:pt idx="34">
                  <c:v>2.3743139472573613</c:v>
                </c:pt>
                <c:pt idx="35">
                  <c:v>2.8858147749532888E-2</c:v>
                </c:pt>
                <c:pt idx="36">
                  <c:v>1.8268276168406943</c:v>
                </c:pt>
                <c:pt idx="37">
                  <c:v>-0.60577463855354474</c:v>
                </c:pt>
                <c:pt idx="38">
                  <c:v>-0.47727679232072506</c:v>
                </c:pt>
                <c:pt idx="39">
                  <c:v>0.69765009783410581</c:v>
                </c:pt>
                <c:pt idx="40">
                  <c:v>-0.53359871505410428</c:v>
                </c:pt>
                <c:pt idx="41">
                  <c:v>-0.29017015766709031</c:v>
                </c:pt>
                <c:pt idx="42">
                  <c:v>-0.13018614478077031</c:v>
                </c:pt>
                <c:pt idx="43">
                  <c:v>-0.27114594317760254</c:v>
                </c:pt>
                <c:pt idx="44">
                  <c:v>1.180782351662818</c:v>
                </c:pt>
                <c:pt idx="45">
                  <c:v>0.39029582466998985</c:v>
                </c:pt>
                <c:pt idx="46">
                  <c:v>0.54239567865610416</c:v>
                </c:pt>
                <c:pt idx="47">
                  <c:v>1.2880357734818759</c:v>
                </c:pt>
                <c:pt idx="48">
                  <c:v>6.3703143181943714E-2</c:v>
                </c:pt>
                <c:pt idx="49">
                  <c:v>1.6296175066040385E-2</c:v>
                </c:pt>
                <c:pt idx="50">
                  <c:v>-1.9884170239443972</c:v>
                </c:pt>
                <c:pt idx="51">
                  <c:v>-0.95540480430462293</c:v>
                </c:pt>
                <c:pt idx="52">
                  <c:v>-0.97803467264986665</c:v>
                </c:pt>
                <c:pt idx="53">
                  <c:v>-8.7674231103463424E-2</c:v>
                </c:pt>
                <c:pt idx="54">
                  <c:v>1.2058148318450923</c:v>
                </c:pt>
                <c:pt idx="55">
                  <c:v>0.20665124580652994</c:v>
                </c:pt>
                <c:pt idx="56">
                  <c:v>-0.74770866603073216</c:v>
                </c:pt>
                <c:pt idx="57">
                  <c:v>-0.71012236896948033</c:v>
                </c:pt>
                <c:pt idx="58">
                  <c:v>-1.3680811195883029</c:v>
                </c:pt>
                <c:pt idx="59">
                  <c:v>-0.51858834283756461</c:v>
                </c:pt>
                <c:pt idx="60">
                  <c:v>-0.30833155836795395</c:v>
                </c:pt>
                <c:pt idx="61">
                  <c:v>-0.84616831297529527</c:v>
                </c:pt>
                <c:pt idx="62">
                  <c:v>-0.23717132242911945</c:v>
                </c:pt>
                <c:pt idx="63">
                  <c:v>-0.48000102619685842</c:v>
                </c:pt>
                <c:pt idx="64">
                  <c:v>0.72818609053014449</c:v>
                </c:pt>
                <c:pt idx="65">
                  <c:v>0.59148919590145244</c:v>
                </c:pt>
                <c:pt idx="66">
                  <c:v>1.0033084355463775</c:v>
                </c:pt>
                <c:pt idx="67">
                  <c:v>0.53014483808746438</c:v>
                </c:pt>
                <c:pt idx="68">
                  <c:v>-1.1152567684005421</c:v>
                </c:pt>
                <c:pt idx="69">
                  <c:v>-0.38689771845991783</c:v>
                </c:pt>
                <c:pt idx="70">
                  <c:v>-0.27342382675309179</c:v>
                </c:pt>
                <c:pt idx="71">
                  <c:v>0.11842780037325565</c:v>
                </c:pt>
                <c:pt idx="72">
                  <c:v>1.8037494381572248</c:v>
                </c:pt>
                <c:pt idx="73">
                  <c:v>-0.14153772786696689</c:v>
                </c:pt>
                <c:pt idx="74">
                  <c:v>-0.30816857085297172</c:v>
                </c:pt>
                <c:pt idx="75">
                  <c:v>0.98653116182474232</c:v>
                </c:pt>
                <c:pt idx="76">
                  <c:v>0.97188039463099252</c:v>
                </c:pt>
                <c:pt idx="77">
                  <c:v>1.0419713639093457</c:v>
                </c:pt>
                <c:pt idx="78">
                  <c:v>0.37390013290716118</c:v>
                </c:pt>
                <c:pt idx="79">
                  <c:v>-1.6484007152453313</c:v>
                </c:pt>
                <c:pt idx="80">
                  <c:v>0.21151143537140318</c:v>
                </c:pt>
                <c:pt idx="81">
                  <c:v>-0.44781483112179554</c:v>
                </c:pt>
                <c:pt idx="82">
                  <c:v>1.9284174712768649</c:v>
                </c:pt>
                <c:pt idx="83">
                  <c:v>-1.3668545067127664</c:v>
                </c:pt>
                <c:pt idx="84">
                  <c:v>0.16957048154408397</c:v>
                </c:pt>
                <c:pt idx="85">
                  <c:v>2.0023092173339321</c:v>
                </c:pt>
                <c:pt idx="86">
                  <c:v>-6.7830357372510829E-3</c:v>
                </c:pt>
                <c:pt idx="87">
                  <c:v>-0.44600285530237965</c:v>
                </c:pt>
                <c:pt idx="88">
                  <c:v>-1.3794584993376533</c:v>
                </c:pt>
                <c:pt idx="89">
                  <c:v>-0.15900141920634006</c:v>
                </c:pt>
                <c:pt idx="90">
                  <c:v>0.23344831477243169</c:v>
                </c:pt>
                <c:pt idx="91">
                  <c:v>-1.0278972391832226</c:v>
                </c:pt>
                <c:pt idx="92">
                  <c:v>0.63166595329692499</c:v>
                </c:pt>
                <c:pt idx="93">
                  <c:v>7.6614876971950102E-2</c:v>
                </c:pt>
                <c:pt idx="94">
                  <c:v>0.99032970093013339</c:v>
                </c:pt>
                <c:pt idx="95">
                  <c:v>-0.79344945605795758</c:v>
                </c:pt>
                <c:pt idx="96">
                  <c:v>0.428975495264933</c:v>
                </c:pt>
                <c:pt idx="97">
                  <c:v>-0.55497151570785708</c:v>
                </c:pt>
                <c:pt idx="98">
                  <c:v>0.82263905188673614</c:v>
                </c:pt>
                <c:pt idx="99">
                  <c:v>-1.2766105084747725</c:v>
                </c:pt>
                <c:pt idx="100">
                  <c:v>0.64370546130701778</c:v>
                </c:pt>
                <c:pt idx="101">
                  <c:v>0.71249927031200189</c:v>
                </c:pt>
                <c:pt idx="102">
                  <c:v>1.3745202937933207</c:v>
                </c:pt>
                <c:pt idx="103">
                  <c:v>0.17700032566982096</c:v>
                </c:pt>
                <c:pt idx="104">
                  <c:v>0.98505927657495229</c:v>
                </c:pt>
              </c:numCache>
            </c:numRef>
          </c:xVal>
          <c:yVal>
            <c:numRef>
              <c:f>'Por-Perm-Logs'!$K$20:$K$124</c:f>
              <c:numCache>
                <c:formatCode>0.00</c:formatCode>
                <c:ptCount val="105"/>
                <c:pt idx="0">
                  <c:v>0.49650815445804752</c:v>
                </c:pt>
                <c:pt idx="1">
                  <c:v>-0.69550418645143397</c:v>
                </c:pt>
                <c:pt idx="2">
                  <c:v>-0.55286279683305561</c:v>
                </c:pt>
                <c:pt idx="3">
                  <c:v>-2.0974789031380641</c:v>
                </c:pt>
                <c:pt idx="4">
                  <c:v>0.31403761226887072</c:v>
                </c:pt>
                <c:pt idx="5">
                  <c:v>-1.4172939018870367</c:v>
                </c:pt>
                <c:pt idx="6">
                  <c:v>1.779419464655541</c:v>
                </c:pt>
                <c:pt idx="7">
                  <c:v>1.2885045986058157</c:v>
                </c:pt>
                <c:pt idx="8">
                  <c:v>-0.65365433125680827</c:v>
                </c:pt>
                <c:pt idx="9">
                  <c:v>0.41285343618735021</c:v>
                </c:pt>
                <c:pt idx="10">
                  <c:v>0.49545504083567787</c:v>
                </c:pt>
                <c:pt idx="11">
                  <c:v>-0.52487673174156935</c:v>
                </c:pt>
                <c:pt idx="12">
                  <c:v>1.2099493101634018</c:v>
                </c:pt>
                <c:pt idx="13">
                  <c:v>-0.27061294364014954</c:v>
                </c:pt>
                <c:pt idx="14">
                  <c:v>2.7465006696577872</c:v>
                </c:pt>
                <c:pt idx="15">
                  <c:v>0.40577377861297187</c:v>
                </c:pt>
                <c:pt idx="16">
                  <c:v>-0.49594082560943464</c:v>
                </c:pt>
                <c:pt idx="17">
                  <c:v>0.87224662441879219</c:v>
                </c:pt>
                <c:pt idx="18">
                  <c:v>0.33956688724916728</c:v>
                </c:pt>
                <c:pt idx="19">
                  <c:v>-0.46973365733645894</c:v>
                </c:pt>
                <c:pt idx="20">
                  <c:v>-1.4901516850259204</c:v>
                </c:pt>
                <c:pt idx="21">
                  <c:v>-0.73229233710071062</c:v>
                </c:pt>
                <c:pt idx="22">
                  <c:v>-1.929530577530963</c:v>
                </c:pt>
                <c:pt idx="23">
                  <c:v>1.7574766601057297</c:v>
                </c:pt>
                <c:pt idx="24">
                  <c:v>-0.35412752439888129</c:v>
                </c:pt>
                <c:pt idx="25">
                  <c:v>-0.23115771965456242</c:v>
                </c:pt>
                <c:pt idx="26">
                  <c:v>0.27139218163039913</c:v>
                </c:pt>
                <c:pt idx="27">
                  <c:v>2.1440191139543243</c:v>
                </c:pt>
                <c:pt idx="28">
                  <c:v>0.81442632472857512</c:v>
                </c:pt>
                <c:pt idx="29">
                  <c:v>0.5594195252441414</c:v>
                </c:pt>
                <c:pt idx="30">
                  <c:v>9.178255162424237E-2</c:v>
                </c:pt>
                <c:pt idx="31">
                  <c:v>0.60272920825028864</c:v>
                </c:pt>
                <c:pt idx="32">
                  <c:v>-0.28669848632779399</c:v>
                </c:pt>
                <c:pt idx="33">
                  <c:v>-1.3542407198723767</c:v>
                </c:pt>
                <c:pt idx="34">
                  <c:v>2.3541874933646825</c:v>
                </c:pt>
                <c:pt idx="35">
                  <c:v>0.17365143280957926</c:v>
                </c:pt>
                <c:pt idx="36">
                  <c:v>1.8268890343648767</c:v>
                </c:pt>
                <c:pt idx="37">
                  <c:v>-0.28967520420120868</c:v>
                </c:pt>
                <c:pt idx="38">
                  <c:v>0.15515652555301745</c:v>
                </c:pt>
                <c:pt idx="39">
                  <c:v>-4.6061464934944674E-2</c:v>
                </c:pt>
                <c:pt idx="40">
                  <c:v>-0.27979098750914988</c:v>
                </c:pt>
                <c:pt idx="41">
                  <c:v>-0.25168364088086642</c:v>
                </c:pt>
                <c:pt idx="42">
                  <c:v>-0.15777558029578601</c:v>
                </c:pt>
                <c:pt idx="43">
                  <c:v>0.10248349162216958</c:v>
                </c:pt>
                <c:pt idx="44">
                  <c:v>0.86307204908398039</c:v>
                </c:pt>
                <c:pt idx="45">
                  <c:v>1.2022624541993783</c:v>
                </c:pt>
                <c:pt idx="46">
                  <c:v>0.6473470866973331</c:v>
                </c:pt>
                <c:pt idx="47">
                  <c:v>1.6759521059140678</c:v>
                </c:pt>
                <c:pt idx="48">
                  <c:v>0.76194776799145492</c:v>
                </c:pt>
                <c:pt idx="49">
                  <c:v>-0.10504216754943273</c:v>
                </c:pt>
                <c:pt idx="50">
                  <c:v>-1.2350318263252524</c:v>
                </c:pt>
                <c:pt idx="51">
                  <c:v>-0.86868198918657624</c:v>
                </c:pt>
                <c:pt idx="52">
                  <c:v>-0.35208531800461129</c:v>
                </c:pt>
                <c:pt idx="53">
                  <c:v>-0.10379585590984977</c:v>
                </c:pt>
                <c:pt idx="54">
                  <c:v>1.2477527659156993</c:v>
                </c:pt>
                <c:pt idx="55">
                  <c:v>-0.19644861320852561</c:v>
                </c:pt>
                <c:pt idx="56">
                  <c:v>-0.98923358649743898</c:v>
                </c:pt>
                <c:pt idx="57">
                  <c:v>-0.70175874839501717</c:v>
                </c:pt>
                <c:pt idx="58">
                  <c:v>-1.5039430997850713</c:v>
                </c:pt>
                <c:pt idx="59">
                  <c:v>1.2062508104564773E-2</c:v>
                </c:pt>
                <c:pt idx="60">
                  <c:v>-1.2531745326603145</c:v>
                </c:pt>
                <c:pt idx="61">
                  <c:v>-0.90458955117114437</c:v>
                </c:pt>
                <c:pt idx="62">
                  <c:v>-1.0139053206320829</c:v>
                </c:pt>
                <c:pt idx="63">
                  <c:v>-0.34349732659098159</c:v>
                </c:pt>
                <c:pt idx="64">
                  <c:v>0.59297880802033665</c:v>
                </c:pt>
                <c:pt idx="65">
                  <c:v>0.39422420028697802</c:v>
                </c:pt>
                <c:pt idx="66">
                  <c:v>0.33732769830481291</c:v>
                </c:pt>
                <c:pt idx="67">
                  <c:v>0.65306610706382395</c:v>
                </c:pt>
                <c:pt idx="68">
                  <c:v>-0.44546997357676676</c:v>
                </c:pt>
                <c:pt idx="69">
                  <c:v>-0.58950233419275644</c:v>
                </c:pt>
                <c:pt idx="70">
                  <c:v>-0.91018713381692729</c:v>
                </c:pt>
                <c:pt idx="71">
                  <c:v>6.8229784227860635E-4</c:v>
                </c:pt>
                <c:pt idx="72">
                  <c:v>1.3647602011194753</c:v>
                </c:pt>
                <c:pt idx="73">
                  <c:v>-0.26211266062941702</c:v>
                </c:pt>
                <c:pt idx="74">
                  <c:v>-0.91372421614421195</c:v>
                </c:pt>
                <c:pt idx="75">
                  <c:v>1.530814879529701</c:v>
                </c:pt>
                <c:pt idx="76">
                  <c:v>1.2953929879102912</c:v>
                </c:pt>
                <c:pt idx="77">
                  <c:v>0.42835823872441992</c:v>
                </c:pt>
                <c:pt idx="78">
                  <c:v>0.29926593670192497</c:v>
                </c:pt>
                <c:pt idx="79">
                  <c:v>-1.2151315794179078</c:v>
                </c:pt>
                <c:pt idx="80">
                  <c:v>-0.51416627787136537</c:v>
                </c:pt>
                <c:pt idx="81">
                  <c:v>-0.39465289908587348</c:v>
                </c:pt>
                <c:pt idx="82">
                  <c:v>1.6338150855752822</c:v>
                </c:pt>
                <c:pt idx="83">
                  <c:v>-0.44775534576458664</c:v>
                </c:pt>
                <c:pt idx="84">
                  <c:v>-0.36286058293636325</c:v>
                </c:pt>
                <c:pt idx="85">
                  <c:v>2.2322013520421629</c:v>
                </c:pt>
                <c:pt idx="86">
                  <c:v>0.2395038024115751</c:v>
                </c:pt>
                <c:pt idx="87">
                  <c:v>-0.55282798675866895</c:v>
                </c:pt>
                <c:pt idx="88">
                  <c:v>-0.74816718141992944</c:v>
                </c:pt>
                <c:pt idx="89">
                  <c:v>-0.21151138397290054</c:v>
                </c:pt>
                <c:pt idx="90">
                  <c:v>0.39924172694361182</c:v>
                </c:pt>
                <c:pt idx="91">
                  <c:v>-0.5344272499150351</c:v>
                </c:pt>
                <c:pt idx="92">
                  <c:v>0.52278729177050642</c:v>
                </c:pt>
                <c:pt idx="93">
                  <c:v>-0.39096647617233732</c:v>
                </c:pt>
                <c:pt idx="94">
                  <c:v>0.50132897848318114</c:v>
                </c:pt>
                <c:pt idx="95">
                  <c:v>-0.19928675442168031</c:v>
                </c:pt>
                <c:pt idx="96">
                  <c:v>0.51155580900363085</c:v>
                </c:pt>
                <c:pt idx="97">
                  <c:v>-0.96871541643679082</c:v>
                </c:pt>
                <c:pt idx="98">
                  <c:v>1.9538251641473685</c:v>
                </c:pt>
                <c:pt idx="99">
                  <c:v>-1.3275214287744854</c:v>
                </c:pt>
                <c:pt idx="100">
                  <c:v>0.61767081957611747</c:v>
                </c:pt>
                <c:pt idx="101">
                  <c:v>0.63978320459167293</c:v>
                </c:pt>
                <c:pt idx="102">
                  <c:v>0.8837982229149508</c:v>
                </c:pt>
                <c:pt idx="103">
                  <c:v>-8.5619132369168488E-2</c:v>
                </c:pt>
                <c:pt idx="104">
                  <c:v>1.2450932269516406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Actual (black), Predicted from Porosity (Red)</a:t>
            </a:r>
            <a:endParaRPr lang="en-US"/>
          </a:p>
        </c:rich>
      </c:tx>
      <c:layout>
        <c:manualLayout>
          <c:xMode val="edge"/>
          <c:yMode val="edge"/>
          <c:x val="0.12319708900023861"/>
          <c:y val="7.8365522064105997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'Por-Perm-Logs'!$W$20:$W$124</c:f>
              <c:numCache>
                <c:formatCode>0.00</c:formatCode>
                <c:ptCount val="105"/>
                <c:pt idx="0">
                  <c:v>8.2116000733087553</c:v>
                </c:pt>
                <c:pt idx="1">
                  <c:v>7.6982067428755858</c:v>
                </c:pt>
                <c:pt idx="2">
                  <c:v>7.7596416253516525</c:v>
                </c:pt>
                <c:pt idx="3">
                  <c:v>7.0943837418203444</c:v>
                </c:pt>
                <c:pt idx="4">
                  <c:v>8.1330109881580324</c:v>
                </c:pt>
                <c:pt idx="5">
                  <c:v>7.3873357785723464</c:v>
                </c:pt>
                <c:pt idx="6">
                  <c:v>8.7641431029305323</c:v>
                </c:pt>
                <c:pt idx="7">
                  <c:v>8.5527086996187958</c:v>
                </c:pt>
                <c:pt idx="8">
                  <c:v>7.7162312513467999</c:v>
                </c:pt>
                <c:pt idx="9">
                  <c:v>8.1755704342307958</c:v>
                </c:pt>
                <c:pt idx="10">
                  <c:v>8.2111465029124115</c:v>
                </c:pt>
                <c:pt idx="11">
                  <c:v>7.771695073684306</c:v>
                </c:pt>
                <c:pt idx="12">
                  <c:v>8.5188753576537124</c:v>
                </c:pt>
                <c:pt idx="13">
                  <c:v>7.8812051253020128</c:v>
                </c:pt>
                <c:pt idx="14">
                  <c:v>9.18065979793103</c:v>
                </c:pt>
                <c:pt idx="15">
                  <c:v>8.1725212636344047</c:v>
                </c:pt>
                <c:pt idx="16">
                  <c:v>7.7841576134655162</c:v>
                </c:pt>
                <c:pt idx="17">
                  <c:v>8.3734286197463099</c:v>
                </c:pt>
                <c:pt idx="18">
                  <c:v>8.1440063101491447</c:v>
                </c:pt>
                <c:pt idx="19">
                  <c:v>7.795444900466773</c:v>
                </c:pt>
                <c:pt idx="20">
                  <c:v>7.3559563216238466</c:v>
                </c:pt>
                <c:pt idx="21">
                  <c:v>7.6823622834399572</c:v>
                </c:pt>
                <c:pt idx="22">
                  <c:v>7.1667181860747702</c:v>
                </c:pt>
                <c:pt idx="23">
                  <c:v>8.7546924545435552</c:v>
                </c:pt>
                <c:pt idx="24">
                  <c:v>7.8452358426998368</c:v>
                </c:pt>
                <c:pt idx="25">
                  <c:v>7.8981982789378993</c:v>
                </c:pt>
                <c:pt idx="26">
                  <c:v>8.1146438296045087</c:v>
                </c:pt>
                <c:pt idx="27">
                  <c:v>8.9211742189720411</c:v>
                </c:pt>
                <c:pt idx="28">
                  <c:v>8.3485257263736159</c:v>
                </c:pt>
                <c:pt idx="29">
                  <c:v>8.2386956637330506</c:v>
                </c:pt>
                <c:pt idx="30">
                  <c:v>8.0372869240070592</c:v>
                </c:pt>
                <c:pt idx="31">
                  <c:v>8.2573489122233852</c:v>
                </c:pt>
                <c:pt idx="32">
                  <c:v>7.874277168225718</c:v>
                </c:pt>
                <c:pt idx="33">
                  <c:v>7.4144924463331989</c:v>
                </c:pt>
                <c:pt idx="34">
                  <c:v>9.0116926142555158</c:v>
                </c:pt>
                <c:pt idx="35">
                  <c:v>8.0725474126178636</c:v>
                </c:pt>
                <c:pt idx="36">
                  <c:v>8.7845879923422565</c:v>
                </c:pt>
                <c:pt idx="37">
                  <c:v>7.8729951117818846</c:v>
                </c:pt>
                <c:pt idx="38">
                  <c:v>8.0645817551270564</c:v>
                </c:pt>
                <c:pt idx="39">
                  <c:v>7.9779182444113328</c:v>
                </c:pt>
                <c:pt idx="40">
                  <c:v>7.8772521909681519</c:v>
                </c:pt>
                <c:pt idx="41">
                  <c:v>7.8893578746090807</c:v>
                </c:pt>
                <c:pt idx="42">
                  <c:v>7.9298035733016885</c:v>
                </c:pt>
                <c:pt idx="43">
                  <c:v>8.0418957615465345</c:v>
                </c:pt>
                <c:pt idx="44">
                  <c:v>8.369477179291545</c:v>
                </c:pt>
                <c:pt idx="45">
                  <c:v>8.5155646699632506</c:v>
                </c:pt>
                <c:pt idx="46">
                  <c:v>8.2765655934830047</c:v>
                </c:pt>
                <c:pt idx="47">
                  <c:v>8.719580265724602</c:v>
                </c:pt>
                <c:pt idx="48">
                  <c:v>8.3259234930787507</c:v>
                </c:pt>
                <c:pt idx="49">
                  <c:v>7.9525155717146419</c:v>
                </c:pt>
                <c:pt idx="50">
                  <c:v>7.4658350782632645</c:v>
                </c:pt>
                <c:pt idx="51">
                  <c:v>7.6236199908328537</c:v>
                </c:pt>
                <c:pt idx="52">
                  <c:v>7.8461154100551429</c:v>
                </c:pt>
                <c:pt idx="53">
                  <c:v>7.9530523514621692</c:v>
                </c:pt>
                <c:pt idx="54">
                  <c:v>8.535157103558916</c:v>
                </c:pt>
                <c:pt idx="55">
                  <c:v>7.9131473051712131</c:v>
                </c:pt>
                <c:pt idx="56">
                  <c:v>7.5716990635836936</c:v>
                </c:pt>
                <c:pt idx="57">
                  <c:v>7.6955129365479049</c:v>
                </c:pt>
                <c:pt idx="58">
                  <c:v>7.3500164331582765</c:v>
                </c:pt>
                <c:pt idx="59">
                  <c:v>8.0029519282689972</c:v>
                </c:pt>
                <c:pt idx="60">
                  <c:v>7.4580211118228483</c:v>
                </c:pt>
                <c:pt idx="61">
                  <c:v>7.6081547962184022</c:v>
                </c:pt>
                <c:pt idx="62">
                  <c:v>7.5610730798415435</c:v>
                </c:pt>
                <c:pt idx="63">
                  <c:v>7.8498142119569847</c:v>
                </c:pt>
                <c:pt idx="64">
                  <c:v>8.2531494670705836</c:v>
                </c:pt>
                <c:pt idx="65">
                  <c:v>8.1675469221126082</c:v>
                </c:pt>
                <c:pt idx="66">
                  <c:v>8.1430419034646171</c:v>
                </c:pt>
                <c:pt idx="67">
                  <c:v>8.2790287449219644</c:v>
                </c:pt>
                <c:pt idx="68">
                  <c:v>7.8058951390980784</c:v>
                </c:pt>
                <c:pt idx="69">
                  <c:v>7.7438611728638236</c:v>
                </c:pt>
                <c:pt idx="70">
                  <c:v>7.6057439473552932</c:v>
                </c:pt>
                <c:pt idx="71">
                  <c:v>7.9980505326650491</c:v>
                </c:pt>
                <c:pt idx="72">
                  <c:v>8.5855515791722112</c:v>
                </c:pt>
                <c:pt idx="73">
                  <c:v>7.8848661516645207</c:v>
                </c:pt>
                <c:pt idx="74">
                  <c:v>7.6042205449426676</c:v>
                </c:pt>
                <c:pt idx="75">
                  <c:v>8.6570704397219185</c:v>
                </c:pt>
                <c:pt idx="76">
                  <c:v>8.5556754919958333</c:v>
                </c:pt>
                <c:pt idx="77">
                  <c:v>8.1822482696348668</c:v>
                </c:pt>
                <c:pt idx="78">
                  <c:v>8.1266489066131324</c:v>
                </c:pt>
                <c:pt idx="79">
                  <c:v>7.474406008014217</c:v>
                </c:pt>
                <c:pt idx="80">
                  <c:v>7.7763080087976117</c:v>
                </c:pt>
                <c:pt idx="81">
                  <c:v>7.8277817808889223</c:v>
                </c:pt>
                <c:pt idx="82">
                  <c:v>8.7014320767639468</c:v>
                </c:pt>
                <c:pt idx="83">
                  <c:v>7.8049108415379642</c:v>
                </c:pt>
                <c:pt idx="84">
                  <c:v>7.8414745611647776</c:v>
                </c:pt>
                <c:pt idx="85">
                  <c:v>8.9591538365844094</c:v>
                </c:pt>
                <c:pt idx="86">
                  <c:v>8.1009096754792438</c:v>
                </c:pt>
                <c:pt idx="87">
                  <c:v>7.7596566178642368</c:v>
                </c:pt>
                <c:pt idx="88">
                  <c:v>7.6755250730223761</c:v>
                </c:pt>
                <c:pt idx="89">
                  <c:v>7.9066598504839796</c:v>
                </c:pt>
                <c:pt idx="90">
                  <c:v>8.1697079439681541</c:v>
                </c:pt>
                <c:pt idx="91">
                  <c:v>7.7675817166626011</c:v>
                </c:pt>
                <c:pt idx="92">
                  <c:v>8.2229183569898279</c:v>
                </c:pt>
                <c:pt idx="93">
                  <c:v>7.8293695034921305</c:v>
                </c:pt>
                <c:pt idx="94">
                  <c:v>8.2136763763945169</c:v>
                </c:pt>
                <c:pt idx="95">
                  <c:v>7.9119249329526937</c:v>
                </c:pt>
                <c:pt idx="96">
                  <c:v>8.2180810175215218</c:v>
                </c:pt>
                <c:pt idx="97">
                  <c:v>7.5805361295269815</c:v>
                </c:pt>
                <c:pt idx="98">
                  <c:v>8.8392587035293637</c:v>
                </c:pt>
                <c:pt idx="99">
                  <c:v>7.4260003018920546</c:v>
                </c:pt>
                <c:pt idx="100">
                  <c:v>8.2637841841894062</c:v>
                </c:pt>
                <c:pt idx="101">
                  <c:v>8.2733078699746514</c:v>
                </c:pt>
                <c:pt idx="102">
                  <c:v>8.3784038313445777</c:v>
                </c:pt>
                <c:pt idx="103">
                  <c:v>7.9608809689308382</c:v>
                </c:pt>
                <c:pt idx="104">
                  <c:v>8.5340116543724314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6-4B68-9EC1-9C22EB4FEFBC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'Por-Perm-Logs'!$P$20:$P$124</c:f>
              <c:numCache>
                <c:formatCode>0.0</c:formatCode>
                <c:ptCount val="105"/>
                <c:pt idx="0">
                  <c:v>8.1983429712233669</c:v>
                </c:pt>
                <c:pt idx="1">
                  <c:v>7.7381900871765597</c:v>
                </c:pt>
                <c:pt idx="2">
                  <c:v>7.8633507322012353</c:v>
                </c:pt>
                <c:pt idx="3">
                  <c:v>7.387028814597751</c:v>
                </c:pt>
                <c:pt idx="4">
                  <c:v>8.1563049032383432</c:v>
                </c:pt>
                <c:pt idx="5">
                  <c:v>7.3956132664932266</c:v>
                </c:pt>
                <c:pt idx="6">
                  <c:v>8.4853834870787423</c:v>
                </c:pt>
                <c:pt idx="7">
                  <c:v>8.290405262195268</c:v>
                </c:pt>
                <c:pt idx="8">
                  <c:v>7.5979869520980712</c:v>
                </c:pt>
                <c:pt idx="9">
                  <c:v>8.073483071435632</c:v>
                </c:pt>
                <c:pt idx="10">
                  <c:v>8.5035707728739851</c:v>
                </c:pt>
                <c:pt idx="11">
                  <c:v>7.7198577513167317</c:v>
                </c:pt>
                <c:pt idx="12">
                  <c:v>8.8032418345893575</c:v>
                </c:pt>
                <c:pt idx="13">
                  <c:v>7.3920832334295836</c:v>
                </c:pt>
                <c:pt idx="14">
                  <c:v>9.2343741137123985</c:v>
                </c:pt>
                <c:pt idx="15">
                  <c:v>8.1746214823678649</c:v>
                </c:pt>
                <c:pt idx="16">
                  <c:v>7.5527139333541715</c:v>
                </c:pt>
                <c:pt idx="17">
                  <c:v>8.406864454673082</c:v>
                </c:pt>
                <c:pt idx="18">
                  <c:v>8.4422758571016612</c:v>
                </c:pt>
                <c:pt idx="19">
                  <c:v>7.8877525683321901</c:v>
                </c:pt>
                <c:pt idx="20">
                  <c:v>7.4839155566528452</c:v>
                </c:pt>
                <c:pt idx="21">
                  <c:v>7.7761882381311729</c:v>
                </c:pt>
                <c:pt idx="22">
                  <c:v>7.4144031788881195</c:v>
                </c:pt>
                <c:pt idx="23">
                  <c:v>8.592641568683506</c:v>
                </c:pt>
                <c:pt idx="24">
                  <c:v>7.712754241090054</c:v>
                </c:pt>
                <c:pt idx="25">
                  <c:v>7.7373771535816811</c:v>
                </c:pt>
                <c:pt idx="26">
                  <c:v>7.6742389176072123</c:v>
                </c:pt>
                <c:pt idx="27">
                  <c:v>9.1925105997531915</c:v>
                </c:pt>
                <c:pt idx="28">
                  <c:v>8.2892018729175092</c:v>
                </c:pt>
                <c:pt idx="29">
                  <c:v>8.4902954841988514</c:v>
                </c:pt>
                <c:pt idx="30">
                  <c:v>8.2664556760172498</c:v>
                </c:pt>
                <c:pt idx="31">
                  <c:v>7.9609438616200343</c:v>
                </c:pt>
                <c:pt idx="32">
                  <c:v>7.6953245092444407</c:v>
                </c:pt>
                <c:pt idx="33">
                  <c:v>7.5260283542495285</c:v>
                </c:pt>
                <c:pt idx="34">
                  <c:v>9.1871569736286816</c:v>
                </c:pt>
                <c:pt idx="35">
                  <c:v>8.0144290738747657</c:v>
                </c:pt>
                <c:pt idx="36">
                  <c:v>8.9134138084203478</c:v>
                </c:pt>
                <c:pt idx="37">
                  <c:v>7.6971126807232277</c:v>
                </c:pt>
                <c:pt idx="38">
                  <c:v>7.7613616038396378</c:v>
                </c:pt>
                <c:pt idx="39">
                  <c:v>8.3488250489170532</c:v>
                </c:pt>
                <c:pt idx="40">
                  <c:v>7.7332006424729478</c:v>
                </c:pt>
                <c:pt idx="41">
                  <c:v>7.8549149211664551</c:v>
                </c:pt>
                <c:pt idx="42">
                  <c:v>7.9349069276096147</c:v>
                </c:pt>
                <c:pt idx="43">
                  <c:v>7.8644270284111988</c:v>
                </c:pt>
                <c:pt idx="44">
                  <c:v>8.5903911758314084</c:v>
                </c:pt>
                <c:pt idx="45">
                  <c:v>8.1951479123349955</c:v>
                </c:pt>
                <c:pt idx="46">
                  <c:v>8.2711978393280514</c:v>
                </c:pt>
                <c:pt idx="47">
                  <c:v>8.6440178867409383</c:v>
                </c:pt>
                <c:pt idx="48">
                  <c:v>8.0318515715909715</c:v>
                </c:pt>
                <c:pt idx="49">
                  <c:v>8.0081480875330193</c:v>
                </c:pt>
                <c:pt idx="50">
                  <c:v>7.0057914880278016</c:v>
                </c:pt>
                <c:pt idx="51">
                  <c:v>7.5222975978476887</c:v>
                </c:pt>
                <c:pt idx="52">
                  <c:v>7.5109826636750663</c:v>
                </c:pt>
                <c:pt idx="53">
                  <c:v>7.9561628844482684</c:v>
                </c:pt>
                <c:pt idx="54">
                  <c:v>8.6029074159225463</c:v>
                </c:pt>
                <c:pt idx="55">
                  <c:v>8.1033256229032649</c:v>
                </c:pt>
                <c:pt idx="56">
                  <c:v>7.6261456669846339</c:v>
                </c:pt>
                <c:pt idx="57">
                  <c:v>7.6449388155152596</c:v>
                </c:pt>
                <c:pt idx="58">
                  <c:v>7.3159594402058481</c:v>
                </c:pt>
                <c:pt idx="59">
                  <c:v>7.740705828581218</c:v>
                </c:pt>
                <c:pt idx="60">
                  <c:v>7.8458342208160232</c:v>
                </c:pt>
                <c:pt idx="61">
                  <c:v>7.576915843512352</c:v>
                </c:pt>
                <c:pt idx="62">
                  <c:v>7.8814143387854401</c:v>
                </c:pt>
                <c:pt idx="63">
                  <c:v>7.7599994869015712</c:v>
                </c:pt>
                <c:pt idx="64">
                  <c:v>8.3640930452650721</c:v>
                </c:pt>
                <c:pt idx="65">
                  <c:v>8.2957445979507263</c:v>
                </c:pt>
                <c:pt idx="66">
                  <c:v>8.5016542177731882</c:v>
                </c:pt>
                <c:pt idx="67">
                  <c:v>8.265072419043733</c:v>
                </c:pt>
                <c:pt idx="68">
                  <c:v>7.4423716157997291</c:v>
                </c:pt>
                <c:pt idx="69">
                  <c:v>7.8065511407700408</c:v>
                </c:pt>
                <c:pt idx="70">
                  <c:v>7.863288086623454</c:v>
                </c:pt>
                <c:pt idx="71">
                  <c:v>8.0592139001866272</c:v>
                </c:pt>
                <c:pt idx="72">
                  <c:v>8.9018747190786129</c:v>
                </c:pt>
                <c:pt idx="73">
                  <c:v>7.9292311360665169</c:v>
                </c:pt>
                <c:pt idx="74">
                  <c:v>7.8459157145735139</c:v>
                </c:pt>
                <c:pt idx="75">
                  <c:v>8.4932655809123716</c:v>
                </c:pt>
                <c:pt idx="76">
                  <c:v>8.4859401973154966</c:v>
                </c:pt>
                <c:pt idx="77">
                  <c:v>8.5209856819546737</c:v>
                </c:pt>
                <c:pt idx="78">
                  <c:v>8.1869500664535799</c:v>
                </c:pt>
                <c:pt idx="79">
                  <c:v>7.175799642377334</c:v>
                </c:pt>
                <c:pt idx="80">
                  <c:v>8.1057557176857014</c:v>
                </c:pt>
                <c:pt idx="81">
                  <c:v>7.7760925844391018</c:v>
                </c:pt>
                <c:pt idx="82">
                  <c:v>8.964208735638433</c:v>
                </c:pt>
                <c:pt idx="83">
                  <c:v>7.316572746643617</c:v>
                </c:pt>
                <c:pt idx="84">
                  <c:v>8.0847852407720424</c:v>
                </c:pt>
                <c:pt idx="85">
                  <c:v>9.0011546086669654</c:v>
                </c:pt>
                <c:pt idx="86">
                  <c:v>7.9966084821313741</c:v>
                </c:pt>
                <c:pt idx="87">
                  <c:v>7.77699857234881</c:v>
                </c:pt>
                <c:pt idx="88">
                  <c:v>7.3102707503311732</c:v>
                </c:pt>
                <c:pt idx="89">
                  <c:v>7.9204992903968297</c:v>
                </c:pt>
                <c:pt idx="90">
                  <c:v>8.1167241573862157</c:v>
                </c:pt>
                <c:pt idx="91">
                  <c:v>7.486051380408389</c:v>
                </c:pt>
                <c:pt idx="92">
                  <c:v>8.315832976648462</c:v>
                </c:pt>
                <c:pt idx="93">
                  <c:v>8.0383074384859743</c:v>
                </c:pt>
                <c:pt idx="94">
                  <c:v>8.4951648504650663</c:v>
                </c:pt>
                <c:pt idx="95">
                  <c:v>7.6032752719710208</c:v>
                </c:pt>
                <c:pt idx="96">
                  <c:v>8.2144877476324663</c:v>
                </c:pt>
                <c:pt idx="97">
                  <c:v>7.7225142421460715</c:v>
                </c:pt>
                <c:pt idx="98">
                  <c:v>8.4113195259433677</c:v>
                </c:pt>
                <c:pt idx="99">
                  <c:v>7.3616947457626134</c:v>
                </c:pt>
                <c:pt idx="100">
                  <c:v>8.3218527306535091</c:v>
                </c:pt>
                <c:pt idx="101">
                  <c:v>8.3562496351560007</c:v>
                </c:pt>
                <c:pt idx="102">
                  <c:v>8.6872601468966604</c:v>
                </c:pt>
                <c:pt idx="103">
                  <c:v>8.0885001628349098</c:v>
                </c:pt>
                <c:pt idx="104">
                  <c:v>8.4925296382874755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6-4B68-9EC1-9C22EB4F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10"/>
          <c:min val="6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Ln{Permeability }</a:t>
                </a:r>
              </a:p>
            </c:rich>
          </c:tx>
          <c:layout>
            <c:manualLayout>
              <c:xMode val="edge"/>
              <c:yMode val="edge"/>
              <c:x val="0.42409496540205205"/>
              <c:y val="0.95259053859695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0.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13.737778540603166</c:v>
                </c:pt>
                <c:pt idx="1">
                  <c:v>9.5657353474199809</c:v>
                </c:pt>
                <c:pt idx="2">
                  <c:v>10.064980211084306</c:v>
                </c:pt>
                <c:pt idx="3">
                  <c:v>4.658823839016776</c:v>
                </c:pt>
                <c:pt idx="4">
                  <c:v>13.099131642941048</c:v>
                </c:pt>
                <c:pt idx="5">
                  <c:v>7.0394713433953715</c:v>
                </c:pt>
                <c:pt idx="6">
                  <c:v>18.227968126294392</c:v>
                </c:pt>
                <c:pt idx="7">
                  <c:v>16.509766095120355</c:v>
                </c:pt>
                <c:pt idx="8">
                  <c:v>9.7122098406011705</c:v>
                </c:pt>
                <c:pt idx="9">
                  <c:v>13.444987026655726</c:v>
                </c:pt>
                <c:pt idx="10">
                  <c:v>13.734092642924873</c:v>
                </c:pt>
                <c:pt idx="11">
                  <c:v>10.162931438904508</c:v>
                </c:pt>
                <c:pt idx="12">
                  <c:v>16.234822585571905</c:v>
                </c:pt>
                <c:pt idx="13">
                  <c:v>11.052854697259477</c:v>
                </c:pt>
                <c:pt idx="14">
                  <c:v>21.612752343802256</c:v>
                </c:pt>
                <c:pt idx="15">
                  <c:v>13.420208225145402</c:v>
                </c:pt>
                <c:pt idx="16">
                  <c:v>10.264207110366979</c:v>
                </c:pt>
                <c:pt idx="17">
                  <c:v>15.052863185465773</c:v>
                </c:pt>
                <c:pt idx="18">
                  <c:v>13.188484105372085</c:v>
                </c:pt>
                <c:pt idx="19">
                  <c:v>10.355932199322394</c:v>
                </c:pt>
                <c:pt idx="20">
                  <c:v>6.7844691024092789</c:v>
                </c:pt>
                <c:pt idx="21">
                  <c:v>9.4369768201475139</c:v>
                </c:pt>
                <c:pt idx="22">
                  <c:v>5.2466429786416295</c:v>
                </c:pt>
                <c:pt idx="23">
                  <c:v>18.151168310370053</c:v>
                </c:pt>
                <c:pt idx="24">
                  <c:v>10.760553664603915</c:v>
                </c:pt>
                <c:pt idx="25">
                  <c:v>11.190947981209032</c:v>
                </c:pt>
                <c:pt idx="26">
                  <c:v>12.949872635706397</c:v>
                </c:pt>
                <c:pt idx="27">
                  <c:v>19.504066898840136</c:v>
                </c:pt>
                <c:pt idx="28">
                  <c:v>14.850492136550013</c:v>
                </c:pt>
                <c:pt idx="29">
                  <c:v>13.957968338354494</c:v>
                </c:pt>
                <c:pt idx="30">
                  <c:v>12.321238930684848</c:v>
                </c:pt>
                <c:pt idx="31">
                  <c:v>14.10955222887601</c:v>
                </c:pt>
                <c:pt idx="32">
                  <c:v>10.996555297852721</c:v>
                </c:pt>
                <c:pt idx="33">
                  <c:v>7.2601574804466811</c:v>
                </c:pt>
                <c:pt idx="34">
                  <c:v>20.23965622677639</c:v>
                </c:pt>
                <c:pt idx="35">
                  <c:v>12.607780014833528</c:v>
                </c:pt>
                <c:pt idx="36">
                  <c:v>18.394111620277069</c:v>
                </c:pt>
                <c:pt idx="37">
                  <c:v>10.98613678529577</c:v>
                </c:pt>
                <c:pt idx="38">
                  <c:v>12.543047839435561</c:v>
                </c:pt>
                <c:pt idx="39">
                  <c:v>11.838784872727693</c:v>
                </c:pt>
                <c:pt idx="40">
                  <c:v>11.020731543717975</c:v>
                </c:pt>
                <c:pt idx="41">
                  <c:v>11.119107256916967</c:v>
                </c:pt>
                <c:pt idx="42">
                  <c:v>11.447785468964749</c:v>
                </c:pt>
                <c:pt idx="43">
                  <c:v>12.358692220677593</c:v>
                </c:pt>
                <c:pt idx="44">
                  <c:v>15.020752171793932</c:v>
                </c:pt>
                <c:pt idx="45">
                  <c:v>16.207918589697826</c:v>
                </c:pt>
                <c:pt idx="46">
                  <c:v>14.265714803440666</c:v>
                </c:pt>
                <c:pt idx="47">
                  <c:v>17.865832370699238</c:v>
                </c:pt>
                <c:pt idx="48">
                  <c:v>14.666817187970093</c:v>
                </c:pt>
                <c:pt idx="49">
                  <c:v>11.632352413576985</c:v>
                </c:pt>
                <c:pt idx="50">
                  <c:v>7.6773886078616167</c:v>
                </c:pt>
                <c:pt idx="51">
                  <c:v>8.9596130378469834</c:v>
                </c:pt>
                <c:pt idx="52">
                  <c:v>10.767701386983861</c:v>
                </c:pt>
                <c:pt idx="53">
                  <c:v>11.636714504315526</c:v>
                </c:pt>
                <c:pt idx="54">
                  <c:v>16.367134680704947</c:v>
                </c:pt>
                <c:pt idx="55">
                  <c:v>11.31242985377016</c:v>
                </c:pt>
                <c:pt idx="56">
                  <c:v>8.5376824472589625</c:v>
                </c:pt>
                <c:pt idx="57">
                  <c:v>9.5438443806174398</c:v>
                </c:pt>
                <c:pt idx="58">
                  <c:v>6.7361991507522507</c:v>
                </c:pt>
                <c:pt idx="59">
                  <c:v>12.042218778365976</c:v>
                </c:pt>
                <c:pt idx="60">
                  <c:v>7.6138891356888987</c:v>
                </c:pt>
                <c:pt idx="61">
                  <c:v>8.8339365709009954</c:v>
                </c:pt>
                <c:pt idx="62">
                  <c:v>8.4513313777877102</c:v>
                </c:pt>
                <c:pt idx="63">
                  <c:v>10.797759356931564</c:v>
                </c:pt>
                <c:pt idx="64">
                  <c:v>14.075425828071179</c:v>
                </c:pt>
                <c:pt idx="65">
                  <c:v>13.379784701004423</c:v>
                </c:pt>
                <c:pt idx="66">
                  <c:v>13.180646944066845</c:v>
                </c:pt>
                <c:pt idx="67">
                  <c:v>14.285731374723383</c:v>
                </c:pt>
                <c:pt idx="68">
                  <c:v>10.440855092481316</c:v>
                </c:pt>
                <c:pt idx="69">
                  <c:v>9.936741830325353</c:v>
                </c:pt>
                <c:pt idx="70">
                  <c:v>8.8143450316407552</c:v>
                </c:pt>
                <c:pt idx="71">
                  <c:v>12.002388042447976</c:v>
                </c:pt>
                <c:pt idx="72">
                  <c:v>16.776660703918164</c:v>
                </c:pt>
                <c:pt idx="73">
                  <c:v>11.08260568779704</c:v>
                </c:pt>
                <c:pt idx="74">
                  <c:v>8.8019652434952587</c:v>
                </c:pt>
                <c:pt idx="75">
                  <c:v>17.357852078353954</c:v>
                </c:pt>
                <c:pt idx="76">
                  <c:v>16.533875457686019</c:v>
                </c:pt>
                <c:pt idx="77">
                  <c:v>13.49925383553547</c:v>
                </c:pt>
                <c:pt idx="78">
                  <c:v>13.047430778456738</c:v>
                </c:pt>
                <c:pt idx="79">
                  <c:v>7.7470394720373221</c:v>
                </c:pt>
                <c:pt idx="80">
                  <c:v>10.200418027450221</c:v>
                </c:pt>
                <c:pt idx="81">
                  <c:v>10.618714853199442</c:v>
                </c:pt>
                <c:pt idx="82">
                  <c:v>17.71835279951349</c:v>
                </c:pt>
                <c:pt idx="83">
                  <c:v>10.432856289823947</c:v>
                </c:pt>
                <c:pt idx="84">
                  <c:v>10.729987959722729</c:v>
                </c:pt>
                <c:pt idx="85">
                  <c:v>19.812704732147569</c:v>
                </c:pt>
                <c:pt idx="86">
                  <c:v>12.838263308440514</c:v>
                </c:pt>
                <c:pt idx="87">
                  <c:v>10.065102046344659</c:v>
                </c:pt>
                <c:pt idx="88">
                  <c:v>9.3814148650302478</c:v>
                </c:pt>
                <c:pt idx="89">
                  <c:v>11.259710156094847</c:v>
                </c:pt>
                <c:pt idx="90">
                  <c:v>13.39734604430264</c:v>
                </c:pt>
                <c:pt idx="91">
                  <c:v>10.129504625297377</c:v>
                </c:pt>
                <c:pt idx="92">
                  <c:v>13.829755521196773</c:v>
                </c:pt>
                <c:pt idx="93">
                  <c:v>10.63161733339682</c:v>
                </c:pt>
                <c:pt idx="94">
                  <c:v>13.754651424691135</c:v>
                </c:pt>
                <c:pt idx="95">
                  <c:v>11.302496359524119</c:v>
                </c:pt>
                <c:pt idx="96">
                  <c:v>13.790445331512707</c:v>
                </c:pt>
                <c:pt idx="97">
                  <c:v>8.6094960424712319</c:v>
                </c:pt>
                <c:pt idx="98">
                  <c:v>18.838388074515791</c:v>
                </c:pt>
                <c:pt idx="99">
                  <c:v>7.3536749992893009</c:v>
                </c:pt>
                <c:pt idx="100">
                  <c:v>14.161847868516411</c:v>
                </c:pt>
                <c:pt idx="101">
                  <c:v>14.239241216070855</c:v>
                </c:pt>
                <c:pt idx="102">
                  <c:v>15.093293780202327</c:v>
                </c:pt>
                <c:pt idx="103">
                  <c:v>11.70033303670791</c:v>
                </c:pt>
                <c:pt idx="104">
                  <c:v>16.357826294330742</c:v>
                </c:pt>
              </c:numCache>
            </c:numRef>
          </c:xVal>
          <c:yVal>
            <c:numRef>
              <c:f>'Por-Perm-Logs'!$P$20:$P$124</c:f>
              <c:numCache>
                <c:formatCode>0.0</c:formatCode>
                <c:ptCount val="105"/>
                <c:pt idx="0">
                  <c:v>8.1983429712233669</c:v>
                </c:pt>
                <c:pt idx="1">
                  <c:v>7.7381900871765597</c:v>
                </c:pt>
                <c:pt idx="2">
                  <c:v>7.8633507322012353</c:v>
                </c:pt>
                <c:pt idx="3">
                  <c:v>7.387028814597751</c:v>
                </c:pt>
                <c:pt idx="4">
                  <c:v>8.1563049032383432</c:v>
                </c:pt>
                <c:pt idx="5">
                  <c:v>7.3956132664932266</c:v>
                </c:pt>
                <c:pt idx="6">
                  <c:v>8.4853834870787423</c:v>
                </c:pt>
                <c:pt idx="7">
                  <c:v>8.290405262195268</c:v>
                </c:pt>
                <c:pt idx="8">
                  <c:v>7.5979869520980712</c:v>
                </c:pt>
                <c:pt idx="9">
                  <c:v>8.073483071435632</c:v>
                </c:pt>
                <c:pt idx="10">
                  <c:v>8.5035707728739851</c:v>
                </c:pt>
                <c:pt idx="11">
                  <c:v>7.7198577513167317</c:v>
                </c:pt>
                <c:pt idx="12">
                  <c:v>8.8032418345893575</c:v>
                </c:pt>
                <c:pt idx="13">
                  <c:v>7.3920832334295836</c:v>
                </c:pt>
                <c:pt idx="14">
                  <c:v>9.2343741137123985</c:v>
                </c:pt>
                <c:pt idx="15">
                  <c:v>8.1746214823678649</c:v>
                </c:pt>
                <c:pt idx="16">
                  <c:v>7.5527139333541715</c:v>
                </c:pt>
                <c:pt idx="17">
                  <c:v>8.406864454673082</c:v>
                </c:pt>
                <c:pt idx="18">
                  <c:v>8.4422758571016612</c:v>
                </c:pt>
                <c:pt idx="19">
                  <c:v>7.8877525683321901</c:v>
                </c:pt>
                <c:pt idx="20">
                  <c:v>7.4839155566528452</c:v>
                </c:pt>
                <c:pt idx="21">
                  <c:v>7.7761882381311729</c:v>
                </c:pt>
                <c:pt idx="22">
                  <c:v>7.4144031788881195</c:v>
                </c:pt>
                <c:pt idx="23">
                  <c:v>8.592641568683506</c:v>
                </c:pt>
                <c:pt idx="24">
                  <c:v>7.712754241090054</c:v>
                </c:pt>
                <c:pt idx="25">
                  <c:v>7.7373771535816811</c:v>
                </c:pt>
                <c:pt idx="26">
                  <c:v>7.6742389176072123</c:v>
                </c:pt>
                <c:pt idx="27">
                  <c:v>9.1925105997531915</c:v>
                </c:pt>
                <c:pt idx="28">
                  <c:v>8.2892018729175092</c:v>
                </c:pt>
                <c:pt idx="29">
                  <c:v>8.4902954841988514</c:v>
                </c:pt>
                <c:pt idx="30">
                  <c:v>8.2664556760172498</c:v>
                </c:pt>
                <c:pt idx="31">
                  <c:v>7.9609438616200343</c:v>
                </c:pt>
                <c:pt idx="32">
                  <c:v>7.6953245092444407</c:v>
                </c:pt>
                <c:pt idx="33">
                  <c:v>7.5260283542495285</c:v>
                </c:pt>
                <c:pt idx="34">
                  <c:v>9.1871569736286816</c:v>
                </c:pt>
                <c:pt idx="35">
                  <c:v>8.0144290738747657</c:v>
                </c:pt>
                <c:pt idx="36">
                  <c:v>8.9134138084203478</c:v>
                </c:pt>
                <c:pt idx="37">
                  <c:v>7.6971126807232277</c:v>
                </c:pt>
                <c:pt idx="38">
                  <c:v>7.7613616038396378</c:v>
                </c:pt>
                <c:pt idx="39">
                  <c:v>8.3488250489170532</c:v>
                </c:pt>
                <c:pt idx="40">
                  <c:v>7.7332006424729478</c:v>
                </c:pt>
                <c:pt idx="41">
                  <c:v>7.8549149211664551</c:v>
                </c:pt>
                <c:pt idx="42">
                  <c:v>7.9349069276096147</c:v>
                </c:pt>
                <c:pt idx="43">
                  <c:v>7.8644270284111988</c:v>
                </c:pt>
                <c:pt idx="44">
                  <c:v>8.5903911758314084</c:v>
                </c:pt>
                <c:pt idx="45">
                  <c:v>8.1951479123349955</c:v>
                </c:pt>
                <c:pt idx="46">
                  <c:v>8.2711978393280514</c:v>
                </c:pt>
                <c:pt idx="47">
                  <c:v>8.6440178867409383</c:v>
                </c:pt>
                <c:pt idx="48">
                  <c:v>8.0318515715909715</c:v>
                </c:pt>
                <c:pt idx="49">
                  <c:v>8.0081480875330193</c:v>
                </c:pt>
                <c:pt idx="50">
                  <c:v>7.0057914880278016</c:v>
                </c:pt>
                <c:pt idx="51">
                  <c:v>7.5222975978476887</c:v>
                </c:pt>
                <c:pt idx="52">
                  <c:v>7.5109826636750663</c:v>
                </c:pt>
                <c:pt idx="53">
                  <c:v>7.9561628844482684</c:v>
                </c:pt>
                <c:pt idx="54">
                  <c:v>8.6029074159225463</c:v>
                </c:pt>
                <c:pt idx="55">
                  <c:v>8.1033256229032649</c:v>
                </c:pt>
                <c:pt idx="56">
                  <c:v>7.6261456669846339</c:v>
                </c:pt>
                <c:pt idx="57">
                  <c:v>7.6449388155152596</c:v>
                </c:pt>
                <c:pt idx="58">
                  <c:v>7.3159594402058481</c:v>
                </c:pt>
                <c:pt idx="59">
                  <c:v>7.740705828581218</c:v>
                </c:pt>
                <c:pt idx="60">
                  <c:v>7.8458342208160232</c:v>
                </c:pt>
                <c:pt idx="61">
                  <c:v>7.576915843512352</c:v>
                </c:pt>
                <c:pt idx="62">
                  <c:v>7.8814143387854401</c:v>
                </c:pt>
                <c:pt idx="63">
                  <c:v>7.7599994869015712</c:v>
                </c:pt>
                <c:pt idx="64">
                  <c:v>8.3640930452650721</c:v>
                </c:pt>
                <c:pt idx="65">
                  <c:v>8.2957445979507263</c:v>
                </c:pt>
                <c:pt idx="66">
                  <c:v>8.5016542177731882</c:v>
                </c:pt>
                <c:pt idx="67">
                  <c:v>8.265072419043733</c:v>
                </c:pt>
                <c:pt idx="68">
                  <c:v>7.4423716157997291</c:v>
                </c:pt>
                <c:pt idx="69">
                  <c:v>7.8065511407700408</c:v>
                </c:pt>
                <c:pt idx="70">
                  <c:v>7.863288086623454</c:v>
                </c:pt>
                <c:pt idx="71">
                  <c:v>8.0592139001866272</c:v>
                </c:pt>
                <c:pt idx="72">
                  <c:v>8.9018747190786129</c:v>
                </c:pt>
                <c:pt idx="73">
                  <c:v>7.9292311360665169</c:v>
                </c:pt>
                <c:pt idx="74">
                  <c:v>7.8459157145735139</c:v>
                </c:pt>
                <c:pt idx="75">
                  <c:v>8.4932655809123716</c:v>
                </c:pt>
                <c:pt idx="76">
                  <c:v>8.4859401973154966</c:v>
                </c:pt>
                <c:pt idx="77">
                  <c:v>8.5209856819546737</c:v>
                </c:pt>
                <c:pt idx="78">
                  <c:v>8.1869500664535799</c:v>
                </c:pt>
                <c:pt idx="79">
                  <c:v>7.175799642377334</c:v>
                </c:pt>
                <c:pt idx="80">
                  <c:v>8.1057557176857014</c:v>
                </c:pt>
                <c:pt idx="81">
                  <c:v>7.7760925844391018</c:v>
                </c:pt>
                <c:pt idx="82">
                  <c:v>8.964208735638433</c:v>
                </c:pt>
                <c:pt idx="83">
                  <c:v>7.316572746643617</c:v>
                </c:pt>
                <c:pt idx="84">
                  <c:v>8.0847852407720424</c:v>
                </c:pt>
                <c:pt idx="85">
                  <c:v>9.0011546086669654</c:v>
                </c:pt>
                <c:pt idx="86">
                  <c:v>7.9966084821313741</c:v>
                </c:pt>
                <c:pt idx="87">
                  <c:v>7.77699857234881</c:v>
                </c:pt>
                <c:pt idx="88">
                  <c:v>7.3102707503311732</c:v>
                </c:pt>
                <c:pt idx="89">
                  <c:v>7.9204992903968297</c:v>
                </c:pt>
                <c:pt idx="90">
                  <c:v>8.1167241573862157</c:v>
                </c:pt>
                <c:pt idx="91">
                  <c:v>7.486051380408389</c:v>
                </c:pt>
                <c:pt idx="92">
                  <c:v>8.315832976648462</c:v>
                </c:pt>
                <c:pt idx="93">
                  <c:v>8.0383074384859743</c:v>
                </c:pt>
                <c:pt idx="94">
                  <c:v>8.4951648504650663</c:v>
                </c:pt>
                <c:pt idx="95">
                  <c:v>7.6032752719710208</c:v>
                </c:pt>
                <c:pt idx="96">
                  <c:v>8.2144877476324663</c:v>
                </c:pt>
                <c:pt idx="97">
                  <c:v>7.7225142421460715</c:v>
                </c:pt>
                <c:pt idx="98">
                  <c:v>8.4113195259433677</c:v>
                </c:pt>
                <c:pt idx="99">
                  <c:v>7.3616947457626134</c:v>
                </c:pt>
                <c:pt idx="100">
                  <c:v>8.3218527306535091</c:v>
                </c:pt>
                <c:pt idx="101">
                  <c:v>8.3562496351560007</c:v>
                </c:pt>
                <c:pt idx="102">
                  <c:v>8.6872601468966604</c:v>
                </c:pt>
                <c:pt idx="103">
                  <c:v>8.0885001628349098</c:v>
                </c:pt>
                <c:pt idx="104">
                  <c:v>8.4925296382874755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88D-A9DB-06853C21425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'Por-Perm-Logs'!$AA$98:$AA$99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'Por-Perm-Logs'!$AB$98:$AB$99</c:f>
              <c:numCache>
                <c:formatCode>0.0</c:formatCode>
                <c:ptCount val="2"/>
                <c:pt idx="0">
                  <c:v>6.521089320870364</c:v>
                </c:pt>
                <c:pt idx="1">
                  <c:v>10.212757695291913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2-488D-A9DB-06853C21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Ln{Permeability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layout>
        <c:manualLayout>
          <c:xMode val="edge"/>
          <c:yMode val="edge"/>
          <c:x val="0.42342257875351341"/>
          <c:y val="3.4090798095713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13.737778540603166</c:v>
                </c:pt>
                <c:pt idx="1">
                  <c:v>9.5657353474199809</c:v>
                </c:pt>
                <c:pt idx="2">
                  <c:v>10.064980211084306</c:v>
                </c:pt>
                <c:pt idx="3">
                  <c:v>4.658823839016776</c:v>
                </c:pt>
                <c:pt idx="4">
                  <c:v>13.099131642941048</c:v>
                </c:pt>
                <c:pt idx="5">
                  <c:v>7.0394713433953715</c:v>
                </c:pt>
                <c:pt idx="6">
                  <c:v>18.227968126294392</c:v>
                </c:pt>
                <c:pt idx="7">
                  <c:v>16.509766095120355</c:v>
                </c:pt>
                <c:pt idx="8">
                  <c:v>9.7122098406011705</c:v>
                </c:pt>
                <c:pt idx="9">
                  <c:v>13.444987026655726</c:v>
                </c:pt>
                <c:pt idx="10">
                  <c:v>13.734092642924873</c:v>
                </c:pt>
                <c:pt idx="11">
                  <c:v>10.162931438904508</c:v>
                </c:pt>
                <c:pt idx="12">
                  <c:v>16.234822585571905</c:v>
                </c:pt>
                <c:pt idx="13">
                  <c:v>11.052854697259477</c:v>
                </c:pt>
                <c:pt idx="14">
                  <c:v>21.612752343802256</c:v>
                </c:pt>
                <c:pt idx="15">
                  <c:v>13.420208225145402</c:v>
                </c:pt>
                <c:pt idx="16">
                  <c:v>10.264207110366979</c:v>
                </c:pt>
                <c:pt idx="17">
                  <c:v>15.052863185465773</c:v>
                </c:pt>
                <c:pt idx="18">
                  <c:v>13.188484105372085</c:v>
                </c:pt>
                <c:pt idx="19">
                  <c:v>10.355932199322394</c:v>
                </c:pt>
                <c:pt idx="20">
                  <c:v>6.7844691024092789</c:v>
                </c:pt>
                <c:pt idx="21">
                  <c:v>9.4369768201475139</c:v>
                </c:pt>
                <c:pt idx="22">
                  <c:v>5.2466429786416295</c:v>
                </c:pt>
                <c:pt idx="23">
                  <c:v>18.151168310370053</c:v>
                </c:pt>
                <c:pt idx="24">
                  <c:v>10.760553664603915</c:v>
                </c:pt>
                <c:pt idx="25">
                  <c:v>11.190947981209032</c:v>
                </c:pt>
                <c:pt idx="26">
                  <c:v>12.949872635706397</c:v>
                </c:pt>
                <c:pt idx="27">
                  <c:v>19.504066898840136</c:v>
                </c:pt>
                <c:pt idx="28">
                  <c:v>14.850492136550013</c:v>
                </c:pt>
                <c:pt idx="29">
                  <c:v>13.957968338354494</c:v>
                </c:pt>
                <c:pt idx="30">
                  <c:v>12.321238930684848</c:v>
                </c:pt>
                <c:pt idx="31">
                  <c:v>14.10955222887601</c:v>
                </c:pt>
                <c:pt idx="32">
                  <c:v>10.996555297852721</c:v>
                </c:pt>
                <c:pt idx="33">
                  <c:v>7.2601574804466811</c:v>
                </c:pt>
                <c:pt idx="34">
                  <c:v>20.23965622677639</c:v>
                </c:pt>
                <c:pt idx="35">
                  <c:v>12.607780014833528</c:v>
                </c:pt>
                <c:pt idx="36">
                  <c:v>18.394111620277069</c:v>
                </c:pt>
                <c:pt idx="37">
                  <c:v>10.98613678529577</c:v>
                </c:pt>
                <c:pt idx="38">
                  <c:v>12.543047839435561</c:v>
                </c:pt>
                <c:pt idx="39">
                  <c:v>11.838784872727693</c:v>
                </c:pt>
                <c:pt idx="40">
                  <c:v>11.020731543717975</c:v>
                </c:pt>
                <c:pt idx="41">
                  <c:v>11.119107256916967</c:v>
                </c:pt>
                <c:pt idx="42">
                  <c:v>11.447785468964749</c:v>
                </c:pt>
                <c:pt idx="43">
                  <c:v>12.358692220677593</c:v>
                </c:pt>
                <c:pt idx="44">
                  <c:v>15.020752171793932</c:v>
                </c:pt>
                <c:pt idx="45">
                  <c:v>16.207918589697826</c:v>
                </c:pt>
                <c:pt idx="46">
                  <c:v>14.265714803440666</c:v>
                </c:pt>
                <c:pt idx="47">
                  <c:v>17.865832370699238</c:v>
                </c:pt>
                <c:pt idx="48">
                  <c:v>14.666817187970093</c:v>
                </c:pt>
                <c:pt idx="49">
                  <c:v>11.632352413576985</c:v>
                </c:pt>
                <c:pt idx="50">
                  <c:v>7.6773886078616167</c:v>
                </c:pt>
                <c:pt idx="51">
                  <c:v>8.9596130378469834</c:v>
                </c:pt>
                <c:pt idx="52">
                  <c:v>10.767701386983861</c:v>
                </c:pt>
                <c:pt idx="53">
                  <c:v>11.636714504315526</c:v>
                </c:pt>
                <c:pt idx="54">
                  <c:v>16.367134680704947</c:v>
                </c:pt>
                <c:pt idx="55">
                  <c:v>11.31242985377016</c:v>
                </c:pt>
                <c:pt idx="56">
                  <c:v>8.5376824472589625</c:v>
                </c:pt>
                <c:pt idx="57">
                  <c:v>9.5438443806174398</c:v>
                </c:pt>
                <c:pt idx="58">
                  <c:v>6.7361991507522507</c:v>
                </c:pt>
                <c:pt idx="59">
                  <c:v>12.042218778365976</c:v>
                </c:pt>
                <c:pt idx="60">
                  <c:v>7.6138891356888987</c:v>
                </c:pt>
                <c:pt idx="61">
                  <c:v>8.8339365709009954</c:v>
                </c:pt>
                <c:pt idx="62">
                  <c:v>8.4513313777877102</c:v>
                </c:pt>
                <c:pt idx="63">
                  <c:v>10.797759356931564</c:v>
                </c:pt>
                <c:pt idx="64">
                  <c:v>14.075425828071179</c:v>
                </c:pt>
                <c:pt idx="65">
                  <c:v>13.379784701004423</c:v>
                </c:pt>
                <c:pt idx="66">
                  <c:v>13.180646944066845</c:v>
                </c:pt>
                <c:pt idx="67">
                  <c:v>14.285731374723383</c:v>
                </c:pt>
                <c:pt idx="68">
                  <c:v>10.440855092481316</c:v>
                </c:pt>
                <c:pt idx="69">
                  <c:v>9.936741830325353</c:v>
                </c:pt>
                <c:pt idx="70">
                  <c:v>8.8143450316407552</c:v>
                </c:pt>
                <c:pt idx="71">
                  <c:v>12.002388042447976</c:v>
                </c:pt>
                <c:pt idx="72">
                  <c:v>16.776660703918164</c:v>
                </c:pt>
                <c:pt idx="73">
                  <c:v>11.08260568779704</c:v>
                </c:pt>
                <c:pt idx="74">
                  <c:v>8.8019652434952587</c:v>
                </c:pt>
                <c:pt idx="75">
                  <c:v>17.357852078353954</c:v>
                </c:pt>
                <c:pt idx="76">
                  <c:v>16.533875457686019</c:v>
                </c:pt>
                <c:pt idx="77">
                  <c:v>13.49925383553547</c:v>
                </c:pt>
                <c:pt idx="78">
                  <c:v>13.047430778456738</c:v>
                </c:pt>
                <c:pt idx="79">
                  <c:v>7.7470394720373221</c:v>
                </c:pt>
                <c:pt idx="80">
                  <c:v>10.200418027450221</c:v>
                </c:pt>
                <c:pt idx="81">
                  <c:v>10.618714853199442</c:v>
                </c:pt>
                <c:pt idx="82">
                  <c:v>17.71835279951349</c:v>
                </c:pt>
                <c:pt idx="83">
                  <c:v>10.432856289823947</c:v>
                </c:pt>
                <c:pt idx="84">
                  <c:v>10.729987959722729</c:v>
                </c:pt>
                <c:pt idx="85">
                  <c:v>19.812704732147569</c:v>
                </c:pt>
                <c:pt idx="86">
                  <c:v>12.838263308440514</c:v>
                </c:pt>
                <c:pt idx="87">
                  <c:v>10.065102046344659</c:v>
                </c:pt>
                <c:pt idx="88">
                  <c:v>9.3814148650302478</c:v>
                </c:pt>
                <c:pt idx="89">
                  <c:v>11.259710156094847</c:v>
                </c:pt>
                <c:pt idx="90">
                  <c:v>13.39734604430264</c:v>
                </c:pt>
                <c:pt idx="91">
                  <c:v>10.129504625297377</c:v>
                </c:pt>
                <c:pt idx="92">
                  <c:v>13.829755521196773</c:v>
                </c:pt>
                <c:pt idx="93">
                  <c:v>10.63161733339682</c:v>
                </c:pt>
                <c:pt idx="94">
                  <c:v>13.754651424691135</c:v>
                </c:pt>
                <c:pt idx="95">
                  <c:v>11.302496359524119</c:v>
                </c:pt>
                <c:pt idx="96">
                  <c:v>13.790445331512707</c:v>
                </c:pt>
                <c:pt idx="97">
                  <c:v>8.6094960424712319</c:v>
                </c:pt>
                <c:pt idx="98">
                  <c:v>18.838388074515791</c:v>
                </c:pt>
                <c:pt idx="99">
                  <c:v>7.3536749992893009</c:v>
                </c:pt>
                <c:pt idx="100">
                  <c:v>14.161847868516411</c:v>
                </c:pt>
                <c:pt idx="101">
                  <c:v>14.239241216070855</c:v>
                </c:pt>
                <c:pt idx="102">
                  <c:v>15.093293780202327</c:v>
                </c:pt>
                <c:pt idx="103">
                  <c:v>11.70033303670791</c:v>
                </c:pt>
                <c:pt idx="104">
                  <c:v>16.357826294330742</c:v>
                </c:pt>
              </c:numCache>
            </c:numRef>
          </c:xVal>
          <c:yVal>
            <c:numRef>
              <c:f>'Por-Perm-Logs'!$X$20:$X$124</c:f>
              <c:numCache>
                <c:formatCode>0.00</c:formatCode>
                <c:ptCount val="105"/>
                <c:pt idx="0">
                  <c:v>1.3257102085388439E-2</c:v>
                </c:pt>
                <c:pt idx="1">
                  <c:v>-3.9983344300973833E-2</c:v>
                </c:pt>
                <c:pt idx="2">
                  <c:v>-0.10370910684958279</c:v>
                </c:pt>
                <c:pt idx="3">
                  <c:v>-0.29264507277740659</c:v>
                </c:pt>
                <c:pt idx="4">
                  <c:v>-2.3293915080310867E-2</c:v>
                </c:pt>
                <c:pt idx="5">
                  <c:v>-8.2774879208802332E-3</c:v>
                </c:pt>
                <c:pt idx="6">
                  <c:v>0.27875961585178999</c:v>
                </c:pt>
                <c:pt idx="7">
                  <c:v>0.2623034374235278</c:v>
                </c:pt>
                <c:pt idx="8">
                  <c:v>0.1182442992487287</c:v>
                </c:pt>
                <c:pt idx="9">
                  <c:v>0.10208736279516373</c:v>
                </c:pt>
                <c:pt idx="10">
                  <c:v>-0.29242426996157356</c:v>
                </c:pt>
                <c:pt idx="11">
                  <c:v>5.1837322367574323E-2</c:v>
                </c:pt>
                <c:pt idx="12">
                  <c:v>-0.2843664769356451</c:v>
                </c:pt>
                <c:pt idx="13">
                  <c:v>0.48912189187242916</c:v>
                </c:pt>
                <c:pt idx="14">
                  <c:v>-5.3714315781368427E-2</c:v>
                </c:pt>
                <c:pt idx="15">
                  <c:v>-2.100218733460224E-3</c:v>
                </c:pt>
                <c:pt idx="16">
                  <c:v>0.23144368011134464</c:v>
                </c:pt>
                <c:pt idx="17">
                  <c:v>-3.3435834926772046E-2</c:v>
                </c:pt>
                <c:pt idx="18">
                  <c:v>-0.29826954695251651</c:v>
                </c:pt>
                <c:pt idx="19">
                  <c:v>-9.2307667865417109E-2</c:v>
                </c:pt>
                <c:pt idx="20">
                  <c:v>-0.12795923502899864</c:v>
                </c:pt>
                <c:pt idx="21">
                  <c:v>-9.3825954691215685E-2</c:v>
                </c:pt>
                <c:pt idx="22">
                  <c:v>-0.24768499281334933</c:v>
                </c:pt>
                <c:pt idx="23">
                  <c:v>0.16205088586004912</c:v>
                </c:pt>
                <c:pt idx="24">
                  <c:v>0.13248160160978273</c:v>
                </c:pt>
                <c:pt idx="25">
                  <c:v>0.16082112535621818</c:v>
                </c:pt>
                <c:pt idx="26">
                  <c:v>0.44040491199729637</c:v>
                </c:pt>
                <c:pt idx="27">
                  <c:v>-0.27133638078115041</c:v>
                </c:pt>
                <c:pt idx="28">
                  <c:v>5.932385345610669E-2</c:v>
                </c:pt>
                <c:pt idx="29">
                  <c:v>-0.25159982046580076</c:v>
                </c:pt>
                <c:pt idx="30">
                  <c:v>-0.2291687520101906</c:v>
                </c:pt>
                <c:pt idx="31">
                  <c:v>0.29640505060335087</c:v>
                </c:pt>
                <c:pt idx="32">
                  <c:v>0.17895265898127732</c:v>
                </c:pt>
                <c:pt idx="33">
                  <c:v>-0.11153590791632961</c:v>
                </c:pt>
                <c:pt idx="34">
                  <c:v>-0.17546435937316573</c:v>
                </c:pt>
                <c:pt idx="35">
                  <c:v>5.8118338743097908E-2</c:v>
                </c:pt>
                <c:pt idx="36">
                  <c:v>-0.12882581607809129</c:v>
                </c:pt>
                <c:pt idx="37">
                  <c:v>0.17588243105865686</c:v>
                </c:pt>
                <c:pt idx="38">
                  <c:v>0.30322015128741864</c:v>
                </c:pt>
                <c:pt idx="39">
                  <c:v>-0.37090680450572044</c:v>
                </c:pt>
                <c:pt idx="40">
                  <c:v>0.14405154849520407</c:v>
                </c:pt>
                <c:pt idx="41">
                  <c:v>3.4442953442625601E-2</c:v>
                </c:pt>
                <c:pt idx="42">
                  <c:v>-5.1033543079261889E-3</c:v>
                </c:pt>
                <c:pt idx="43">
                  <c:v>0.17746873313533573</c:v>
                </c:pt>
                <c:pt idx="44">
                  <c:v>-0.22091399653986343</c:v>
                </c:pt>
                <c:pt idx="45">
                  <c:v>0.32041675762825506</c:v>
                </c:pt>
                <c:pt idx="46">
                  <c:v>5.3677541549532748E-3</c:v>
                </c:pt>
                <c:pt idx="47">
                  <c:v>7.5562378983663692E-2</c:v>
                </c:pt>
                <c:pt idx="48">
                  <c:v>0.29407192148777916</c:v>
                </c:pt>
                <c:pt idx="49">
                  <c:v>-5.563251581837747E-2</c:v>
                </c:pt>
                <c:pt idx="50">
                  <c:v>0.46004359023546293</c:v>
                </c:pt>
                <c:pt idx="51">
                  <c:v>0.10132239298516499</c:v>
                </c:pt>
                <c:pt idx="52">
                  <c:v>0.33513274638007662</c:v>
                </c:pt>
                <c:pt idx="53">
                  <c:v>-3.1105329860992015E-3</c:v>
                </c:pt>
                <c:pt idx="54">
                  <c:v>-6.7750312363630272E-2</c:v>
                </c:pt>
                <c:pt idx="55">
                  <c:v>-0.19017831773205174</c:v>
                </c:pt>
                <c:pt idx="56">
                  <c:v>-5.4446603400940319E-2</c:v>
                </c:pt>
                <c:pt idx="57">
                  <c:v>5.0574121032645358E-2</c:v>
                </c:pt>
                <c:pt idx="58">
                  <c:v>3.4056992952428367E-2</c:v>
                </c:pt>
                <c:pt idx="59">
                  <c:v>0.26224609968777912</c:v>
                </c:pt>
                <c:pt idx="60">
                  <c:v>-0.38781310899317489</c:v>
                </c:pt>
                <c:pt idx="61">
                  <c:v>3.1238952706050149E-2</c:v>
                </c:pt>
                <c:pt idx="62">
                  <c:v>-0.32034125894389653</c:v>
                </c:pt>
                <c:pt idx="63">
                  <c:v>8.9814725055413547E-2</c:v>
                </c:pt>
                <c:pt idx="64">
                  <c:v>-0.11094357819448852</c:v>
                </c:pt>
                <c:pt idx="65">
                  <c:v>-0.12819767583811803</c:v>
                </c:pt>
                <c:pt idx="66">
                  <c:v>-0.3586123143085711</c:v>
                </c:pt>
                <c:pt idx="67">
                  <c:v>1.3956325878231368E-2</c:v>
                </c:pt>
                <c:pt idx="68">
                  <c:v>0.36352352329834936</c:v>
                </c:pt>
                <c:pt idx="69">
                  <c:v>-6.268996790621717E-2</c:v>
                </c:pt>
                <c:pt idx="70">
                  <c:v>-0.25754413926816078</c:v>
                </c:pt>
                <c:pt idx="71">
                  <c:v>-6.1163367521578138E-2</c:v>
                </c:pt>
                <c:pt idx="72">
                  <c:v>-0.31632313990640171</c:v>
                </c:pt>
                <c:pt idx="73">
                  <c:v>-4.436498440199621E-2</c:v>
                </c:pt>
                <c:pt idx="74">
                  <c:v>-0.24169516963084625</c:v>
                </c:pt>
                <c:pt idx="75">
                  <c:v>0.16380485880954687</c:v>
                </c:pt>
                <c:pt idx="76">
                  <c:v>6.9735294680336679E-2</c:v>
                </c:pt>
                <c:pt idx="77">
                  <c:v>-0.33873741231980681</c:v>
                </c:pt>
                <c:pt idx="78">
                  <c:v>-6.0301159840447482E-2</c:v>
                </c:pt>
                <c:pt idx="79">
                  <c:v>0.29860636563688292</c:v>
                </c:pt>
                <c:pt idx="80">
                  <c:v>-0.32944770888808961</c:v>
                </c:pt>
                <c:pt idx="81">
                  <c:v>5.1689196449820507E-2</c:v>
                </c:pt>
                <c:pt idx="82">
                  <c:v>-0.2627766588744862</c:v>
                </c:pt>
                <c:pt idx="83">
                  <c:v>0.48833809489434721</c:v>
                </c:pt>
                <c:pt idx="84">
                  <c:v>-0.24331067960726482</c:v>
                </c:pt>
                <c:pt idx="85">
                  <c:v>-4.2000772082555926E-2</c:v>
                </c:pt>
                <c:pt idx="86">
                  <c:v>0.10430119334786969</c:v>
                </c:pt>
                <c:pt idx="87">
                  <c:v>-1.7341954484573208E-2</c:v>
                </c:pt>
                <c:pt idx="88">
                  <c:v>0.36525432269120284</c:v>
                </c:pt>
                <c:pt idx="89">
                  <c:v>-1.3839439912850082E-2</c:v>
                </c:pt>
                <c:pt idx="90">
                  <c:v>5.2983786581938475E-2</c:v>
                </c:pt>
                <c:pt idx="91">
                  <c:v>0.28153033625421209</c:v>
                </c:pt>
                <c:pt idx="92">
                  <c:v>-9.2914619658634123E-2</c:v>
                </c:pt>
                <c:pt idx="93">
                  <c:v>-0.20893793499384383</c:v>
                </c:pt>
                <c:pt idx="94">
                  <c:v>-0.28148847407054944</c:v>
                </c:pt>
                <c:pt idx="95">
                  <c:v>0.3086496609816729</c:v>
                </c:pt>
                <c:pt idx="96">
                  <c:v>3.5932698890555059E-3</c:v>
                </c:pt>
                <c:pt idx="97">
                  <c:v>-0.14197811261908999</c:v>
                </c:pt>
                <c:pt idx="98">
                  <c:v>0.42793917758599598</c:v>
                </c:pt>
                <c:pt idx="99">
                  <c:v>6.4305556129441221E-2</c:v>
                </c:pt>
                <c:pt idx="100">
                  <c:v>-5.8068546464102866E-2</c:v>
                </c:pt>
                <c:pt idx="101">
                  <c:v>-8.2941765181349325E-2</c:v>
                </c:pt>
                <c:pt idx="102">
                  <c:v>-0.30885631555208271</c:v>
                </c:pt>
                <c:pt idx="103">
                  <c:v>-0.12761919390407162</c:v>
                </c:pt>
                <c:pt idx="104">
                  <c:v>4.1482016084955831E-2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F-4A95-A785-83ABEB2689D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'Por-Perm-Logs'!$AN$113:$AN$114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'Por-Perm-Logs'!$AM$113:$AM$114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F-4A95-A785-83ABEB26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Ln{Permeability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and Gaussian Fit Probability Density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-0.30011960890661449</c:v>
                </c:pt>
                <c:pt idx="1">
                  <c:v>-0.21242610882005408</c:v>
                </c:pt>
                <c:pt idx="2">
                  <c:v>-0.12473260873349368</c:v>
                </c:pt>
                <c:pt idx="3">
                  <c:v>-3.7039108646933272E-2</c:v>
                </c:pt>
                <c:pt idx="4">
                  <c:v>5.0654391439627133E-2</c:v>
                </c:pt>
                <c:pt idx="5">
                  <c:v>0.13834789152618754</c:v>
                </c:pt>
                <c:pt idx="6">
                  <c:v>0.22604139161274794</c:v>
                </c:pt>
                <c:pt idx="7">
                  <c:v>0.31373489169930835</c:v>
                </c:pt>
                <c:pt idx="8">
                  <c:v>0.40142839178586875</c:v>
                </c:pt>
                <c:pt idx="9">
                  <c:v>0.48912189187242916</c:v>
                </c:pt>
              </c:numCache>
            </c:numRef>
          </c:xVal>
          <c:yVal>
            <c:numRef>
              <c:f>'Por-Perm-Logs'!$AP$76:$AY$76</c:f>
              <c:numCache>
                <c:formatCode>0.000</c:formatCode>
                <c:ptCount val="10"/>
                <c:pt idx="0">
                  <c:v>8.2523644495191548E-2</c:v>
                </c:pt>
                <c:pt idx="1">
                  <c:v>8.0368242708147922E-2</c:v>
                </c:pt>
                <c:pt idx="2">
                  <c:v>0.11908164429663193</c:v>
                </c:pt>
                <c:pt idx="3">
                  <c:v>0.15000637477184309</c:v>
                </c:pt>
                <c:pt idx="4">
                  <c:v>0.16065078214299378</c:v>
                </c:pt>
                <c:pt idx="5">
                  <c:v>0.14627338451198946</c:v>
                </c:pt>
                <c:pt idx="6">
                  <c:v>0.11322846196972591</c:v>
                </c:pt>
                <c:pt idx="7">
                  <c:v>7.4516019001138467E-2</c:v>
                </c:pt>
                <c:pt idx="8">
                  <c:v>4.1690854010728584E-2</c:v>
                </c:pt>
                <c:pt idx="9">
                  <c:v>1.9829874545767345E-2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F-4C22-97FC-048D05E7F5F5}"/>
            </c:ext>
          </c:extLst>
        </c:ser>
        <c:ser>
          <c:idx val="0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-0.30011960890661449</c:v>
                </c:pt>
                <c:pt idx="1">
                  <c:v>-0.21242610882005408</c:v>
                </c:pt>
                <c:pt idx="2">
                  <c:v>-0.12473260873349368</c:v>
                </c:pt>
                <c:pt idx="3">
                  <c:v>-3.7039108646933272E-2</c:v>
                </c:pt>
                <c:pt idx="4">
                  <c:v>5.0654391439627133E-2</c:v>
                </c:pt>
                <c:pt idx="5">
                  <c:v>0.13834789152618754</c:v>
                </c:pt>
                <c:pt idx="6">
                  <c:v>0.22604139161274794</c:v>
                </c:pt>
                <c:pt idx="7">
                  <c:v>0.31373489169930835</c:v>
                </c:pt>
                <c:pt idx="8">
                  <c:v>0.40142839178586875</c:v>
                </c:pt>
                <c:pt idx="9">
                  <c:v>0.48912189187242916</c:v>
                </c:pt>
              </c:numCache>
            </c:numRef>
          </c:xVal>
          <c:yVal>
            <c:numRef>
              <c:f>'Por-Perm-Logs'!$AP$75:$AY$75</c:f>
              <c:numCache>
                <c:formatCode>0.00</c:formatCode>
                <c:ptCount val="10"/>
                <c:pt idx="0">
                  <c:v>7.6190476190476197E-2</c:v>
                </c:pt>
                <c:pt idx="1">
                  <c:v>0.13333333333333333</c:v>
                </c:pt>
                <c:pt idx="2">
                  <c:v>7.6190476190476197E-2</c:v>
                </c:pt>
                <c:pt idx="3">
                  <c:v>0.17142857142857143</c:v>
                </c:pt>
                <c:pt idx="4">
                  <c:v>0.16190476190476191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9.5238095238095233E-2</c:v>
                </c:pt>
                <c:pt idx="8">
                  <c:v>3.8095238095238099E-2</c:v>
                </c:pt>
                <c:pt idx="9">
                  <c:v>4.7619047619047616E-2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6F-4C22-97FC-048D05E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At val="-1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At val="-1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13.737778540603166</c:v>
                </c:pt>
                <c:pt idx="1">
                  <c:v>9.5657353474199809</c:v>
                </c:pt>
                <c:pt idx="2">
                  <c:v>10.064980211084306</c:v>
                </c:pt>
                <c:pt idx="3">
                  <c:v>4.658823839016776</c:v>
                </c:pt>
                <c:pt idx="4">
                  <c:v>13.099131642941048</c:v>
                </c:pt>
                <c:pt idx="5">
                  <c:v>7.0394713433953715</c:v>
                </c:pt>
                <c:pt idx="6">
                  <c:v>18.227968126294392</c:v>
                </c:pt>
                <c:pt idx="7">
                  <c:v>16.509766095120355</c:v>
                </c:pt>
                <c:pt idx="8">
                  <c:v>9.7122098406011705</c:v>
                </c:pt>
                <c:pt idx="9">
                  <c:v>13.444987026655726</c:v>
                </c:pt>
                <c:pt idx="10">
                  <c:v>13.734092642924873</c:v>
                </c:pt>
                <c:pt idx="11">
                  <c:v>10.162931438904508</c:v>
                </c:pt>
                <c:pt idx="12">
                  <c:v>16.234822585571905</c:v>
                </c:pt>
                <c:pt idx="13">
                  <c:v>11.052854697259477</c:v>
                </c:pt>
                <c:pt idx="14">
                  <c:v>21.612752343802256</c:v>
                </c:pt>
                <c:pt idx="15">
                  <c:v>13.420208225145402</c:v>
                </c:pt>
                <c:pt idx="16">
                  <c:v>10.264207110366979</c:v>
                </c:pt>
                <c:pt idx="17">
                  <c:v>15.052863185465773</c:v>
                </c:pt>
                <c:pt idx="18">
                  <c:v>13.188484105372085</c:v>
                </c:pt>
                <c:pt idx="19">
                  <c:v>10.355932199322394</c:v>
                </c:pt>
                <c:pt idx="20">
                  <c:v>6.7844691024092789</c:v>
                </c:pt>
                <c:pt idx="21">
                  <c:v>9.4369768201475139</c:v>
                </c:pt>
                <c:pt idx="22">
                  <c:v>5.2466429786416295</c:v>
                </c:pt>
                <c:pt idx="23">
                  <c:v>18.151168310370053</c:v>
                </c:pt>
                <c:pt idx="24">
                  <c:v>10.760553664603915</c:v>
                </c:pt>
                <c:pt idx="25">
                  <c:v>11.190947981209032</c:v>
                </c:pt>
                <c:pt idx="26">
                  <c:v>12.949872635706397</c:v>
                </c:pt>
                <c:pt idx="27">
                  <c:v>19.504066898840136</c:v>
                </c:pt>
                <c:pt idx="28">
                  <c:v>14.850492136550013</c:v>
                </c:pt>
                <c:pt idx="29">
                  <c:v>13.957968338354494</c:v>
                </c:pt>
                <c:pt idx="30">
                  <c:v>12.321238930684848</c:v>
                </c:pt>
                <c:pt idx="31">
                  <c:v>14.10955222887601</c:v>
                </c:pt>
                <c:pt idx="32">
                  <c:v>10.996555297852721</c:v>
                </c:pt>
                <c:pt idx="33">
                  <c:v>7.2601574804466811</c:v>
                </c:pt>
                <c:pt idx="34">
                  <c:v>20.23965622677639</c:v>
                </c:pt>
                <c:pt idx="35">
                  <c:v>12.607780014833528</c:v>
                </c:pt>
                <c:pt idx="36">
                  <c:v>18.394111620277069</c:v>
                </c:pt>
                <c:pt idx="37">
                  <c:v>10.98613678529577</c:v>
                </c:pt>
                <c:pt idx="38">
                  <c:v>12.543047839435561</c:v>
                </c:pt>
                <c:pt idx="39">
                  <c:v>11.838784872727693</c:v>
                </c:pt>
                <c:pt idx="40">
                  <c:v>11.020731543717975</c:v>
                </c:pt>
                <c:pt idx="41">
                  <c:v>11.119107256916967</c:v>
                </c:pt>
                <c:pt idx="42">
                  <c:v>11.447785468964749</c:v>
                </c:pt>
                <c:pt idx="43">
                  <c:v>12.358692220677593</c:v>
                </c:pt>
                <c:pt idx="44">
                  <c:v>15.020752171793932</c:v>
                </c:pt>
                <c:pt idx="45">
                  <c:v>16.207918589697826</c:v>
                </c:pt>
                <c:pt idx="46">
                  <c:v>14.265714803440666</c:v>
                </c:pt>
                <c:pt idx="47">
                  <c:v>17.865832370699238</c:v>
                </c:pt>
                <c:pt idx="48">
                  <c:v>14.666817187970093</c:v>
                </c:pt>
                <c:pt idx="49">
                  <c:v>11.632352413576985</c:v>
                </c:pt>
                <c:pt idx="50">
                  <c:v>7.6773886078616167</c:v>
                </c:pt>
                <c:pt idx="51">
                  <c:v>8.9596130378469834</c:v>
                </c:pt>
                <c:pt idx="52">
                  <c:v>10.767701386983861</c:v>
                </c:pt>
                <c:pt idx="53">
                  <c:v>11.636714504315526</c:v>
                </c:pt>
                <c:pt idx="54">
                  <c:v>16.367134680704947</c:v>
                </c:pt>
                <c:pt idx="55">
                  <c:v>11.31242985377016</c:v>
                </c:pt>
                <c:pt idx="56">
                  <c:v>8.5376824472589625</c:v>
                </c:pt>
                <c:pt idx="57">
                  <c:v>9.5438443806174398</c:v>
                </c:pt>
                <c:pt idx="58">
                  <c:v>6.7361991507522507</c:v>
                </c:pt>
                <c:pt idx="59">
                  <c:v>12.042218778365976</c:v>
                </c:pt>
                <c:pt idx="60">
                  <c:v>7.6138891356888987</c:v>
                </c:pt>
                <c:pt idx="61">
                  <c:v>8.8339365709009954</c:v>
                </c:pt>
                <c:pt idx="62">
                  <c:v>8.4513313777877102</c:v>
                </c:pt>
                <c:pt idx="63">
                  <c:v>10.797759356931564</c:v>
                </c:pt>
                <c:pt idx="64">
                  <c:v>14.075425828071179</c:v>
                </c:pt>
                <c:pt idx="65">
                  <c:v>13.379784701004423</c:v>
                </c:pt>
                <c:pt idx="66">
                  <c:v>13.180646944066845</c:v>
                </c:pt>
                <c:pt idx="67">
                  <c:v>14.285731374723383</c:v>
                </c:pt>
                <c:pt idx="68">
                  <c:v>10.440855092481316</c:v>
                </c:pt>
                <c:pt idx="69">
                  <c:v>9.936741830325353</c:v>
                </c:pt>
                <c:pt idx="70">
                  <c:v>8.8143450316407552</c:v>
                </c:pt>
                <c:pt idx="71">
                  <c:v>12.002388042447976</c:v>
                </c:pt>
                <c:pt idx="72">
                  <c:v>16.776660703918164</c:v>
                </c:pt>
                <c:pt idx="73">
                  <c:v>11.08260568779704</c:v>
                </c:pt>
                <c:pt idx="74">
                  <c:v>8.8019652434952587</c:v>
                </c:pt>
                <c:pt idx="75">
                  <c:v>17.357852078353954</c:v>
                </c:pt>
                <c:pt idx="76">
                  <c:v>16.533875457686019</c:v>
                </c:pt>
                <c:pt idx="77">
                  <c:v>13.49925383553547</c:v>
                </c:pt>
                <c:pt idx="78">
                  <c:v>13.047430778456738</c:v>
                </c:pt>
                <c:pt idx="79">
                  <c:v>7.7470394720373221</c:v>
                </c:pt>
                <c:pt idx="80">
                  <c:v>10.200418027450221</c:v>
                </c:pt>
                <c:pt idx="81">
                  <c:v>10.618714853199442</c:v>
                </c:pt>
                <c:pt idx="82">
                  <c:v>17.71835279951349</c:v>
                </c:pt>
                <c:pt idx="83">
                  <c:v>10.432856289823947</c:v>
                </c:pt>
                <c:pt idx="84">
                  <c:v>10.729987959722729</c:v>
                </c:pt>
                <c:pt idx="85">
                  <c:v>19.812704732147569</c:v>
                </c:pt>
                <c:pt idx="86">
                  <c:v>12.838263308440514</c:v>
                </c:pt>
                <c:pt idx="87">
                  <c:v>10.065102046344659</c:v>
                </c:pt>
                <c:pt idx="88">
                  <c:v>9.3814148650302478</c:v>
                </c:pt>
                <c:pt idx="89">
                  <c:v>11.259710156094847</c:v>
                </c:pt>
                <c:pt idx="90">
                  <c:v>13.39734604430264</c:v>
                </c:pt>
                <c:pt idx="91">
                  <c:v>10.129504625297377</c:v>
                </c:pt>
                <c:pt idx="92">
                  <c:v>13.829755521196773</c:v>
                </c:pt>
                <c:pt idx="93">
                  <c:v>10.63161733339682</c:v>
                </c:pt>
                <c:pt idx="94">
                  <c:v>13.754651424691135</c:v>
                </c:pt>
                <c:pt idx="95">
                  <c:v>11.302496359524119</c:v>
                </c:pt>
                <c:pt idx="96">
                  <c:v>13.790445331512707</c:v>
                </c:pt>
                <c:pt idx="97">
                  <c:v>8.6094960424712319</c:v>
                </c:pt>
                <c:pt idx="98">
                  <c:v>18.838388074515791</c:v>
                </c:pt>
                <c:pt idx="99">
                  <c:v>7.3536749992893009</c:v>
                </c:pt>
                <c:pt idx="100">
                  <c:v>14.161847868516411</c:v>
                </c:pt>
                <c:pt idx="101">
                  <c:v>14.239241216070855</c:v>
                </c:pt>
                <c:pt idx="102">
                  <c:v>15.093293780202327</c:v>
                </c:pt>
                <c:pt idx="103">
                  <c:v>11.70033303670791</c:v>
                </c:pt>
                <c:pt idx="104">
                  <c:v>16.357826294330742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3634.9221436984358</c:v>
                </c:pt>
                <c:pt idx="1">
                  <c:v>2294.3161108616137</c:v>
                </c:pt>
                <c:pt idx="2">
                  <c:v>2600.2184304731668</c:v>
                </c:pt>
                <c:pt idx="3">
                  <c:v>1614.9008080359743</c:v>
                </c:pt>
                <c:pt idx="4">
                  <c:v>3485.2843180495424</c:v>
                </c:pt>
                <c:pt idx="5">
                  <c:v>1628.8235202650005</c:v>
                </c:pt>
                <c:pt idx="6">
                  <c:v>4843.4545110898998</c:v>
                </c:pt>
                <c:pt idx="7">
                  <c:v>3985.4490191144805</c:v>
                </c:pt>
                <c:pt idx="8">
                  <c:v>1994.1774770408683</c:v>
                </c:pt>
                <c:pt idx="9">
                  <c:v>3208.2569789493041</c:v>
                </c:pt>
                <c:pt idx="10">
                  <c:v>4932.3497335640586</c:v>
                </c:pt>
                <c:pt idx="11">
                  <c:v>2252.6391228278189</c:v>
                </c:pt>
                <c:pt idx="12">
                  <c:v>6655.7860269392231</c:v>
                </c:pt>
                <c:pt idx="13">
                  <c:v>1623.0838559462611</c:v>
                </c:pt>
                <c:pt idx="14">
                  <c:v>10243.248798074224</c:v>
                </c:pt>
                <c:pt idx="15">
                  <c:v>3549.7110414001213</c:v>
                </c:pt>
                <c:pt idx="16">
                  <c:v>1905.9082266703861</c:v>
                </c:pt>
                <c:pt idx="17">
                  <c:v>4477.6984505030623</c:v>
                </c:pt>
                <c:pt idx="18">
                  <c:v>4639.1009102487806</c:v>
                </c:pt>
                <c:pt idx="19">
                  <c:v>2664.449019531035</c:v>
                </c:pt>
                <c:pt idx="20">
                  <c:v>1779.1936884710335</c:v>
                </c:pt>
                <c:pt idx="21">
                  <c:v>2383.1733958484365</c:v>
                </c:pt>
                <c:pt idx="22">
                  <c:v>1659.7183178140572</c:v>
                </c:pt>
                <c:pt idx="23">
                  <c:v>5391.8377900045971</c:v>
                </c:pt>
                <c:pt idx="24">
                  <c:v>2236.6941773716035</c:v>
                </c:pt>
                <c:pt idx="25">
                  <c:v>2292.4517421244868</c:v>
                </c:pt>
                <c:pt idx="26">
                  <c:v>2152.1850720502002</c:v>
                </c:pt>
                <c:pt idx="27">
                  <c:v>9823.28237678595</c:v>
                </c:pt>
                <c:pt idx="28">
                  <c:v>3980.655857096147</c:v>
                </c:pt>
                <c:pt idx="29">
                  <c:v>4867.3040722346486</c:v>
                </c:pt>
                <c:pt idx="30">
                  <c:v>3891.1330862761852</c:v>
                </c:pt>
                <c:pt idx="31">
                  <c:v>2866.777517209935</c:v>
                </c:pt>
                <c:pt idx="32">
                  <c:v>2198.0469811714538</c:v>
                </c:pt>
                <c:pt idx="33">
                  <c:v>1855.7205833515652</c:v>
                </c:pt>
                <c:pt idx="34">
                  <c:v>9770.8327188276271</c:v>
                </c:pt>
                <c:pt idx="35">
                  <c:v>3024.2822629763591</c:v>
                </c:pt>
                <c:pt idx="36">
                  <c:v>7430.985808757001</c:v>
                </c:pt>
                <c:pt idx="37">
                  <c:v>2201.9809823783303</c:v>
                </c:pt>
                <c:pt idx="38">
                  <c:v>2348.0996110624756</c:v>
                </c:pt>
                <c:pt idx="39">
                  <c:v>4225.2134064458578</c:v>
                </c:pt>
                <c:pt idx="40">
                  <c:v>2282.8972580501363</c:v>
                </c:pt>
                <c:pt idx="41">
                  <c:v>2578.3757390853611</c:v>
                </c:pt>
                <c:pt idx="42">
                  <c:v>2793.0987668750454</c:v>
                </c:pt>
                <c:pt idx="43">
                  <c:v>2603.0185423195389</c:v>
                </c:pt>
                <c:pt idx="44">
                  <c:v>5379.7176794023908</c:v>
                </c:pt>
                <c:pt idx="45">
                  <c:v>3623.3268870227112</c:v>
                </c:pt>
                <c:pt idx="46">
                  <c:v>3909.6292961973504</c:v>
                </c:pt>
                <c:pt idx="47">
                  <c:v>5676.0899565774989</c:v>
                </c:pt>
                <c:pt idx="48">
                  <c:v>3077.4344915930706</c:v>
                </c:pt>
                <c:pt idx="49">
                  <c:v>3005.3463178485013</c:v>
                </c:pt>
                <c:pt idx="50">
                  <c:v>1103.0027230614132</c:v>
                </c:pt>
                <c:pt idx="51">
                  <c:v>1848.8102403236028</c:v>
                </c:pt>
                <c:pt idx="52">
                  <c:v>1828.0089785383047</c:v>
                </c:pt>
                <c:pt idx="53">
                  <c:v>2853.1042312227346</c:v>
                </c:pt>
                <c:pt idx="54">
                  <c:v>5447.4746643017115</c:v>
                </c:pt>
                <c:pt idx="55">
                  <c:v>3305.4424720071052</c:v>
                </c:pt>
                <c:pt idx="56">
                  <c:v>2051.1290302375651</c:v>
                </c:pt>
                <c:pt idx="57">
                  <c:v>2090.0406938590468</c:v>
                </c:pt>
                <c:pt idx="58">
                  <c:v>1504.1142116231933</c:v>
                </c:pt>
                <c:pt idx="59">
                  <c:v>2300.0952833007682</c:v>
                </c:pt>
                <c:pt idx="60">
                  <c:v>2555.0682658573137</c:v>
                </c:pt>
                <c:pt idx="61">
                  <c:v>1952.5975528485303</c:v>
                </c:pt>
                <c:pt idx="62">
                  <c:v>2647.6145367953914</c:v>
                </c:pt>
                <c:pt idx="63">
                  <c:v>2344.9034021093335</c:v>
                </c:pt>
                <c:pt idx="64">
                  <c:v>4290.2189386280479</c:v>
                </c:pt>
                <c:pt idx="65">
                  <c:v>4006.7855804066644</c:v>
                </c:pt>
                <c:pt idx="66">
                  <c:v>4922.9056664515956</c:v>
                </c:pt>
                <c:pt idx="67">
                  <c:v>3885.7543702305875</c:v>
                </c:pt>
                <c:pt idx="68">
                  <c:v>1706.7932828777248</c:v>
                </c:pt>
                <c:pt idx="69">
                  <c:v>2456.6431914980421</c:v>
                </c:pt>
                <c:pt idx="70">
                  <c:v>2600.0555433893633</c:v>
                </c:pt>
                <c:pt idx="71">
                  <c:v>3162.8028781172238</c:v>
                </c:pt>
                <c:pt idx="72">
                  <c:v>7345.7318222621088</c:v>
                </c:pt>
                <c:pt idx="73">
                  <c:v>2777.2906248122326</c:v>
                </c:pt>
                <c:pt idx="74">
                  <c:v>2555.2764964555754</c:v>
                </c:pt>
                <c:pt idx="75">
                  <c:v>4881.7819257328438</c:v>
                </c:pt>
                <c:pt idx="76">
                  <c:v>4846.1516624937158</c:v>
                </c:pt>
                <c:pt idx="77">
                  <c:v>5018.9984556526324</c:v>
                </c:pt>
                <c:pt idx="78">
                  <c:v>3593.7448318603015</c:v>
                </c:pt>
                <c:pt idx="79">
                  <c:v>1307.4051396592893</c:v>
                </c:pt>
                <c:pt idx="80">
                  <c:v>3313.4847783375735</c:v>
                </c:pt>
                <c:pt idx="81">
                  <c:v>2382.9454474165063</c:v>
                </c:pt>
                <c:pt idx="82">
                  <c:v>7818.1930232170889</c:v>
                </c:pt>
                <c:pt idx="83">
                  <c:v>1505.0369774925211</c:v>
                </c:pt>
                <c:pt idx="84">
                  <c:v>3244.7229265814417</c:v>
                </c:pt>
                <c:pt idx="85">
                  <c:v>8112.4452217830449</c:v>
                </c:pt>
                <c:pt idx="86">
                  <c:v>2970.8651394738126</c:v>
                </c:pt>
                <c:pt idx="87">
                  <c:v>2385.1053454543744</c:v>
                </c:pt>
                <c:pt idx="88">
                  <c:v>1495.5820637180709</c:v>
                </c:pt>
                <c:pt idx="89">
                  <c:v>2753.1453216402601</c:v>
                </c:pt>
                <c:pt idx="90">
                  <c:v>3350.0285842217449</c:v>
                </c:pt>
                <c:pt idx="91">
                  <c:v>1782.9977936195435</c:v>
                </c:pt>
                <c:pt idx="92">
                  <c:v>4088.0893023743906</c:v>
                </c:pt>
                <c:pt idx="93">
                  <c:v>3097.3662682707968</c:v>
                </c:pt>
                <c:pt idx="94">
                  <c:v>4891.0625559266855</c:v>
                </c:pt>
                <c:pt idx="95">
                  <c:v>2004.7512595525095</c:v>
                </c:pt>
                <c:pt idx="96">
                  <c:v>3694.0834368521851</c:v>
                </c:pt>
                <c:pt idx="97">
                  <c:v>2258.631193415898</c:v>
                </c:pt>
                <c:pt idx="98">
                  <c:v>4497.6914182071232</c:v>
                </c:pt>
                <c:pt idx="99">
                  <c:v>1574.5026848735945</c:v>
                </c:pt>
                <c:pt idx="100">
                  <c:v>4112.7728141208054</c:v>
                </c:pt>
                <c:pt idx="101">
                  <c:v>4256.7006128568237</c:v>
                </c:pt>
                <c:pt idx="102">
                  <c:v>5926.9210831653745</c:v>
                </c:pt>
                <c:pt idx="103">
                  <c:v>3256.7992367564407</c:v>
                </c:pt>
                <c:pt idx="104">
                  <c:v>4878.1905360187311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'Por-Perm-Logs'!$N$20:$N$124</c:f>
              <c:numCache>
                <c:formatCode>0.0</c:formatCode>
                <c:ptCount val="105"/>
                <c:pt idx="0">
                  <c:v>13.737778540603166</c:v>
                </c:pt>
                <c:pt idx="1">
                  <c:v>9.5657353474199809</c:v>
                </c:pt>
                <c:pt idx="2">
                  <c:v>10.064980211084306</c:v>
                </c:pt>
                <c:pt idx="3">
                  <c:v>4.658823839016776</c:v>
                </c:pt>
                <c:pt idx="4">
                  <c:v>13.099131642941048</c:v>
                </c:pt>
                <c:pt idx="5">
                  <c:v>7.0394713433953715</c:v>
                </c:pt>
                <c:pt idx="6">
                  <c:v>18.227968126294392</c:v>
                </c:pt>
                <c:pt idx="7">
                  <c:v>16.509766095120355</c:v>
                </c:pt>
                <c:pt idx="8">
                  <c:v>9.7122098406011705</c:v>
                </c:pt>
                <c:pt idx="9">
                  <c:v>13.444987026655726</c:v>
                </c:pt>
                <c:pt idx="10">
                  <c:v>13.734092642924873</c:v>
                </c:pt>
                <c:pt idx="11">
                  <c:v>10.162931438904508</c:v>
                </c:pt>
                <c:pt idx="12">
                  <c:v>16.234822585571905</c:v>
                </c:pt>
                <c:pt idx="13">
                  <c:v>11.052854697259477</c:v>
                </c:pt>
                <c:pt idx="14">
                  <c:v>21.612752343802256</c:v>
                </c:pt>
                <c:pt idx="15">
                  <c:v>13.420208225145402</c:v>
                </c:pt>
                <c:pt idx="16">
                  <c:v>10.264207110366979</c:v>
                </c:pt>
                <c:pt idx="17">
                  <c:v>15.052863185465773</c:v>
                </c:pt>
                <c:pt idx="18">
                  <c:v>13.188484105372085</c:v>
                </c:pt>
                <c:pt idx="19">
                  <c:v>10.355932199322394</c:v>
                </c:pt>
                <c:pt idx="20">
                  <c:v>6.7844691024092789</c:v>
                </c:pt>
                <c:pt idx="21">
                  <c:v>9.4369768201475139</c:v>
                </c:pt>
                <c:pt idx="22">
                  <c:v>5.2466429786416295</c:v>
                </c:pt>
                <c:pt idx="23">
                  <c:v>18.151168310370053</c:v>
                </c:pt>
                <c:pt idx="24">
                  <c:v>10.760553664603915</c:v>
                </c:pt>
                <c:pt idx="25">
                  <c:v>11.190947981209032</c:v>
                </c:pt>
                <c:pt idx="26">
                  <c:v>12.949872635706397</c:v>
                </c:pt>
                <c:pt idx="27">
                  <c:v>19.504066898840136</c:v>
                </c:pt>
                <c:pt idx="28">
                  <c:v>14.850492136550013</c:v>
                </c:pt>
                <c:pt idx="29">
                  <c:v>13.957968338354494</c:v>
                </c:pt>
                <c:pt idx="30">
                  <c:v>12.321238930684848</c:v>
                </c:pt>
                <c:pt idx="31">
                  <c:v>14.10955222887601</c:v>
                </c:pt>
                <c:pt idx="32">
                  <c:v>10.996555297852721</c:v>
                </c:pt>
                <c:pt idx="33">
                  <c:v>7.2601574804466811</c:v>
                </c:pt>
                <c:pt idx="34">
                  <c:v>20.23965622677639</c:v>
                </c:pt>
                <c:pt idx="35">
                  <c:v>12.607780014833528</c:v>
                </c:pt>
                <c:pt idx="36">
                  <c:v>18.394111620277069</c:v>
                </c:pt>
                <c:pt idx="37">
                  <c:v>10.98613678529577</c:v>
                </c:pt>
                <c:pt idx="38">
                  <c:v>12.543047839435561</c:v>
                </c:pt>
                <c:pt idx="39">
                  <c:v>11.838784872727693</c:v>
                </c:pt>
                <c:pt idx="40">
                  <c:v>11.020731543717975</c:v>
                </c:pt>
                <c:pt idx="41">
                  <c:v>11.119107256916967</c:v>
                </c:pt>
                <c:pt idx="42">
                  <c:v>11.447785468964749</c:v>
                </c:pt>
                <c:pt idx="43">
                  <c:v>12.358692220677593</c:v>
                </c:pt>
                <c:pt idx="44">
                  <c:v>15.020752171793932</c:v>
                </c:pt>
                <c:pt idx="45">
                  <c:v>16.207918589697826</c:v>
                </c:pt>
                <c:pt idx="46">
                  <c:v>14.265714803440666</c:v>
                </c:pt>
                <c:pt idx="47">
                  <c:v>17.865832370699238</c:v>
                </c:pt>
                <c:pt idx="48">
                  <c:v>14.666817187970093</c:v>
                </c:pt>
                <c:pt idx="49">
                  <c:v>11.632352413576985</c:v>
                </c:pt>
                <c:pt idx="50">
                  <c:v>7.6773886078616167</c:v>
                </c:pt>
                <c:pt idx="51">
                  <c:v>8.9596130378469834</c:v>
                </c:pt>
                <c:pt idx="52">
                  <c:v>10.767701386983861</c:v>
                </c:pt>
                <c:pt idx="53">
                  <c:v>11.636714504315526</c:v>
                </c:pt>
                <c:pt idx="54">
                  <c:v>16.367134680704947</c:v>
                </c:pt>
                <c:pt idx="55">
                  <c:v>11.31242985377016</c:v>
                </c:pt>
                <c:pt idx="56">
                  <c:v>8.5376824472589625</c:v>
                </c:pt>
                <c:pt idx="57">
                  <c:v>9.5438443806174398</c:v>
                </c:pt>
                <c:pt idx="58">
                  <c:v>6.7361991507522507</c:v>
                </c:pt>
                <c:pt idx="59">
                  <c:v>12.042218778365976</c:v>
                </c:pt>
                <c:pt idx="60">
                  <c:v>7.6138891356888987</c:v>
                </c:pt>
                <c:pt idx="61">
                  <c:v>8.8339365709009954</c:v>
                </c:pt>
                <c:pt idx="62">
                  <c:v>8.4513313777877102</c:v>
                </c:pt>
                <c:pt idx="63">
                  <c:v>10.797759356931564</c:v>
                </c:pt>
                <c:pt idx="64">
                  <c:v>14.075425828071179</c:v>
                </c:pt>
                <c:pt idx="65">
                  <c:v>13.379784701004423</c:v>
                </c:pt>
                <c:pt idx="66">
                  <c:v>13.180646944066845</c:v>
                </c:pt>
                <c:pt idx="67">
                  <c:v>14.285731374723383</c:v>
                </c:pt>
                <c:pt idx="68">
                  <c:v>10.440855092481316</c:v>
                </c:pt>
                <c:pt idx="69">
                  <c:v>9.936741830325353</c:v>
                </c:pt>
                <c:pt idx="70">
                  <c:v>8.8143450316407552</c:v>
                </c:pt>
                <c:pt idx="71">
                  <c:v>12.002388042447976</c:v>
                </c:pt>
                <c:pt idx="72">
                  <c:v>16.776660703918164</c:v>
                </c:pt>
                <c:pt idx="73">
                  <c:v>11.08260568779704</c:v>
                </c:pt>
                <c:pt idx="74">
                  <c:v>8.8019652434952587</c:v>
                </c:pt>
                <c:pt idx="75">
                  <c:v>17.357852078353954</c:v>
                </c:pt>
                <c:pt idx="76">
                  <c:v>16.533875457686019</c:v>
                </c:pt>
                <c:pt idx="77">
                  <c:v>13.49925383553547</c:v>
                </c:pt>
                <c:pt idx="78">
                  <c:v>13.047430778456738</c:v>
                </c:pt>
                <c:pt idx="79">
                  <c:v>7.7470394720373221</c:v>
                </c:pt>
                <c:pt idx="80">
                  <c:v>10.200418027450221</c:v>
                </c:pt>
                <c:pt idx="81">
                  <c:v>10.618714853199442</c:v>
                </c:pt>
                <c:pt idx="82">
                  <c:v>17.71835279951349</c:v>
                </c:pt>
                <c:pt idx="83">
                  <c:v>10.432856289823947</c:v>
                </c:pt>
                <c:pt idx="84">
                  <c:v>10.729987959722729</c:v>
                </c:pt>
                <c:pt idx="85">
                  <c:v>19.812704732147569</c:v>
                </c:pt>
                <c:pt idx="86">
                  <c:v>12.838263308440514</c:v>
                </c:pt>
                <c:pt idx="87">
                  <c:v>10.065102046344659</c:v>
                </c:pt>
                <c:pt idx="88">
                  <c:v>9.3814148650302478</c:v>
                </c:pt>
                <c:pt idx="89">
                  <c:v>11.259710156094847</c:v>
                </c:pt>
                <c:pt idx="90">
                  <c:v>13.39734604430264</c:v>
                </c:pt>
                <c:pt idx="91">
                  <c:v>10.129504625297377</c:v>
                </c:pt>
                <c:pt idx="92">
                  <c:v>13.829755521196773</c:v>
                </c:pt>
                <c:pt idx="93">
                  <c:v>10.63161733339682</c:v>
                </c:pt>
                <c:pt idx="94">
                  <c:v>13.754651424691135</c:v>
                </c:pt>
                <c:pt idx="95">
                  <c:v>11.302496359524119</c:v>
                </c:pt>
                <c:pt idx="96">
                  <c:v>13.790445331512707</c:v>
                </c:pt>
                <c:pt idx="97">
                  <c:v>8.6094960424712319</c:v>
                </c:pt>
                <c:pt idx="98">
                  <c:v>18.838388074515791</c:v>
                </c:pt>
                <c:pt idx="99">
                  <c:v>7.3536749992893009</c:v>
                </c:pt>
                <c:pt idx="100">
                  <c:v>14.161847868516411</c:v>
                </c:pt>
                <c:pt idx="101">
                  <c:v>14.239241216070855</c:v>
                </c:pt>
                <c:pt idx="102">
                  <c:v>15.093293780202327</c:v>
                </c:pt>
                <c:pt idx="103">
                  <c:v>11.70033303670791</c:v>
                </c:pt>
                <c:pt idx="104">
                  <c:v>16.357826294330742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3634.9221436984358</c:v>
                </c:pt>
                <c:pt idx="1">
                  <c:v>2294.3161108616137</c:v>
                </c:pt>
                <c:pt idx="2">
                  <c:v>2600.2184304731668</c:v>
                </c:pt>
                <c:pt idx="3">
                  <c:v>1614.9008080359743</c:v>
                </c:pt>
                <c:pt idx="4">
                  <c:v>3485.2843180495424</c:v>
                </c:pt>
                <c:pt idx="5">
                  <c:v>1628.8235202650005</c:v>
                </c:pt>
                <c:pt idx="6">
                  <c:v>4843.4545110898998</c:v>
                </c:pt>
                <c:pt idx="7">
                  <c:v>3985.4490191144805</c:v>
                </c:pt>
                <c:pt idx="8">
                  <c:v>1994.1774770408683</c:v>
                </c:pt>
                <c:pt idx="9">
                  <c:v>3208.2569789493041</c:v>
                </c:pt>
                <c:pt idx="10">
                  <c:v>4932.3497335640586</c:v>
                </c:pt>
                <c:pt idx="11">
                  <c:v>2252.6391228278189</c:v>
                </c:pt>
                <c:pt idx="12">
                  <c:v>6655.7860269392231</c:v>
                </c:pt>
                <c:pt idx="13">
                  <c:v>1623.0838559462611</c:v>
                </c:pt>
                <c:pt idx="14">
                  <c:v>10243.248798074224</c:v>
                </c:pt>
                <c:pt idx="15">
                  <c:v>3549.7110414001213</c:v>
                </c:pt>
                <c:pt idx="16">
                  <c:v>1905.9082266703861</c:v>
                </c:pt>
                <c:pt idx="17">
                  <c:v>4477.6984505030623</c:v>
                </c:pt>
                <c:pt idx="18">
                  <c:v>4639.1009102487806</c:v>
                </c:pt>
                <c:pt idx="19">
                  <c:v>2664.449019531035</c:v>
                </c:pt>
                <c:pt idx="20">
                  <c:v>1779.1936884710335</c:v>
                </c:pt>
                <c:pt idx="21">
                  <c:v>2383.1733958484365</c:v>
                </c:pt>
                <c:pt idx="22">
                  <c:v>1659.7183178140572</c:v>
                </c:pt>
                <c:pt idx="23">
                  <c:v>5391.8377900045971</c:v>
                </c:pt>
                <c:pt idx="24">
                  <c:v>2236.6941773716035</c:v>
                </c:pt>
                <c:pt idx="25">
                  <c:v>2292.4517421244868</c:v>
                </c:pt>
                <c:pt idx="26">
                  <c:v>2152.1850720502002</c:v>
                </c:pt>
                <c:pt idx="27">
                  <c:v>9823.28237678595</c:v>
                </c:pt>
                <c:pt idx="28">
                  <c:v>3980.655857096147</c:v>
                </c:pt>
                <c:pt idx="29">
                  <c:v>4867.3040722346486</c:v>
                </c:pt>
                <c:pt idx="30">
                  <c:v>3891.1330862761852</c:v>
                </c:pt>
                <c:pt idx="31">
                  <c:v>2866.777517209935</c:v>
                </c:pt>
                <c:pt idx="32">
                  <c:v>2198.0469811714538</c:v>
                </c:pt>
                <c:pt idx="33">
                  <c:v>1855.7205833515652</c:v>
                </c:pt>
                <c:pt idx="34">
                  <c:v>9770.8327188276271</c:v>
                </c:pt>
                <c:pt idx="35">
                  <c:v>3024.2822629763591</c:v>
                </c:pt>
                <c:pt idx="36">
                  <c:v>7430.985808757001</c:v>
                </c:pt>
                <c:pt idx="37">
                  <c:v>2201.9809823783303</c:v>
                </c:pt>
                <c:pt idx="38">
                  <c:v>2348.0996110624756</c:v>
                </c:pt>
                <c:pt idx="39">
                  <c:v>4225.2134064458578</c:v>
                </c:pt>
                <c:pt idx="40">
                  <c:v>2282.8972580501363</c:v>
                </c:pt>
                <c:pt idx="41">
                  <c:v>2578.3757390853611</c:v>
                </c:pt>
                <c:pt idx="42">
                  <c:v>2793.0987668750454</c:v>
                </c:pt>
                <c:pt idx="43">
                  <c:v>2603.0185423195389</c:v>
                </c:pt>
                <c:pt idx="44">
                  <c:v>5379.7176794023908</c:v>
                </c:pt>
                <c:pt idx="45">
                  <c:v>3623.3268870227112</c:v>
                </c:pt>
                <c:pt idx="46">
                  <c:v>3909.6292961973504</c:v>
                </c:pt>
                <c:pt idx="47">
                  <c:v>5676.0899565774989</c:v>
                </c:pt>
                <c:pt idx="48">
                  <c:v>3077.4344915930706</c:v>
                </c:pt>
                <c:pt idx="49">
                  <c:v>3005.3463178485013</c:v>
                </c:pt>
                <c:pt idx="50">
                  <c:v>1103.0027230614132</c:v>
                </c:pt>
                <c:pt idx="51">
                  <c:v>1848.8102403236028</c:v>
                </c:pt>
                <c:pt idx="52">
                  <c:v>1828.0089785383047</c:v>
                </c:pt>
                <c:pt idx="53">
                  <c:v>2853.1042312227346</c:v>
                </c:pt>
                <c:pt idx="54">
                  <c:v>5447.4746643017115</c:v>
                </c:pt>
                <c:pt idx="55">
                  <c:v>3305.4424720071052</c:v>
                </c:pt>
                <c:pt idx="56">
                  <c:v>2051.1290302375651</c:v>
                </c:pt>
                <c:pt idx="57">
                  <c:v>2090.0406938590468</c:v>
                </c:pt>
                <c:pt idx="58">
                  <c:v>1504.1142116231933</c:v>
                </c:pt>
                <c:pt idx="59">
                  <c:v>2300.0952833007682</c:v>
                </c:pt>
                <c:pt idx="60">
                  <c:v>2555.0682658573137</c:v>
                </c:pt>
                <c:pt idx="61">
                  <c:v>1952.5975528485303</c:v>
                </c:pt>
                <c:pt idx="62">
                  <c:v>2647.6145367953914</c:v>
                </c:pt>
                <c:pt idx="63">
                  <c:v>2344.9034021093335</c:v>
                </c:pt>
                <c:pt idx="64">
                  <c:v>4290.2189386280479</c:v>
                </c:pt>
                <c:pt idx="65">
                  <c:v>4006.7855804066644</c:v>
                </c:pt>
                <c:pt idx="66">
                  <c:v>4922.9056664515956</c:v>
                </c:pt>
                <c:pt idx="67">
                  <c:v>3885.7543702305875</c:v>
                </c:pt>
                <c:pt idx="68">
                  <c:v>1706.7932828777248</c:v>
                </c:pt>
                <c:pt idx="69">
                  <c:v>2456.6431914980421</c:v>
                </c:pt>
                <c:pt idx="70">
                  <c:v>2600.0555433893633</c:v>
                </c:pt>
                <c:pt idx="71">
                  <c:v>3162.8028781172238</c:v>
                </c:pt>
                <c:pt idx="72">
                  <c:v>7345.7318222621088</c:v>
                </c:pt>
                <c:pt idx="73">
                  <c:v>2777.2906248122326</c:v>
                </c:pt>
                <c:pt idx="74">
                  <c:v>2555.2764964555754</c:v>
                </c:pt>
                <c:pt idx="75">
                  <c:v>4881.7819257328438</c:v>
                </c:pt>
                <c:pt idx="76">
                  <c:v>4846.1516624937158</c:v>
                </c:pt>
                <c:pt idx="77">
                  <c:v>5018.9984556526324</c:v>
                </c:pt>
                <c:pt idx="78">
                  <c:v>3593.7448318603015</c:v>
                </c:pt>
                <c:pt idx="79">
                  <c:v>1307.4051396592893</c:v>
                </c:pt>
                <c:pt idx="80">
                  <c:v>3313.4847783375735</c:v>
                </c:pt>
                <c:pt idx="81">
                  <c:v>2382.9454474165063</c:v>
                </c:pt>
                <c:pt idx="82">
                  <c:v>7818.1930232170889</c:v>
                </c:pt>
                <c:pt idx="83">
                  <c:v>1505.0369774925211</c:v>
                </c:pt>
                <c:pt idx="84">
                  <c:v>3244.7229265814417</c:v>
                </c:pt>
                <c:pt idx="85">
                  <c:v>8112.4452217830449</c:v>
                </c:pt>
                <c:pt idx="86">
                  <c:v>2970.8651394738126</c:v>
                </c:pt>
                <c:pt idx="87">
                  <c:v>2385.1053454543744</c:v>
                </c:pt>
                <c:pt idx="88">
                  <c:v>1495.5820637180709</c:v>
                </c:pt>
                <c:pt idx="89">
                  <c:v>2753.1453216402601</c:v>
                </c:pt>
                <c:pt idx="90">
                  <c:v>3350.0285842217449</c:v>
                </c:pt>
                <c:pt idx="91">
                  <c:v>1782.9977936195435</c:v>
                </c:pt>
                <c:pt idx="92">
                  <c:v>4088.0893023743906</c:v>
                </c:pt>
                <c:pt idx="93">
                  <c:v>3097.3662682707968</c:v>
                </c:pt>
                <c:pt idx="94">
                  <c:v>4891.0625559266855</c:v>
                </c:pt>
                <c:pt idx="95">
                  <c:v>2004.7512595525095</c:v>
                </c:pt>
                <c:pt idx="96">
                  <c:v>3694.0834368521851</c:v>
                </c:pt>
                <c:pt idx="97">
                  <c:v>2258.631193415898</c:v>
                </c:pt>
                <c:pt idx="98">
                  <c:v>4497.6914182071232</c:v>
                </c:pt>
                <c:pt idx="99">
                  <c:v>1574.5026848735945</c:v>
                </c:pt>
                <c:pt idx="100">
                  <c:v>4112.7728141208054</c:v>
                </c:pt>
                <c:pt idx="101">
                  <c:v>4256.7006128568237</c:v>
                </c:pt>
                <c:pt idx="102">
                  <c:v>5926.9210831653745</c:v>
                </c:pt>
                <c:pt idx="103">
                  <c:v>3256.7992367564407</c:v>
                </c:pt>
                <c:pt idx="104">
                  <c:v>4878.1905360187311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3634.9221436984358</c:v>
                </c:pt>
                <c:pt idx="1">
                  <c:v>2294.3161108616137</c:v>
                </c:pt>
                <c:pt idx="2">
                  <c:v>2600.2184304731668</c:v>
                </c:pt>
                <c:pt idx="3">
                  <c:v>1614.9008080359743</c:v>
                </c:pt>
                <c:pt idx="4">
                  <c:v>3485.2843180495424</c:v>
                </c:pt>
                <c:pt idx="5">
                  <c:v>1628.8235202650005</c:v>
                </c:pt>
                <c:pt idx="6">
                  <c:v>4843.4545110898998</c:v>
                </c:pt>
                <c:pt idx="7">
                  <c:v>3985.4490191144805</c:v>
                </c:pt>
                <c:pt idx="8">
                  <c:v>1994.1774770408683</c:v>
                </c:pt>
                <c:pt idx="9">
                  <c:v>3208.2569789493041</c:v>
                </c:pt>
                <c:pt idx="10">
                  <c:v>4932.3497335640586</c:v>
                </c:pt>
                <c:pt idx="11">
                  <c:v>2252.6391228278189</c:v>
                </c:pt>
                <c:pt idx="12">
                  <c:v>6655.7860269392231</c:v>
                </c:pt>
                <c:pt idx="13">
                  <c:v>1623.0838559462611</c:v>
                </c:pt>
                <c:pt idx="14">
                  <c:v>10243.248798074224</c:v>
                </c:pt>
                <c:pt idx="15">
                  <c:v>3549.7110414001213</c:v>
                </c:pt>
                <c:pt idx="16">
                  <c:v>1905.9082266703861</c:v>
                </c:pt>
                <c:pt idx="17">
                  <c:v>4477.6984505030623</c:v>
                </c:pt>
                <c:pt idx="18">
                  <c:v>4639.1009102487806</c:v>
                </c:pt>
                <c:pt idx="19">
                  <c:v>2664.449019531035</c:v>
                </c:pt>
                <c:pt idx="20">
                  <c:v>1779.1936884710335</c:v>
                </c:pt>
                <c:pt idx="21">
                  <c:v>2383.1733958484365</c:v>
                </c:pt>
                <c:pt idx="22">
                  <c:v>1659.7183178140572</c:v>
                </c:pt>
                <c:pt idx="23">
                  <c:v>5391.8377900045971</c:v>
                </c:pt>
                <c:pt idx="24">
                  <c:v>2236.6941773716035</c:v>
                </c:pt>
                <c:pt idx="25">
                  <c:v>2292.4517421244868</c:v>
                </c:pt>
                <c:pt idx="26">
                  <c:v>2152.1850720502002</c:v>
                </c:pt>
                <c:pt idx="27">
                  <c:v>9823.28237678595</c:v>
                </c:pt>
                <c:pt idx="28">
                  <c:v>3980.655857096147</c:v>
                </c:pt>
                <c:pt idx="29">
                  <c:v>4867.3040722346486</c:v>
                </c:pt>
                <c:pt idx="30">
                  <c:v>3891.1330862761852</c:v>
                </c:pt>
                <c:pt idx="31">
                  <c:v>2866.777517209935</c:v>
                </c:pt>
                <c:pt idx="32">
                  <c:v>2198.0469811714538</c:v>
                </c:pt>
                <c:pt idx="33">
                  <c:v>1855.7205833515652</c:v>
                </c:pt>
                <c:pt idx="34">
                  <c:v>9770.8327188276271</c:v>
                </c:pt>
                <c:pt idx="35">
                  <c:v>3024.2822629763591</c:v>
                </c:pt>
                <c:pt idx="36">
                  <c:v>7430.985808757001</c:v>
                </c:pt>
                <c:pt idx="37">
                  <c:v>2201.9809823783303</c:v>
                </c:pt>
                <c:pt idx="38">
                  <c:v>2348.0996110624756</c:v>
                </c:pt>
                <c:pt idx="39">
                  <c:v>4225.2134064458578</c:v>
                </c:pt>
                <c:pt idx="40">
                  <c:v>2282.8972580501363</c:v>
                </c:pt>
                <c:pt idx="41">
                  <c:v>2578.3757390853611</c:v>
                </c:pt>
                <c:pt idx="42">
                  <c:v>2793.0987668750454</c:v>
                </c:pt>
                <c:pt idx="43">
                  <c:v>2603.0185423195389</c:v>
                </c:pt>
                <c:pt idx="44">
                  <c:v>5379.7176794023908</c:v>
                </c:pt>
                <c:pt idx="45">
                  <c:v>3623.3268870227112</c:v>
                </c:pt>
                <c:pt idx="46">
                  <c:v>3909.6292961973504</c:v>
                </c:pt>
                <c:pt idx="47">
                  <c:v>5676.0899565774989</c:v>
                </c:pt>
                <c:pt idx="48">
                  <c:v>3077.4344915930706</c:v>
                </c:pt>
                <c:pt idx="49">
                  <c:v>3005.3463178485013</c:v>
                </c:pt>
                <c:pt idx="50">
                  <c:v>1103.0027230614132</c:v>
                </c:pt>
                <c:pt idx="51">
                  <c:v>1848.8102403236028</c:v>
                </c:pt>
                <c:pt idx="52">
                  <c:v>1828.0089785383047</c:v>
                </c:pt>
                <c:pt idx="53">
                  <c:v>2853.1042312227346</c:v>
                </c:pt>
                <c:pt idx="54">
                  <c:v>5447.4746643017115</c:v>
                </c:pt>
                <c:pt idx="55">
                  <c:v>3305.4424720071052</c:v>
                </c:pt>
                <c:pt idx="56">
                  <c:v>2051.1290302375651</c:v>
                </c:pt>
                <c:pt idx="57">
                  <c:v>2090.0406938590468</c:v>
                </c:pt>
                <c:pt idx="58">
                  <c:v>1504.1142116231933</c:v>
                </c:pt>
                <c:pt idx="59">
                  <c:v>2300.0952833007682</c:v>
                </c:pt>
                <c:pt idx="60">
                  <c:v>2555.0682658573137</c:v>
                </c:pt>
                <c:pt idx="61">
                  <c:v>1952.5975528485303</c:v>
                </c:pt>
                <c:pt idx="62">
                  <c:v>2647.6145367953914</c:v>
                </c:pt>
                <c:pt idx="63">
                  <c:v>2344.9034021093335</c:v>
                </c:pt>
                <c:pt idx="64">
                  <c:v>4290.2189386280479</c:v>
                </c:pt>
                <c:pt idx="65">
                  <c:v>4006.7855804066644</c:v>
                </c:pt>
                <c:pt idx="66">
                  <c:v>4922.9056664515956</c:v>
                </c:pt>
                <c:pt idx="67">
                  <c:v>3885.7543702305875</c:v>
                </c:pt>
                <c:pt idx="68">
                  <c:v>1706.7932828777248</c:v>
                </c:pt>
                <c:pt idx="69">
                  <c:v>2456.6431914980421</c:v>
                </c:pt>
                <c:pt idx="70">
                  <c:v>2600.0555433893633</c:v>
                </c:pt>
                <c:pt idx="71">
                  <c:v>3162.8028781172238</c:v>
                </c:pt>
                <c:pt idx="72">
                  <c:v>7345.7318222621088</c:v>
                </c:pt>
                <c:pt idx="73">
                  <c:v>2777.2906248122326</c:v>
                </c:pt>
                <c:pt idx="74">
                  <c:v>2555.2764964555754</c:v>
                </c:pt>
                <c:pt idx="75">
                  <c:v>4881.7819257328438</c:v>
                </c:pt>
                <c:pt idx="76">
                  <c:v>4846.1516624937158</c:v>
                </c:pt>
                <c:pt idx="77">
                  <c:v>5018.9984556526324</c:v>
                </c:pt>
                <c:pt idx="78">
                  <c:v>3593.7448318603015</c:v>
                </c:pt>
                <c:pt idx="79">
                  <c:v>1307.4051396592893</c:v>
                </c:pt>
                <c:pt idx="80">
                  <c:v>3313.4847783375735</c:v>
                </c:pt>
                <c:pt idx="81">
                  <c:v>2382.9454474165063</c:v>
                </c:pt>
                <c:pt idx="82">
                  <c:v>7818.1930232170889</c:v>
                </c:pt>
                <c:pt idx="83">
                  <c:v>1505.0369774925211</c:v>
                </c:pt>
                <c:pt idx="84">
                  <c:v>3244.7229265814417</c:v>
                </c:pt>
                <c:pt idx="85">
                  <c:v>8112.4452217830449</c:v>
                </c:pt>
                <c:pt idx="86">
                  <c:v>2970.8651394738126</c:v>
                </c:pt>
                <c:pt idx="87">
                  <c:v>2385.1053454543744</c:v>
                </c:pt>
                <c:pt idx="88">
                  <c:v>1495.5820637180709</c:v>
                </c:pt>
                <c:pt idx="89">
                  <c:v>2753.1453216402601</c:v>
                </c:pt>
                <c:pt idx="90">
                  <c:v>3350.0285842217449</c:v>
                </c:pt>
                <c:pt idx="91">
                  <c:v>1782.9977936195435</c:v>
                </c:pt>
                <c:pt idx="92">
                  <c:v>4088.0893023743906</c:v>
                </c:pt>
                <c:pt idx="93">
                  <c:v>3097.3662682707968</c:v>
                </c:pt>
                <c:pt idx="94">
                  <c:v>4891.0625559266855</c:v>
                </c:pt>
                <c:pt idx="95">
                  <c:v>2004.7512595525095</c:v>
                </c:pt>
                <c:pt idx="96">
                  <c:v>3694.0834368521851</c:v>
                </c:pt>
                <c:pt idx="97">
                  <c:v>2258.631193415898</c:v>
                </c:pt>
                <c:pt idx="98">
                  <c:v>4497.6914182071232</c:v>
                </c:pt>
                <c:pt idx="99">
                  <c:v>1574.5026848735945</c:v>
                </c:pt>
                <c:pt idx="100">
                  <c:v>4112.7728141208054</c:v>
                </c:pt>
                <c:pt idx="101">
                  <c:v>4256.7006128568237</c:v>
                </c:pt>
                <c:pt idx="102">
                  <c:v>5926.9210831653745</c:v>
                </c:pt>
                <c:pt idx="103">
                  <c:v>3256.7992367564407</c:v>
                </c:pt>
                <c:pt idx="104">
                  <c:v>4878.1905360187311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3634.9221436984358</c:v>
                </c:pt>
                <c:pt idx="1">
                  <c:v>2294.3161108616137</c:v>
                </c:pt>
                <c:pt idx="2">
                  <c:v>2600.2184304731668</c:v>
                </c:pt>
                <c:pt idx="3">
                  <c:v>1614.9008080359743</c:v>
                </c:pt>
                <c:pt idx="4">
                  <c:v>3485.2843180495424</c:v>
                </c:pt>
                <c:pt idx="5">
                  <c:v>1628.8235202650005</c:v>
                </c:pt>
                <c:pt idx="6">
                  <c:v>4843.4545110898998</c:v>
                </c:pt>
                <c:pt idx="7">
                  <c:v>3985.4490191144805</c:v>
                </c:pt>
                <c:pt idx="8">
                  <c:v>1994.1774770408683</c:v>
                </c:pt>
                <c:pt idx="9">
                  <c:v>3208.2569789493041</c:v>
                </c:pt>
                <c:pt idx="10">
                  <c:v>4932.3497335640586</c:v>
                </c:pt>
                <c:pt idx="11">
                  <c:v>2252.6391228278189</c:v>
                </c:pt>
                <c:pt idx="12">
                  <c:v>6655.7860269392231</c:v>
                </c:pt>
                <c:pt idx="13">
                  <c:v>1623.0838559462611</c:v>
                </c:pt>
                <c:pt idx="14">
                  <c:v>10243.248798074224</c:v>
                </c:pt>
                <c:pt idx="15">
                  <c:v>3549.7110414001213</c:v>
                </c:pt>
                <c:pt idx="16">
                  <c:v>1905.9082266703861</c:v>
                </c:pt>
                <c:pt idx="17">
                  <c:v>4477.6984505030623</c:v>
                </c:pt>
                <c:pt idx="18">
                  <c:v>4639.1009102487806</c:v>
                </c:pt>
                <c:pt idx="19">
                  <c:v>2664.449019531035</c:v>
                </c:pt>
                <c:pt idx="20">
                  <c:v>1779.1936884710335</c:v>
                </c:pt>
                <c:pt idx="21">
                  <c:v>2383.1733958484365</c:v>
                </c:pt>
                <c:pt idx="22">
                  <c:v>1659.7183178140572</c:v>
                </c:pt>
                <c:pt idx="23">
                  <c:v>5391.8377900045971</c:v>
                </c:pt>
                <c:pt idx="24">
                  <c:v>2236.6941773716035</c:v>
                </c:pt>
                <c:pt idx="25">
                  <c:v>2292.4517421244868</c:v>
                </c:pt>
                <c:pt idx="26">
                  <c:v>2152.1850720502002</c:v>
                </c:pt>
                <c:pt idx="27">
                  <c:v>9823.28237678595</c:v>
                </c:pt>
                <c:pt idx="28">
                  <c:v>3980.655857096147</c:v>
                </c:pt>
                <c:pt idx="29">
                  <c:v>4867.3040722346486</c:v>
                </c:pt>
                <c:pt idx="30">
                  <c:v>3891.1330862761852</c:v>
                </c:pt>
                <c:pt idx="31">
                  <c:v>2866.777517209935</c:v>
                </c:pt>
                <c:pt idx="32">
                  <c:v>2198.0469811714538</c:v>
                </c:pt>
                <c:pt idx="33">
                  <c:v>1855.7205833515652</c:v>
                </c:pt>
                <c:pt idx="34">
                  <c:v>9770.8327188276271</c:v>
                </c:pt>
                <c:pt idx="35">
                  <c:v>3024.2822629763591</c:v>
                </c:pt>
                <c:pt idx="36">
                  <c:v>7430.985808757001</c:v>
                </c:pt>
                <c:pt idx="37">
                  <c:v>2201.9809823783303</c:v>
                </c:pt>
                <c:pt idx="38">
                  <c:v>2348.0996110624756</c:v>
                </c:pt>
                <c:pt idx="39">
                  <c:v>4225.2134064458578</c:v>
                </c:pt>
                <c:pt idx="40">
                  <c:v>2282.8972580501363</c:v>
                </c:pt>
                <c:pt idx="41">
                  <c:v>2578.3757390853611</c:v>
                </c:pt>
                <c:pt idx="42">
                  <c:v>2793.0987668750454</c:v>
                </c:pt>
                <c:pt idx="43">
                  <c:v>2603.0185423195389</c:v>
                </c:pt>
                <c:pt idx="44">
                  <c:v>5379.7176794023908</c:v>
                </c:pt>
                <c:pt idx="45">
                  <c:v>3623.3268870227112</c:v>
                </c:pt>
                <c:pt idx="46">
                  <c:v>3909.6292961973504</c:v>
                </c:pt>
                <c:pt idx="47">
                  <c:v>5676.0899565774989</c:v>
                </c:pt>
                <c:pt idx="48">
                  <c:v>3077.4344915930706</c:v>
                </c:pt>
                <c:pt idx="49">
                  <c:v>3005.3463178485013</c:v>
                </c:pt>
                <c:pt idx="50">
                  <c:v>1103.0027230614132</c:v>
                </c:pt>
                <c:pt idx="51">
                  <c:v>1848.8102403236028</c:v>
                </c:pt>
                <c:pt idx="52">
                  <c:v>1828.0089785383047</c:v>
                </c:pt>
                <c:pt idx="53">
                  <c:v>2853.1042312227346</c:v>
                </c:pt>
                <c:pt idx="54">
                  <c:v>5447.4746643017115</c:v>
                </c:pt>
                <c:pt idx="55">
                  <c:v>3305.4424720071052</c:v>
                </c:pt>
                <c:pt idx="56">
                  <c:v>2051.1290302375651</c:v>
                </c:pt>
                <c:pt idx="57">
                  <c:v>2090.0406938590468</c:v>
                </c:pt>
                <c:pt idx="58">
                  <c:v>1504.1142116231933</c:v>
                </c:pt>
                <c:pt idx="59">
                  <c:v>2300.0952833007682</c:v>
                </c:pt>
                <c:pt idx="60">
                  <c:v>2555.0682658573137</c:v>
                </c:pt>
                <c:pt idx="61">
                  <c:v>1952.5975528485303</c:v>
                </c:pt>
                <c:pt idx="62">
                  <c:v>2647.6145367953914</c:v>
                </c:pt>
                <c:pt idx="63">
                  <c:v>2344.9034021093335</c:v>
                </c:pt>
                <c:pt idx="64">
                  <c:v>4290.2189386280479</c:v>
                </c:pt>
                <c:pt idx="65">
                  <c:v>4006.7855804066644</c:v>
                </c:pt>
                <c:pt idx="66">
                  <c:v>4922.9056664515956</c:v>
                </c:pt>
                <c:pt idx="67">
                  <c:v>3885.7543702305875</c:v>
                </c:pt>
                <c:pt idx="68">
                  <c:v>1706.7932828777248</c:v>
                </c:pt>
                <c:pt idx="69">
                  <c:v>2456.6431914980421</c:v>
                </c:pt>
                <c:pt idx="70">
                  <c:v>2600.0555433893633</c:v>
                </c:pt>
                <c:pt idx="71">
                  <c:v>3162.8028781172238</c:v>
                </c:pt>
                <c:pt idx="72">
                  <c:v>7345.7318222621088</c:v>
                </c:pt>
                <c:pt idx="73">
                  <c:v>2777.2906248122326</c:v>
                </c:pt>
                <c:pt idx="74">
                  <c:v>2555.2764964555754</c:v>
                </c:pt>
                <c:pt idx="75">
                  <c:v>4881.7819257328438</c:v>
                </c:pt>
                <c:pt idx="76">
                  <c:v>4846.1516624937158</c:v>
                </c:pt>
                <c:pt idx="77">
                  <c:v>5018.9984556526324</c:v>
                </c:pt>
                <c:pt idx="78">
                  <c:v>3593.7448318603015</c:v>
                </c:pt>
                <c:pt idx="79">
                  <c:v>1307.4051396592893</c:v>
                </c:pt>
                <c:pt idx="80">
                  <c:v>3313.4847783375735</c:v>
                </c:pt>
                <c:pt idx="81">
                  <c:v>2382.9454474165063</c:v>
                </c:pt>
                <c:pt idx="82">
                  <c:v>7818.1930232170889</c:v>
                </c:pt>
                <c:pt idx="83">
                  <c:v>1505.0369774925211</c:v>
                </c:pt>
                <c:pt idx="84">
                  <c:v>3244.7229265814417</c:v>
                </c:pt>
                <c:pt idx="85">
                  <c:v>8112.4452217830449</c:v>
                </c:pt>
                <c:pt idx="86">
                  <c:v>2970.8651394738126</c:v>
                </c:pt>
                <c:pt idx="87">
                  <c:v>2385.1053454543744</c:v>
                </c:pt>
                <c:pt idx="88">
                  <c:v>1495.5820637180709</c:v>
                </c:pt>
                <c:pt idx="89">
                  <c:v>2753.1453216402601</c:v>
                </c:pt>
                <c:pt idx="90">
                  <c:v>3350.0285842217449</c:v>
                </c:pt>
                <c:pt idx="91">
                  <c:v>1782.9977936195435</c:v>
                </c:pt>
                <c:pt idx="92">
                  <c:v>4088.0893023743906</c:v>
                </c:pt>
                <c:pt idx="93">
                  <c:v>3097.3662682707968</c:v>
                </c:pt>
                <c:pt idx="94">
                  <c:v>4891.0625559266855</c:v>
                </c:pt>
                <c:pt idx="95">
                  <c:v>2004.7512595525095</c:v>
                </c:pt>
                <c:pt idx="96">
                  <c:v>3694.0834368521851</c:v>
                </c:pt>
                <c:pt idx="97">
                  <c:v>2258.631193415898</c:v>
                </c:pt>
                <c:pt idx="98">
                  <c:v>4497.6914182071232</c:v>
                </c:pt>
                <c:pt idx="99">
                  <c:v>1574.5026848735945</c:v>
                </c:pt>
                <c:pt idx="100">
                  <c:v>4112.7728141208054</c:v>
                </c:pt>
                <c:pt idx="101">
                  <c:v>4256.7006128568237</c:v>
                </c:pt>
                <c:pt idx="102">
                  <c:v>5926.9210831653745</c:v>
                </c:pt>
                <c:pt idx="103">
                  <c:v>3256.7992367564407</c:v>
                </c:pt>
                <c:pt idx="104">
                  <c:v>4878.1905360187311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logBase val="10"/>
          <c:orientation val="minMax"/>
          <c:max val="100000"/>
          <c:min val="1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1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4.658823839016776</c:v>
                </c:pt>
                <c:pt idx="1">
                  <c:v>5.50652026425605</c:v>
                </c:pt>
                <c:pt idx="2">
                  <c:v>7.2019131147345981</c:v>
                </c:pt>
                <c:pt idx="3">
                  <c:v>8.8973059652131461</c:v>
                </c:pt>
                <c:pt idx="4">
                  <c:v>10.592698815691694</c:v>
                </c:pt>
                <c:pt idx="5">
                  <c:v>12.288091666170242</c:v>
                </c:pt>
                <c:pt idx="6">
                  <c:v>13.98348451664879</c:v>
                </c:pt>
                <c:pt idx="7">
                  <c:v>15.678877367127338</c:v>
                </c:pt>
                <c:pt idx="8">
                  <c:v>17.374270217605886</c:v>
                </c:pt>
                <c:pt idx="9">
                  <c:v>19.069663068084434</c:v>
                </c:pt>
                <c:pt idx="10">
                  <c:v>20.765055918562982</c:v>
                </c:pt>
                <c:pt idx="11" formatCode="0.0">
                  <c:v>21.612752343802256</c:v>
                </c:pt>
              </c:numCache>
            </c:numRef>
          </c:xVal>
          <c:yVal>
            <c:numRef>
              <c:f>'Por-Perm-Logs'!$AO$22:$AZ$22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9.5056689342403633E-2</c:v>
                </c:pt>
                <c:pt idx="3">
                  <c:v>9.5419501133786847E-2</c:v>
                </c:pt>
                <c:pt idx="4">
                  <c:v>0.2476190476190476</c:v>
                </c:pt>
                <c:pt idx="5">
                  <c:v>0.14285714285714285</c:v>
                </c:pt>
                <c:pt idx="6">
                  <c:v>0.19047619047619047</c:v>
                </c:pt>
                <c:pt idx="7">
                  <c:v>8.5714285714285743E-2</c:v>
                </c:pt>
                <c:pt idx="8">
                  <c:v>5.7142857142857162E-2</c:v>
                </c:pt>
                <c:pt idx="9">
                  <c:v>4.7619047619047561E-2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1103.0027230614132</c:v>
                </c:pt>
                <c:pt idx="1">
                  <c:v>1560.0150268120537</c:v>
                </c:pt>
                <c:pt idx="2">
                  <c:v>2474.0396343133352</c:v>
                </c:pt>
                <c:pt idx="3">
                  <c:v>3388.0642418146163</c:v>
                </c:pt>
                <c:pt idx="4">
                  <c:v>4302.0888493158982</c:v>
                </c:pt>
                <c:pt idx="5">
                  <c:v>5216.1134568171783</c:v>
                </c:pt>
                <c:pt idx="6">
                  <c:v>6130.1380643184602</c:v>
                </c:pt>
                <c:pt idx="7">
                  <c:v>7044.1626718197404</c:v>
                </c:pt>
                <c:pt idx="8">
                  <c:v>7958.1872793210223</c:v>
                </c:pt>
                <c:pt idx="9">
                  <c:v>8872.2118868223042</c:v>
                </c:pt>
                <c:pt idx="10">
                  <c:v>9786.2364943235843</c:v>
                </c:pt>
                <c:pt idx="11" formatCode="0.0">
                  <c:v>10243.248798074224</c:v>
                </c:pt>
              </c:numCache>
            </c:numRef>
          </c:xVal>
          <c:yVal>
            <c:numRef>
              <c:f>'Por-Perm-Logs'!$AO$44:$AZ$44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0.19047619047619047</c:v>
                </c:pt>
                <c:pt idx="2">
                  <c:v>0.29523809523809524</c:v>
                </c:pt>
                <c:pt idx="3">
                  <c:v>0.17142857142857143</c:v>
                </c:pt>
                <c:pt idx="4">
                  <c:v>0.1333333333333333</c:v>
                </c:pt>
                <c:pt idx="5">
                  <c:v>0.11428571428571432</c:v>
                </c:pt>
                <c:pt idx="6">
                  <c:v>1.9047619047619091E-2</c:v>
                </c:pt>
                <c:pt idx="7">
                  <c:v>2.857142857142847E-2</c:v>
                </c:pt>
                <c:pt idx="8">
                  <c:v>1.9047619047619091E-2</c:v>
                </c:pt>
                <c:pt idx="9">
                  <c:v>0</c:v>
                </c:pt>
                <c:pt idx="10">
                  <c:v>1.9047619047619091E-2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4.658823839016776</c:v>
                </c:pt>
                <c:pt idx="1">
                  <c:v>5.50652026425605</c:v>
                </c:pt>
                <c:pt idx="2">
                  <c:v>7.2019131147345981</c:v>
                </c:pt>
                <c:pt idx="3">
                  <c:v>8.8973059652131461</c:v>
                </c:pt>
                <c:pt idx="4">
                  <c:v>10.592698815691694</c:v>
                </c:pt>
                <c:pt idx="5">
                  <c:v>12.288091666170242</c:v>
                </c:pt>
                <c:pt idx="6">
                  <c:v>13.98348451664879</c:v>
                </c:pt>
                <c:pt idx="7">
                  <c:v>15.678877367127338</c:v>
                </c:pt>
                <c:pt idx="8">
                  <c:v>17.374270217605886</c:v>
                </c:pt>
                <c:pt idx="9">
                  <c:v>19.069663068084434</c:v>
                </c:pt>
                <c:pt idx="10">
                  <c:v>20.765055918562982</c:v>
                </c:pt>
                <c:pt idx="11" formatCode="0.0">
                  <c:v>21.612752343802256</c:v>
                </c:pt>
              </c:numCache>
            </c:numRef>
          </c:xVal>
          <c:yVal>
            <c:numRef>
              <c:f>'Por-Perm-Logs'!$AO$23:$AZ$23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0.11410430839002268</c:v>
                </c:pt>
                <c:pt idx="3">
                  <c:v>0.20952380952380953</c:v>
                </c:pt>
                <c:pt idx="4">
                  <c:v>0.45714285714285713</c:v>
                </c:pt>
                <c:pt idx="5">
                  <c:v>0.6</c:v>
                </c:pt>
                <c:pt idx="6">
                  <c:v>0.79047619047619044</c:v>
                </c:pt>
                <c:pt idx="7">
                  <c:v>0.87619047619047619</c:v>
                </c:pt>
                <c:pt idx="8">
                  <c:v>0.93333333333333335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1103.0027230614132</c:v>
                </c:pt>
                <c:pt idx="1">
                  <c:v>1560.0150268120537</c:v>
                </c:pt>
                <c:pt idx="2">
                  <c:v>2474.0396343133352</c:v>
                </c:pt>
                <c:pt idx="3">
                  <c:v>3388.0642418146163</c:v>
                </c:pt>
                <c:pt idx="4">
                  <c:v>4302.0888493158982</c:v>
                </c:pt>
                <c:pt idx="5">
                  <c:v>5216.1134568171783</c:v>
                </c:pt>
                <c:pt idx="6">
                  <c:v>6130.1380643184602</c:v>
                </c:pt>
                <c:pt idx="7">
                  <c:v>7044.1626718197404</c:v>
                </c:pt>
                <c:pt idx="8">
                  <c:v>7958.1872793210223</c:v>
                </c:pt>
                <c:pt idx="9">
                  <c:v>8872.2118868223042</c:v>
                </c:pt>
                <c:pt idx="10">
                  <c:v>9786.2364943235843</c:v>
                </c:pt>
                <c:pt idx="11" formatCode="0.0">
                  <c:v>10243.248798074224</c:v>
                </c:pt>
              </c:numCache>
            </c:numRef>
          </c:xVal>
          <c:yVal>
            <c:numRef>
              <c:f>'Por-Perm-Logs'!$AO$45:$AZ$45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0.19047619047619047</c:v>
                </c:pt>
                <c:pt idx="2">
                  <c:v>0.48571428571428571</c:v>
                </c:pt>
                <c:pt idx="3">
                  <c:v>0.65714285714285714</c:v>
                </c:pt>
                <c:pt idx="4">
                  <c:v>0.79047619047619044</c:v>
                </c:pt>
                <c:pt idx="5">
                  <c:v>0.90476190476190477</c:v>
                </c:pt>
                <c:pt idx="6">
                  <c:v>0.92380952380952386</c:v>
                </c:pt>
                <c:pt idx="7">
                  <c:v>0.95238095238095233</c:v>
                </c:pt>
                <c:pt idx="8">
                  <c:v>0.97142857142857142</c:v>
                </c:pt>
                <c:pt idx="9">
                  <c:v>0.97142857142857142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ln{Permeability}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13.737778540603166</c:v>
                </c:pt>
                <c:pt idx="1">
                  <c:v>9.5657353474199809</c:v>
                </c:pt>
                <c:pt idx="2">
                  <c:v>10.064980211084306</c:v>
                </c:pt>
                <c:pt idx="3">
                  <c:v>4.658823839016776</c:v>
                </c:pt>
                <c:pt idx="4">
                  <c:v>13.099131642941048</c:v>
                </c:pt>
                <c:pt idx="5">
                  <c:v>7.0394713433953715</c:v>
                </c:pt>
                <c:pt idx="6">
                  <c:v>18.227968126294392</c:v>
                </c:pt>
                <c:pt idx="7">
                  <c:v>16.509766095120355</c:v>
                </c:pt>
                <c:pt idx="8">
                  <c:v>9.7122098406011705</c:v>
                </c:pt>
                <c:pt idx="9">
                  <c:v>13.444987026655726</c:v>
                </c:pt>
                <c:pt idx="10">
                  <c:v>13.734092642924873</c:v>
                </c:pt>
                <c:pt idx="11">
                  <c:v>10.162931438904508</c:v>
                </c:pt>
                <c:pt idx="12">
                  <c:v>16.234822585571905</c:v>
                </c:pt>
                <c:pt idx="13">
                  <c:v>11.052854697259477</c:v>
                </c:pt>
                <c:pt idx="14">
                  <c:v>21.612752343802256</c:v>
                </c:pt>
                <c:pt idx="15">
                  <c:v>13.420208225145402</c:v>
                </c:pt>
                <c:pt idx="16">
                  <c:v>10.264207110366979</c:v>
                </c:pt>
                <c:pt idx="17">
                  <c:v>15.052863185465773</c:v>
                </c:pt>
                <c:pt idx="18">
                  <c:v>13.188484105372085</c:v>
                </c:pt>
                <c:pt idx="19">
                  <c:v>10.355932199322394</c:v>
                </c:pt>
                <c:pt idx="20">
                  <c:v>6.7844691024092789</c:v>
                </c:pt>
                <c:pt idx="21">
                  <c:v>9.4369768201475139</c:v>
                </c:pt>
                <c:pt idx="22">
                  <c:v>5.2466429786416295</c:v>
                </c:pt>
                <c:pt idx="23">
                  <c:v>18.151168310370053</c:v>
                </c:pt>
                <c:pt idx="24">
                  <c:v>10.760553664603915</c:v>
                </c:pt>
                <c:pt idx="25">
                  <c:v>11.190947981209032</c:v>
                </c:pt>
                <c:pt idx="26">
                  <c:v>12.949872635706397</c:v>
                </c:pt>
                <c:pt idx="27">
                  <c:v>19.504066898840136</c:v>
                </c:pt>
                <c:pt idx="28">
                  <c:v>14.850492136550013</c:v>
                </c:pt>
                <c:pt idx="29">
                  <c:v>13.957968338354494</c:v>
                </c:pt>
                <c:pt idx="30">
                  <c:v>12.321238930684848</c:v>
                </c:pt>
                <c:pt idx="31">
                  <c:v>14.10955222887601</c:v>
                </c:pt>
                <c:pt idx="32">
                  <c:v>10.996555297852721</c:v>
                </c:pt>
                <c:pt idx="33">
                  <c:v>7.2601574804466811</c:v>
                </c:pt>
                <c:pt idx="34">
                  <c:v>20.23965622677639</c:v>
                </c:pt>
                <c:pt idx="35">
                  <c:v>12.607780014833528</c:v>
                </c:pt>
                <c:pt idx="36">
                  <c:v>18.394111620277069</c:v>
                </c:pt>
                <c:pt idx="37">
                  <c:v>10.98613678529577</c:v>
                </c:pt>
                <c:pt idx="38">
                  <c:v>12.543047839435561</c:v>
                </c:pt>
                <c:pt idx="39">
                  <c:v>11.838784872727693</c:v>
                </c:pt>
                <c:pt idx="40">
                  <c:v>11.020731543717975</c:v>
                </c:pt>
                <c:pt idx="41">
                  <c:v>11.119107256916967</c:v>
                </c:pt>
                <c:pt idx="42">
                  <c:v>11.447785468964749</c:v>
                </c:pt>
                <c:pt idx="43">
                  <c:v>12.358692220677593</c:v>
                </c:pt>
                <c:pt idx="44">
                  <c:v>15.020752171793932</c:v>
                </c:pt>
                <c:pt idx="45">
                  <c:v>16.207918589697826</c:v>
                </c:pt>
                <c:pt idx="46">
                  <c:v>14.265714803440666</c:v>
                </c:pt>
                <c:pt idx="47">
                  <c:v>17.865832370699238</c:v>
                </c:pt>
                <c:pt idx="48">
                  <c:v>14.666817187970093</c:v>
                </c:pt>
                <c:pt idx="49">
                  <c:v>11.632352413576985</c:v>
                </c:pt>
                <c:pt idx="50">
                  <c:v>7.6773886078616167</c:v>
                </c:pt>
                <c:pt idx="51">
                  <c:v>8.9596130378469834</c:v>
                </c:pt>
                <c:pt idx="52">
                  <c:v>10.767701386983861</c:v>
                </c:pt>
                <c:pt idx="53">
                  <c:v>11.636714504315526</c:v>
                </c:pt>
                <c:pt idx="54">
                  <c:v>16.367134680704947</c:v>
                </c:pt>
                <c:pt idx="55">
                  <c:v>11.31242985377016</c:v>
                </c:pt>
                <c:pt idx="56">
                  <c:v>8.5376824472589625</c:v>
                </c:pt>
                <c:pt idx="57">
                  <c:v>9.5438443806174398</c:v>
                </c:pt>
                <c:pt idx="58">
                  <c:v>6.7361991507522507</c:v>
                </c:pt>
                <c:pt idx="59">
                  <c:v>12.042218778365976</c:v>
                </c:pt>
                <c:pt idx="60">
                  <c:v>7.6138891356888987</c:v>
                </c:pt>
                <c:pt idx="61">
                  <c:v>8.8339365709009954</c:v>
                </c:pt>
                <c:pt idx="62">
                  <c:v>8.4513313777877102</c:v>
                </c:pt>
                <c:pt idx="63">
                  <c:v>10.797759356931564</c:v>
                </c:pt>
                <c:pt idx="64">
                  <c:v>14.075425828071179</c:v>
                </c:pt>
                <c:pt idx="65">
                  <c:v>13.379784701004423</c:v>
                </c:pt>
                <c:pt idx="66">
                  <c:v>13.180646944066845</c:v>
                </c:pt>
                <c:pt idx="67">
                  <c:v>14.285731374723383</c:v>
                </c:pt>
                <c:pt idx="68">
                  <c:v>10.440855092481316</c:v>
                </c:pt>
                <c:pt idx="69">
                  <c:v>9.936741830325353</c:v>
                </c:pt>
                <c:pt idx="70">
                  <c:v>8.8143450316407552</c:v>
                </c:pt>
                <c:pt idx="71">
                  <c:v>12.002388042447976</c:v>
                </c:pt>
                <c:pt idx="72">
                  <c:v>16.776660703918164</c:v>
                </c:pt>
                <c:pt idx="73">
                  <c:v>11.08260568779704</c:v>
                </c:pt>
                <c:pt idx="74">
                  <c:v>8.8019652434952587</c:v>
                </c:pt>
                <c:pt idx="75">
                  <c:v>17.357852078353954</c:v>
                </c:pt>
                <c:pt idx="76">
                  <c:v>16.533875457686019</c:v>
                </c:pt>
                <c:pt idx="77">
                  <c:v>13.49925383553547</c:v>
                </c:pt>
                <c:pt idx="78">
                  <c:v>13.047430778456738</c:v>
                </c:pt>
                <c:pt idx="79">
                  <c:v>7.7470394720373221</c:v>
                </c:pt>
                <c:pt idx="80">
                  <c:v>10.200418027450221</c:v>
                </c:pt>
                <c:pt idx="81">
                  <c:v>10.618714853199442</c:v>
                </c:pt>
                <c:pt idx="82">
                  <c:v>17.71835279951349</c:v>
                </c:pt>
                <c:pt idx="83">
                  <c:v>10.432856289823947</c:v>
                </c:pt>
                <c:pt idx="84">
                  <c:v>10.729987959722729</c:v>
                </c:pt>
                <c:pt idx="85">
                  <c:v>19.812704732147569</c:v>
                </c:pt>
                <c:pt idx="86">
                  <c:v>12.838263308440514</c:v>
                </c:pt>
                <c:pt idx="87">
                  <c:v>10.065102046344659</c:v>
                </c:pt>
                <c:pt idx="88">
                  <c:v>9.3814148650302478</c:v>
                </c:pt>
                <c:pt idx="89">
                  <c:v>11.259710156094847</c:v>
                </c:pt>
                <c:pt idx="90">
                  <c:v>13.39734604430264</c:v>
                </c:pt>
                <c:pt idx="91">
                  <c:v>10.129504625297377</c:v>
                </c:pt>
                <c:pt idx="92">
                  <c:v>13.829755521196773</c:v>
                </c:pt>
                <c:pt idx="93">
                  <c:v>10.63161733339682</c:v>
                </c:pt>
                <c:pt idx="94">
                  <c:v>13.754651424691135</c:v>
                </c:pt>
                <c:pt idx="95">
                  <c:v>11.302496359524119</c:v>
                </c:pt>
                <c:pt idx="96">
                  <c:v>13.790445331512707</c:v>
                </c:pt>
                <c:pt idx="97">
                  <c:v>8.6094960424712319</c:v>
                </c:pt>
                <c:pt idx="98">
                  <c:v>18.838388074515791</c:v>
                </c:pt>
                <c:pt idx="99">
                  <c:v>7.3536749992893009</c:v>
                </c:pt>
                <c:pt idx="100">
                  <c:v>14.161847868516411</c:v>
                </c:pt>
                <c:pt idx="101">
                  <c:v>14.239241216070855</c:v>
                </c:pt>
                <c:pt idx="102">
                  <c:v>15.093293780202327</c:v>
                </c:pt>
                <c:pt idx="103">
                  <c:v>11.70033303670791</c:v>
                </c:pt>
                <c:pt idx="104">
                  <c:v>16.357826294330742</c:v>
                </c:pt>
              </c:numCache>
            </c:numRef>
          </c:xVal>
          <c:yVal>
            <c:numRef>
              <c:f>'Por-Perm-Logs'!$P$20:$P$124</c:f>
              <c:numCache>
                <c:formatCode>0.0</c:formatCode>
                <c:ptCount val="105"/>
                <c:pt idx="0">
                  <c:v>8.1983429712233669</c:v>
                </c:pt>
                <c:pt idx="1">
                  <c:v>7.7381900871765597</c:v>
                </c:pt>
                <c:pt idx="2">
                  <c:v>7.8633507322012353</c:v>
                </c:pt>
                <c:pt idx="3">
                  <c:v>7.387028814597751</c:v>
                </c:pt>
                <c:pt idx="4">
                  <c:v>8.1563049032383432</c:v>
                </c:pt>
                <c:pt idx="5">
                  <c:v>7.3956132664932266</c:v>
                </c:pt>
                <c:pt idx="6">
                  <c:v>8.4853834870787423</c:v>
                </c:pt>
                <c:pt idx="7">
                  <c:v>8.290405262195268</c:v>
                </c:pt>
                <c:pt idx="8">
                  <c:v>7.5979869520980712</c:v>
                </c:pt>
                <c:pt idx="9">
                  <c:v>8.073483071435632</c:v>
                </c:pt>
                <c:pt idx="10">
                  <c:v>8.5035707728739851</c:v>
                </c:pt>
                <c:pt idx="11">
                  <c:v>7.7198577513167317</c:v>
                </c:pt>
                <c:pt idx="12">
                  <c:v>8.8032418345893575</c:v>
                </c:pt>
                <c:pt idx="13">
                  <c:v>7.3920832334295836</c:v>
                </c:pt>
                <c:pt idx="14">
                  <c:v>9.2343741137123985</c:v>
                </c:pt>
                <c:pt idx="15">
                  <c:v>8.1746214823678649</c:v>
                </c:pt>
                <c:pt idx="16">
                  <c:v>7.5527139333541715</c:v>
                </c:pt>
                <c:pt idx="17">
                  <c:v>8.406864454673082</c:v>
                </c:pt>
                <c:pt idx="18">
                  <c:v>8.4422758571016612</c:v>
                </c:pt>
                <c:pt idx="19">
                  <c:v>7.8877525683321901</c:v>
                </c:pt>
                <c:pt idx="20">
                  <c:v>7.4839155566528452</c:v>
                </c:pt>
                <c:pt idx="21">
                  <c:v>7.7761882381311729</c:v>
                </c:pt>
                <c:pt idx="22">
                  <c:v>7.4144031788881195</c:v>
                </c:pt>
                <c:pt idx="23">
                  <c:v>8.592641568683506</c:v>
                </c:pt>
                <c:pt idx="24">
                  <c:v>7.712754241090054</c:v>
                </c:pt>
                <c:pt idx="25">
                  <c:v>7.7373771535816811</c:v>
                </c:pt>
                <c:pt idx="26">
                  <c:v>7.6742389176072123</c:v>
                </c:pt>
                <c:pt idx="27">
                  <c:v>9.1925105997531915</c:v>
                </c:pt>
                <c:pt idx="28">
                  <c:v>8.2892018729175092</c:v>
                </c:pt>
                <c:pt idx="29">
                  <c:v>8.4902954841988514</c:v>
                </c:pt>
                <c:pt idx="30">
                  <c:v>8.2664556760172498</c:v>
                </c:pt>
                <c:pt idx="31">
                  <c:v>7.9609438616200343</c:v>
                </c:pt>
                <c:pt idx="32">
                  <c:v>7.6953245092444407</c:v>
                </c:pt>
                <c:pt idx="33">
                  <c:v>7.5260283542495285</c:v>
                </c:pt>
                <c:pt idx="34">
                  <c:v>9.1871569736286816</c:v>
                </c:pt>
                <c:pt idx="35">
                  <c:v>8.0144290738747657</c:v>
                </c:pt>
                <c:pt idx="36">
                  <c:v>8.9134138084203478</c:v>
                </c:pt>
                <c:pt idx="37">
                  <c:v>7.6971126807232277</c:v>
                </c:pt>
                <c:pt idx="38">
                  <c:v>7.7613616038396378</c:v>
                </c:pt>
                <c:pt idx="39">
                  <c:v>8.3488250489170532</c:v>
                </c:pt>
                <c:pt idx="40">
                  <c:v>7.7332006424729478</c:v>
                </c:pt>
                <c:pt idx="41">
                  <c:v>7.8549149211664551</c:v>
                </c:pt>
                <c:pt idx="42">
                  <c:v>7.9349069276096147</c:v>
                </c:pt>
                <c:pt idx="43">
                  <c:v>7.8644270284111988</c:v>
                </c:pt>
                <c:pt idx="44">
                  <c:v>8.5903911758314084</c:v>
                </c:pt>
                <c:pt idx="45">
                  <c:v>8.1951479123349955</c:v>
                </c:pt>
                <c:pt idx="46">
                  <c:v>8.2711978393280514</c:v>
                </c:pt>
                <c:pt idx="47">
                  <c:v>8.6440178867409383</c:v>
                </c:pt>
                <c:pt idx="48">
                  <c:v>8.0318515715909715</c:v>
                </c:pt>
                <c:pt idx="49">
                  <c:v>8.0081480875330193</c:v>
                </c:pt>
                <c:pt idx="50">
                  <c:v>7.0057914880278016</c:v>
                </c:pt>
                <c:pt idx="51">
                  <c:v>7.5222975978476887</c:v>
                </c:pt>
                <c:pt idx="52">
                  <c:v>7.5109826636750663</c:v>
                </c:pt>
                <c:pt idx="53">
                  <c:v>7.9561628844482684</c:v>
                </c:pt>
                <c:pt idx="54">
                  <c:v>8.6029074159225463</c:v>
                </c:pt>
                <c:pt idx="55">
                  <c:v>8.1033256229032649</c:v>
                </c:pt>
                <c:pt idx="56">
                  <c:v>7.6261456669846339</c:v>
                </c:pt>
                <c:pt idx="57">
                  <c:v>7.6449388155152596</c:v>
                </c:pt>
                <c:pt idx="58">
                  <c:v>7.3159594402058481</c:v>
                </c:pt>
                <c:pt idx="59">
                  <c:v>7.740705828581218</c:v>
                </c:pt>
                <c:pt idx="60">
                  <c:v>7.8458342208160232</c:v>
                </c:pt>
                <c:pt idx="61">
                  <c:v>7.576915843512352</c:v>
                </c:pt>
                <c:pt idx="62">
                  <c:v>7.8814143387854401</c:v>
                </c:pt>
                <c:pt idx="63">
                  <c:v>7.7599994869015712</c:v>
                </c:pt>
                <c:pt idx="64">
                  <c:v>8.3640930452650721</c:v>
                </c:pt>
                <c:pt idx="65">
                  <c:v>8.2957445979507263</c:v>
                </c:pt>
                <c:pt idx="66">
                  <c:v>8.5016542177731882</c:v>
                </c:pt>
                <c:pt idx="67">
                  <c:v>8.265072419043733</c:v>
                </c:pt>
                <c:pt idx="68">
                  <c:v>7.4423716157997291</c:v>
                </c:pt>
                <c:pt idx="69">
                  <c:v>7.8065511407700408</c:v>
                </c:pt>
                <c:pt idx="70">
                  <c:v>7.863288086623454</c:v>
                </c:pt>
                <c:pt idx="71">
                  <c:v>8.0592139001866272</c:v>
                </c:pt>
                <c:pt idx="72">
                  <c:v>8.9018747190786129</c:v>
                </c:pt>
                <c:pt idx="73">
                  <c:v>7.9292311360665169</c:v>
                </c:pt>
                <c:pt idx="74">
                  <c:v>7.8459157145735139</c:v>
                </c:pt>
                <c:pt idx="75">
                  <c:v>8.4932655809123716</c:v>
                </c:pt>
                <c:pt idx="76">
                  <c:v>8.4859401973154966</c:v>
                </c:pt>
                <c:pt idx="77">
                  <c:v>8.5209856819546737</c:v>
                </c:pt>
                <c:pt idx="78">
                  <c:v>8.1869500664535799</c:v>
                </c:pt>
                <c:pt idx="79">
                  <c:v>7.175799642377334</c:v>
                </c:pt>
                <c:pt idx="80">
                  <c:v>8.1057557176857014</c:v>
                </c:pt>
                <c:pt idx="81">
                  <c:v>7.7760925844391018</c:v>
                </c:pt>
                <c:pt idx="82">
                  <c:v>8.964208735638433</c:v>
                </c:pt>
                <c:pt idx="83">
                  <c:v>7.316572746643617</c:v>
                </c:pt>
                <c:pt idx="84">
                  <c:v>8.0847852407720424</c:v>
                </c:pt>
                <c:pt idx="85">
                  <c:v>9.0011546086669654</c:v>
                </c:pt>
                <c:pt idx="86">
                  <c:v>7.9966084821313741</c:v>
                </c:pt>
                <c:pt idx="87">
                  <c:v>7.77699857234881</c:v>
                </c:pt>
                <c:pt idx="88">
                  <c:v>7.3102707503311732</c:v>
                </c:pt>
                <c:pt idx="89">
                  <c:v>7.9204992903968297</c:v>
                </c:pt>
                <c:pt idx="90">
                  <c:v>8.1167241573862157</c:v>
                </c:pt>
                <c:pt idx="91">
                  <c:v>7.486051380408389</c:v>
                </c:pt>
                <c:pt idx="92">
                  <c:v>8.315832976648462</c:v>
                </c:pt>
                <c:pt idx="93">
                  <c:v>8.0383074384859743</c:v>
                </c:pt>
                <c:pt idx="94">
                  <c:v>8.4951648504650663</c:v>
                </c:pt>
                <c:pt idx="95">
                  <c:v>7.6032752719710208</c:v>
                </c:pt>
                <c:pt idx="96">
                  <c:v>8.2144877476324663</c:v>
                </c:pt>
                <c:pt idx="97">
                  <c:v>7.7225142421460715</c:v>
                </c:pt>
                <c:pt idx="98">
                  <c:v>8.4113195259433677</c:v>
                </c:pt>
                <c:pt idx="99">
                  <c:v>7.3616947457626134</c:v>
                </c:pt>
                <c:pt idx="100">
                  <c:v>8.3218527306535091</c:v>
                </c:pt>
                <c:pt idx="101">
                  <c:v>8.3562496351560007</c:v>
                </c:pt>
                <c:pt idx="102">
                  <c:v>8.6872601468966604</c:v>
                </c:pt>
                <c:pt idx="103">
                  <c:v>8.0885001628349098</c:v>
                </c:pt>
                <c:pt idx="104">
                  <c:v>8.4925296382874755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3-4B0D-98BF-8171CD6E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Ln{Permeability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17</xdr:row>
      <xdr:rowOff>9524</xdr:rowOff>
    </xdr:from>
    <xdr:to>
      <xdr:col>36</xdr:col>
      <xdr:colOff>284162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600075</xdr:colOff>
      <xdr:row>35</xdr:row>
      <xdr:rowOff>9525</xdr:rowOff>
    </xdr:from>
    <xdr:to>
      <xdr:col>36</xdr:col>
      <xdr:colOff>274637</xdr:colOff>
      <xdr:row>52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428625</xdr:colOff>
      <xdr:row>16</xdr:row>
      <xdr:rowOff>161925</xdr:rowOff>
    </xdr:from>
    <xdr:to>
      <xdr:col>27</xdr:col>
      <xdr:colOff>704850</xdr:colOff>
      <xdr:row>52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16</xdr:row>
      <xdr:rowOff>161925</xdr:rowOff>
    </xdr:from>
    <xdr:to>
      <xdr:col>30</xdr:col>
      <xdr:colOff>276225</xdr:colOff>
      <xdr:row>52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561577</xdr:colOff>
      <xdr:row>23</xdr:row>
      <xdr:rowOff>128587</xdr:rowOff>
    </xdr:from>
    <xdr:to>
      <xdr:col>45</xdr:col>
      <xdr:colOff>17586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19845</xdr:colOff>
      <xdr:row>46</xdr:row>
      <xdr:rowOff>75406</xdr:rowOff>
    </xdr:from>
    <xdr:to>
      <xdr:col>45</xdr:col>
      <xdr:colOff>32787</xdr:colOff>
      <xdr:row>61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111125</xdr:colOff>
      <xdr:row>23</xdr:row>
      <xdr:rowOff>127000</xdr:rowOff>
    </xdr:from>
    <xdr:to>
      <xdr:col>53</xdr:col>
      <xdr:colOff>408509</xdr:colOff>
      <xdr:row>39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142875</xdr:colOff>
      <xdr:row>46</xdr:row>
      <xdr:rowOff>79375</xdr:rowOff>
    </xdr:from>
    <xdr:to>
      <xdr:col>53</xdr:col>
      <xdr:colOff>393942</xdr:colOff>
      <xdr:row>61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381000</xdr:colOff>
      <xdr:row>70</xdr:row>
      <xdr:rowOff>0</xdr:rowOff>
    </xdr:from>
    <xdr:to>
      <xdr:col>29</xdr:col>
      <xdr:colOff>500062</xdr:colOff>
      <xdr:row>87</xdr:row>
      <xdr:rowOff>177801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392402</xdr:colOff>
      <xdr:row>80</xdr:row>
      <xdr:rowOff>91138</xdr:rowOff>
    </xdr:from>
    <xdr:to>
      <xdr:col>41</xdr:col>
      <xdr:colOff>175906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464345</xdr:colOff>
      <xdr:row>99</xdr:row>
      <xdr:rowOff>120284</xdr:rowOff>
    </xdr:from>
    <xdr:to>
      <xdr:col>29</xdr:col>
      <xdr:colOff>169069</xdr:colOff>
      <xdr:row>115</xdr:row>
      <xdr:rowOff>143670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511969</xdr:colOff>
      <xdr:row>17</xdr:row>
      <xdr:rowOff>142875</xdr:rowOff>
    </xdr:from>
    <xdr:to>
      <xdr:col>23</xdr:col>
      <xdr:colOff>916781</xdr:colOff>
      <xdr:row>17</xdr:row>
      <xdr:rowOff>436225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434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/>
                <a:t>From Minimized Square Error: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b="1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b="1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d>
                            <m:dPr>
                              <m:ctrlPr>
                                <a:rPr lang="en-US" b="1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  <m:sub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</m:acc>
                            </m:e>
                          </m:d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  <m: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</m:acc>
                            </m:e>
                          </m:d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en-US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sSup>
                            <m:sSup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𝒊</m:t>
                                      </m:r>
                                    </m:sub>
                                  </m:s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</m:acc>
                                </m:e>
                              </m:d>
                            </m:e>
                            <m:sup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4" name="TextBox 14344"/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/>
                <a:t>From Minimized Square Error: </a:t>
              </a:r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18</xdr:col>
      <xdr:colOff>500062</xdr:colOff>
      <xdr:row>17</xdr:row>
      <xdr:rowOff>571500</xdr:rowOff>
    </xdr:from>
    <xdr:to>
      <xdr:col>23</xdr:col>
      <xdr:colOff>7180</xdr:colOff>
      <xdr:row>17</xdr:row>
      <xdr:rowOff>736866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4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The find intercept: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  <m:r>
                    <a:rPr lang="en-US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acc>
                    <m:accPr>
                      <m:chr m:val="̅"/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5" name="TextBox 43"/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The find intercept: </a:t>
              </a:r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16</xdr:col>
      <xdr:colOff>690562</xdr:colOff>
      <xdr:row>17</xdr:row>
      <xdr:rowOff>345282</xdr:rowOff>
    </xdr:from>
    <xdr:to>
      <xdr:col>17</xdr:col>
      <xdr:colOff>1031117</xdr:colOff>
      <xdr:row>17</xdr:row>
      <xdr:rowOff>510648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Model: </a:t>
              </a:r>
              <a14:m>
                <m:oMath xmlns:m="http://schemas.openxmlformats.org/officeDocument/2006/math">
                  <m:r>
                    <a:rPr lang="en-US" b="1" i="1">
                      <a:latin typeface="Cambria Math" panose="02040503050406030204" pitchFamily="18" charset="0"/>
                    </a:rPr>
                    <m:t>𝒚</m:t>
                  </m:r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𝒙</m:t>
                  </m:r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6" name="TextBox 4"/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Model: </a:t>
              </a:r>
              <a:r>
                <a:rPr lang="en-US" b="1" i="0">
                  <a:latin typeface="Cambria Math" panose="02040503050406030204" pitchFamily="18" charset="0"/>
                </a:rPr>
                <a:t>𝒚=𝒃_𝟎+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</a:t>
              </a:r>
              <a:endParaRPr lang="en-US"/>
            </a:p>
          </xdr:txBody>
        </xdr:sp>
      </mc:Fallback>
    </mc:AlternateContent>
    <xdr:clientData/>
  </xdr:twoCellAnchor>
  <xdr:oneCellAnchor>
    <xdr:from>
      <xdr:col>31</xdr:col>
      <xdr:colOff>393412</xdr:colOff>
      <xdr:row>73</xdr:row>
      <xdr:rowOff>190957</xdr:rowOff>
    </xdr:from>
    <xdr:ext cx="1417618" cy="3698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d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(𝜌)^2=𝑟^2=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30</xdr:col>
      <xdr:colOff>593435</xdr:colOff>
      <xdr:row>73</xdr:row>
      <xdr:rowOff>179412</xdr:rowOff>
    </xdr:from>
    <xdr:ext cx="1417618" cy="3698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𝜌</m:t>
                  </m:r>
                </m:oMath>
              </a14:m>
              <a:r>
                <a:rPr lang="en-US" sz="1400"/>
                <a:t> =</a:t>
              </a:r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400"/>
                <a:t> =</a:t>
              </a:r>
            </a:p>
          </xdr:txBody>
        </xdr:sp>
      </mc:Fallback>
    </mc:AlternateContent>
    <xdr:clientData/>
  </xdr:oneCellAnchor>
  <xdr:twoCellAnchor>
    <xdr:from>
      <xdr:col>29</xdr:col>
      <xdr:colOff>297657</xdr:colOff>
      <xdr:row>99</xdr:row>
      <xdr:rowOff>130969</xdr:rowOff>
    </xdr:from>
    <xdr:to>
      <xdr:col>33</xdr:col>
      <xdr:colOff>573881</xdr:colOff>
      <xdr:row>115</xdr:row>
      <xdr:rowOff>154355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365125</xdr:colOff>
      <xdr:row>81</xdr:row>
      <xdr:rowOff>31750</xdr:rowOff>
    </xdr:from>
    <xdr:to>
      <xdr:col>51</xdr:col>
      <xdr:colOff>600317</xdr:colOff>
      <xdr:row>96</xdr:row>
      <xdr:rowOff>63650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25</xdr:col>
      <xdr:colOff>95250</xdr:colOff>
      <xdr:row>134</xdr:row>
      <xdr:rowOff>111125</xdr:rowOff>
    </xdr:from>
    <xdr:ext cx="1886206" cy="574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≠0</m:t>
                    </m:r>
                  </m:oMath>
                </m:oMathPara>
              </a14:m>
              <a:endParaRPr lang="en-US" sz="2000">
                <a:effectLst/>
              </a:endParaRPr>
            </a:p>
            <a:p>
              <a:endParaRPr lang="en-US" sz="16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𝐻_0:𝑏_𝑖=0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𝐻_1:𝑏_𝑖≠0</a:t>
              </a:r>
              <a:endParaRPr lang="en-US" sz="20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38</xdr:col>
      <xdr:colOff>501650</xdr:colOff>
      <xdr:row>131</xdr:row>
      <xdr:rowOff>168276</xdr:rowOff>
    </xdr:from>
    <xdr:ext cx="1886206" cy="7683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𝑜𝑡h𝑒𝑟𝑤𝑖𝑠𝑒</m:t>
                    </m:r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𝐻_0:𝑏_0=𝑏_1=0</a:t>
              </a:r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𝐻_1:𝑜𝑡ℎ𝑒𝑟𝑤𝑖𝑠𝑒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29</xdr:col>
      <xdr:colOff>444500</xdr:colOff>
      <xdr:row>93</xdr:row>
      <xdr:rowOff>142875</xdr:rowOff>
    </xdr:from>
    <xdr:to>
      <xdr:col>32</xdr:col>
      <xdr:colOff>827591</xdr:colOff>
      <xdr:row>97</xdr:row>
      <xdr:rowOff>2071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F8B0DD89-97DE-4C10-9E56-70B1E54E53BD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d>
                              <m:dPr>
                                <m:ctrlPr>
                                  <a:rPr lang="en-US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𝒊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F8B0DD89-97DE-4C10-9E56-70B1E54E53BD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29</xdr:col>
      <xdr:colOff>666750</xdr:colOff>
      <xdr:row>97</xdr:row>
      <xdr:rowOff>15875</xdr:rowOff>
    </xdr:from>
    <xdr:to>
      <xdr:col>31</xdr:col>
      <xdr:colOff>380243</xdr:colOff>
      <xdr:row>98</xdr:row>
      <xdr:rowOff>102374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C0F63946-C453-46CC-AA5A-F4F0CF3D2C97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b="1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C0F63946-C453-46CC-AA5A-F4F0CF3D2C97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26</xdr:col>
      <xdr:colOff>777875</xdr:colOff>
      <xdr:row>124</xdr:row>
      <xdr:rowOff>63500</xdr:rowOff>
    </xdr:from>
    <xdr:to>
      <xdr:col>27</xdr:col>
      <xdr:colOff>762000</xdr:colOff>
      <xdr:row>124</xdr:row>
      <xdr:rowOff>63500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A411762-628D-407F-9A91-4212ED588DC6}"/>
            </a:ext>
          </a:extLst>
        </xdr:cNvPr>
        <xdr:cNvCxnSpPr/>
      </xdr:nvCxnSpPr>
      <xdr:spPr>
        <a:xfrm>
          <a:off x="23653750" y="25368250"/>
          <a:ext cx="777875" cy="0"/>
        </a:xfrm>
        <a:prstGeom prst="straightConnector1">
          <a:avLst/>
        </a:prstGeom>
        <a:ln>
          <a:solidFill>
            <a:sysClr val="windowText" lastClr="0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400050</xdr:colOff>
      <xdr:row>127</xdr:row>
      <xdr:rowOff>133350</xdr:rowOff>
    </xdr:from>
    <xdr:to>
      <xdr:col>30</xdr:col>
      <xdr:colOff>725991</xdr:colOff>
      <xdr:row>129</xdr:row>
      <xdr:rowOff>95579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𝒔𝒔𝒓𝒆𝒔𝒊𝒅</m:t>
                        </m:r>
                      </m:den>
                    </m:f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ＭＳ Ｐゴシック" panose="020B0600070205080204" pitchFamily="34" charset="-128"/>
                            <a:cs typeface="+mn-cs"/>
                          </a:rPr>
                          <m:t>𝒆𝒙𝒑𝒍𝒂𝒊𝒏𝒆𝒅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ＭＳ Ｐゴシック" panose="020B0600070205080204" pitchFamily="34" charset="-128"/>
                            <a:cs typeface="+mn-cs"/>
                          </a:rPr>
                          <m:t> 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ＭＳ Ｐゴシック" panose="020B0600070205080204" pitchFamily="34" charset="-128"/>
                            <a:cs typeface="+mn-cs"/>
                          </a:rPr>
                          <m:t>𝒗𝒂𝒓𝒊𝒂𝒏𝒄𝒆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𝒕𝒐𝒕𝒂𝒍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𝒗𝒂𝒊𝒓𝒂𝒏𝒄𝒆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𝒓^𝟐=𝒔𝒔𝒓𝒆𝒈/(𝒔𝒔𝒓𝒆𝒈+𝒔𝒔𝒓𝒆𝒔𝒊𝒅)=(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rPr>
                <a:t>𝒆𝒙𝒑𝒍𝒂𝒊𝒏𝒆𝒅 𝒗𝒂𝒓𝒊𝒂𝒏𝒄𝒆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ＭＳ Ｐゴシック" panose="020B0600070205080204" pitchFamily="34" charset="-128"/>
                  <a:cs typeface="+mn-cs"/>
                </a:rPr>
                <a:t>)/(</a:t>
              </a:r>
              <a:r>
                <a:rPr lang="en-US" b="1" i="0">
                  <a:latin typeface="Cambria Math" panose="02040503050406030204" pitchFamily="18" charset="0"/>
                </a:rPr>
                <a:t>𝒕𝒐𝒕𝒂𝒍 𝒗𝒂𝒊𝒓𝒂𝒏𝒄𝒆)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411"/>
  <sheetViews>
    <sheetView tabSelected="1" topLeftCell="W101" zoomScale="70" zoomScaleNormal="70" workbookViewId="0">
      <selection activeCell="AN125" sqref="AN125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3" max="13" width="8.140625" customWidth="1"/>
    <col min="14" max="14" width="17.42578125" style="9" customWidth="1"/>
    <col min="15" max="15" width="19.85546875" customWidth="1"/>
    <col min="16" max="16" width="18.140625" customWidth="1"/>
    <col min="17" max="18" width="16" customWidth="1"/>
    <col min="19" max="24" width="18.42578125" customWidth="1"/>
    <col min="25" max="25" width="7.28515625" customWidth="1"/>
    <col min="26" max="26" width="15.140625" customWidth="1"/>
    <col min="27" max="29" width="11.85546875" customWidth="1"/>
    <col min="30" max="30" width="16.140625" customWidth="1"/>
    <col min="31" max="31" width="13.5703125" style="9" bestFit="1" customWidth="1"/>
    <col min="32" max="32" width="9.140625" style="9"/>
    <col min="33" max="33" width="14.85546875" style="9" bestFit="1" customWidth="1"/>
    <col min="34" max="34" width="9.140625" style="9"/>
    <col min="35" max="35" width="10.85546875" style="9" customWidth="1"/>
    <col min="36" max="39" width="9.140625" style="9"/>
    <col min="40" max="40" width="12.7109375" style="9" customWidth="1"/>
    <col min="41" max="41" width="9.140625" style="9"/>
    <col min="43" max="43" width="8.7109375" customWidth="1"/>
    <col min="54" max="54" width="15.140625" customWidth="1"/>
    <col min="55" max="137" width="9.140625" style="1"/>
  </cols>
  <sheetData>
    <row r="1" spans="1:137" s="1" customFormat="1" ht="15.75" thickBot="1" x14ac:dyDescent="0.3"/>
    <row r="2" spans="1:137" s="1" customForma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6"/>
    </row>
    <row r="3" spans="1:137" s="1" customFormat="1" ht="29.25" thickBot="1" x14ac:dyDescent="0.5">
      <c r="B3" s="37"/>
      <c r="C3" s="149" t="s">
        <v>131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9"/>
    </row>
    <row r="4" spans="1:137" s="1" customFormat="1" ht="21.75" thickBot="1" x14ac:dyDescent="0.4">
      <c r="B4" s="37"/>
      <c r="C4" s="5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50" t="s">
        <v>132</v>
      </c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  <c r="BA4" s="38"/>
      <c r="BB4" s="39"/>
    </row>
    <row r="5" spans="1:137" s="1" customFormat="1" ht="15.75" x14ac:dyDescent="0.25">
      <c r="B5" s="37"/>
      <c r="C5" s="115" t="s">
        <v>85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</row>
    <row r="6" spans="1:137" s="1" customFormat="1" ht="15.75" x14ac:dyDescent="0.25">
      <c r="B6" s="37"/>
      <c r="C6" s="115" t="s">
        <v>86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52" t="s">
        <v>38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</row>
    <row r="7" spans="1:137" s="1" customFormat="1" ht="15.75" x14ac:dyDescent="0.25">
      <c r="B7" s="37"/>
      <c r="C7" s="115" t="s">
        <v>87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94"/>
      <c r="AA7" s="94"/>
      <c r="AB7" s="94"/>
      <c r="AC7" s="94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40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9"/>
    </row>
    <row r="8" spans="1:137" s="9" customFormat="1" ht="15.75" x14ac:dyDescent="0.25">
      <c r="A8" s="1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52" t="s">
        <v>88</v>
      </c>
      <c r="AA8" s="12"/>
      <c r="AB8" s="12"/>
      <c r="AC8" s="12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40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9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7" s="9" customFormat="1" ht="15.75" x14ac:dyDescent="0.25">
      <c r="A9" s="1"/>
      <c r="B9" s="37"/>
      <c r="C9" s="38"/>
      <c r="D9" s="38"/>
      <c r="E9" s="38"/>
      <c r="F9" s="38"/>
      <c r="G9" s="38"/>
      <c r="H9" s="38"/>
      <c r="I9" s="38"/>
      <c r="J9" s="108" t="s">
        <v>7</v>
      </c>
      <c r="K9" s="109"/>
      <c r="L9" s="108" t="s">
        <v>8</v>
      </c>
      <c r="M9" s="109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53" t="s">
        <v>89</v>
      </c>
      <c r="AA9" s="12"/>
      <c r="AB9" s="12"/>
      <c r="AC9" s="12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40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7" s="9" customFormat="1" ht="16.5" thickBot="1" x14ac:dyDescent="0.3">
      <c r="A10" s="1"/>
      <c r="B10" s="37"/>
      <c r="C10" s="38"/>
      <c r="D10" s="38"/>
      <c r="E10" s="38"/>
      <c r="F10" s="110" t="s">
        <v>17</v>
      </c>
      <c r="G10" s="111"/>
      <c r="H10" s="110" t="s">
        <v>35</v>
      </c>
      <c r="I10" s="111"/>
      <c r="J10" s="110" t="s">
        <v>3</v>
      </c>
      <c r="K10" s="111"/>
      <c r="L10" s="110" t="s">
        <v>6</v>
      </c>
      <c r="M10" s="111"/>
      <c r="N10" s="110" t="s">
        <v>11</v>
      </c>
      <c r="O10" s="111"/>
      <c r="P10" s="94"/>
      <c r="Q10" s="94"/>
      <c r="R10" s="94"/>
      <c r="S10" s="94"/>
      <c r="T10" s="94"/>
      <c r="U10" s="94"/>
      <c r="V10" s="94"/>
      <c r="W10" s="94"/>
      <c r="X10" s="94"/>
      <c r="Y10" s="93"/>
      <c r="Z10" s="54" t="s">
        <v>90</v>
      </c>
      <c r="AA10" s="94"/>
      <c r="AB10" s="94"/>
      <c r="AC10" s="94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40"/>
      <c r="AP10" s="38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1"/>
      <c r="BC10" s="33"/>
      <c r="BD10" s="33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7" ht="15.75" x14ac:dyDescent="0.25">
      <c r="B11" s="37"/>
      <c r="C11" s="38"/>
      <c r="D11" s="38"/>
      <c r="E11" s="38"/>
      <c r="F11" s="42" t="s">
        <v>13</v>
      </c>
      <c r="G11" s="10">
        <f ca="1">MIN(F20:F124)</f>
        <v>0.33203162984723783</v>
      </c>
      <c r="H11" s="42" t="s">
        <v>13</v>
      </c>
      <c r="I11" s="10">
        <f ca="1">MIN(H20:H124)</f>
        <v>0</v>
      </c>
      <c r="J11" s="42" t="s">
        <v>1</v>
      </c>
      <c r="K11" s="2">
        <v>0</v>
      </c>
      <c r="L11" s="42" t="s">
        <v>1</v>
      </c>
      <c r="M11" s="5">
        <v>8</v>
      </c>
      <c r="N11" s="42" t="s">
        <v>1</v>
      </c>
      <c r="O11" s="7">
        <f ca="1">AVERAGE(N20:N124)</f>
        <v>12.355845458098894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53"/>
      <c r="AA11" s="12"/>
      <c r="AB11" s="12"/>
      <c r="AC11" s="12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40"/>
      <c r="AP11" s="43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1"/>
      <c r="BC11" s="33"/>
      <c r="BD11" s="33"/>
    </row>
    <row r="12" spans="1:137" ht="15.75" thickBot="1" x14ac:dyDescent="0.3">
      <c r="B12" s="37"/>
      <c r="C12" s="38"/>
      <c r="D12" s="38"/>
      <c r="E12" s="38"/>
      <c r="F12" s="42" t="s">
        <v>14</v>
      </c>
      <c r="G12" s="11">
        <f ca="1">MAX(F20:F124)</f>
        <v>0.71653926753433483</v>
      </c>
      <c r="H12" s="42" t="s">
        <v>14</v>
      </c>
      <c r="I12" s="11">
        <f ca="1">MAX(H20:H124)</f>
        <v>1</v>
      </c>
      <c r="J12" s="42" t="s">
        <v>2</v>
      </c>
      <c r="K12" s="3">
        <v>1</v>
      </c>
      <c r="L12" s="42" t="s">
        <v>2</v>
      </c>
      <c r="M12" s="6">
        <v>0.5</v>
      </c>
      <c r="N12" s="42" t="s">
        <v>2</v>
      </c>
      <c r="O12" s="8">
        <f ca="1">STDEV(N20:N124)</f>
        <v>3.4072229750365417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38" t="s">
        <v>39</v>
      </c>
      <c r="AA12" s="12"/>
      <c r="AB12" s="12"/>
      <c r="AC12" s="12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40"/>
      <c r="AP12" s="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1"/>
      <c r="BC12" s="33"/>
      <c r="BD12" s="33"/>
    </row>
    <row r="13" spans="1:137" ht="15.75" thickBot="1" x14ac:dyDescent="0.3">
      <c r="B13" s="37"/>
      <c r="C13" s="38"/>
      <c r="D13" s="38"/>
      <c r="E13" s="38"/>
      <c r="F13" s="110" t="s">
        <v>18</v>
      </c>
      <c r="G13" s="111"/>
      <c r="H13" s="110" t="s">
        <v>36</v>
      </c>
      <c r="I13" s="111"/>
      <c r="J13" s="110" t="s">
        <v>4</v>
      </c>
      <c r="K13" s="111"/>
      <c r="L13" s="110" t="s">
        <v>5</v>
      </c>
      <c r="M13" s="111"/>
      <c r="N13" s="110" t="s">
        <v>12</v>
      </c>
      <c r="O13" s="111"/>
      <c r="P13" s="94" t="s">
        <v>41</v>
      </c>
      <c r="Q13" s="94"/>
      <c r="R13" s="94"/>
      <c r="S13" s="94"/>
      <c r="T13" s="94"/>
      <c r="U13" s="94"/>
      <c r="V13" s="94"/>
      <c r="W13" s="94"/>
      <c r="X13" s="94"/>
      <c r="Y13" s="94"/>
      <c r="Z13" s="43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40"/>
      <c r="AP13" s="38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1"/>
      <c r="BC13" s="33"/>
      <c r="BD13" s="33"/>
    </row>
    <row r="14" spans="1:137" x14ac:dyDescent="0.25">
      <c r="B14" s="37"/>
      <c r="C14" s="38"/>
      <c r="D14" s="38"/>
      <c r="E14" s="38"/>
      <c r="F14" s="42" t="s">
        <v>13</v>
      </c>
      <c r="G14" s="10">
        <f ca="1">MIN(G20:G124)</f>
        <v>0.2245871414782214</v>
      </c>
      <c r="H14" s="42" t="s">
        <v>13</v>
      </c>
      <c r="I14" s="10">
        <f ca="1">MIN(I20:I124)</f>
        <v>0</v>
      </c>
      <c r="J14" s="42" t="s">
        <v>1</v>
      </c>
      <c r="K14" s="2">
        <v>0</v>
      </c>
      <c r="L14" s="42" t="s">
        <v>1</v>
      </c>
      <c r="M14" s="5">
        <v>12</v>
      </c>
      <c r="N14" s="42" t="s">
        <v>1</v>
      </c>
      <c r="O14" s="7">
        <f ca="1">AVERAGE(O20:O124)</f>
        <v>3489.372805794992</v>
      </c>
      <c r="P14" s="7">
        <f ca="1">AVERAGE(P20:P124)</f>
        <v>8.0415454514338247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1"/>
      <c r="BC14" s="33"/>
      <c r="BD14" s="33"/>
    </row>
    <row r="15" spans="1:137" ht="15.75" thickBot="1" x14ac:dyDescent="0.3">
      <c r="B15" s="37"/>
      <c r="C15" s="38"/>
      <c r="D15" s="38"/>
      <c r="E15" s="38"/>
      <c r="F15" s="42" t="s">
        <v>14</v>
      </c>
      <c r="G15" s="11">
        <f ca="1">MAX(G20:G124)</f>
        <v>0.74622726516227333</v>
      </c>
      <c r="H15" s="42" t="s">
        <v>14</v>
      </c>
      <c r="I15" s="11">
        <f ca="1">MAX(I20:I124)</f>
        <v>1</v>
      </c>
      <c r="J15" s="42" t="s">
        <v>2</v>
      </c>
      <c r="K15" s="3">
        <v>1</v>
      </c>
      <c r="L15" s="42" t="s">
        <v>2</v>
      </c>
      <c r="M15" s="6">
        <v>3.5</v>
      </c>
      <c r="N15" s="42" t="s">
        <v>2</v>
      </c>
      <c r="O15" s="8">
        <f ca="1">STDEV(O20:O124)</f>
        <v>1849.3455088006115</v>
      </c>
      <c r="P15" s="8">
        <f ca="1">STDEV(P20:P124)</f>
        <v>0.47172783066360174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1"/>
      <c r="BC15" s="33"/>
      <c r="BD15" s="33"/>
    </row>
    <row r="16" spans="1:137" ht="15.75" thickBot="1" x14ac:dyDescent="0.3">
      <c r="B16" s="37"/>
      <c r="C16" s="38"/>
      <c r="D16" s="38"/>
      <c r="E16" s="38"/>
      <c r="F16" s="38"/>
      <c r="G16" s="38"/>
      <c r="H16" s="38"/>
      <c r="I16" s="38"/>
      <c r="J16" s="42" t="s">
        <v>10</v>
      </c>
      <c r="K16" s="4">
        <v>0.9</v>
      </c>
      <c r="L16" s="38"/>
      <c r="M16" s="43"/>
      <c r="N16" s="38"/>
      <c r="O16" s="43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1"/>
      <c r="BC16" s="33"/>
      <c r="BD16" s="33"/>
    </row>
    <row r="17" spans="1:137" s="9" customFormat="1" ht="19.5" thickBot="1" x14ac:dyDescent="0.35">
      <c r="A17" s="1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150" t="s">
        <v>53</v>
      </c>
      <c r="R17" s="60"/>
      <c r="S17" s="60"/>
      <c r="T17" s="60"/>
      <c r="U17" s="60"/>
      <c r="V17" s="60"/>
      <c r="W17" s="60"/>
      <c r="X17" s="61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1"/>
      <c r="BC17" s="33"/>
      <c r="BD17" s="33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</row>
    <row r="18" spans="1:137" s="9" customFormat="1" ht="76.5" customHeight="1" thickBot="1" x14ac:dyDescent="0.3">
      <c r="A18" s="1"/>
      <c r="B18" s="37"/>
      <c r="C18" s="116"/>
      <c r="D18" s="119" t="s">
        <v>30</v>
      </c>
      <c r="E18" s="119"/>
      <c r="F18" s="119" t="s">
        <v>29</v>
      </c>
      <c r="G18" s="119"/>
      <c r="H18" s="119" t="s">
        <v>28</v>
      </c>
      <c r="I18" s="119"/>
      <c r="J18" s="119" t="s">
        <v>31</v>
      </c>
      <c r="K18" s="119"/>
      <c r="L18" s="119" t="s">
        <v>32</v>
      </c>
      <c r="M18" s="119"/>
      <c r="N18" s="117" t="s">
        <v>33</v>
      </c>
      <c r="O18" s="117" t="s">
        <v>34</v>
      </c>
      <c r="P18" s="118" t="s">
        <v>54</v>
      </c>
      <c r="Q18" s="62"/>
      <c r="R18" s="63"/>
      <c r="S18" s="63"/>
      <c r="T18" s="63"/>
      <c r="U18" s="63"/>
      <c r="V18" s="63"/>
      <c r="W18" s="63"/>
      <c r="X18" s="64"/>
      <c r="Y18" s="44"/>
      <c r="Z18" s="92"/>
      <c r="AA18" s="92"/>
      <c r="AB18" s="92"/>
      <c r="AC18" s="92"/>
      <c r="AD18" s="92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9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</row>
    <row r="19" spans="1:137" s="9" customFormat="1" ht="17.25" x14ac:dyDescent="0.25">
      <c r="A19" s="1"/>
      <c r="B19" s="37"/>
      <c r="C19" s="56" t="s">
        <v>23</v>
      </c>
      <c r="D19" s="56" t="s">
        <v>15</v>
      </c>
      <c r="E19" s="56" t="s">
        <v>16</v>
      </c>
      <c r="F19" s="56" t="s">
        <v>21</v>
      </c>
      <c r="G19" s="56" t="s">
        <v>20</v>
      </c>
      <c r="H19" s="56" t="s">
        <v>19</v>
      </c>
      <c r="I19" s="56" t="s">
        <v>22</v>
      </c>
      <c r="J19" s="56" t="s">
        <v>3</v>
      </c>
      <c r="K19" s="56" t="s">
        <v>4</v>
      </c>
      <c r="L19" s="56" t="s">
        <v>6</v>
      </c>
      <c r="M19" s="56" t="s">
        <v>5</v>
      </c>
      <c r="N19" s="56" t="s">
        <v>0</v>
      </c>
      <c r="O19" s="56" t="s">
        <v>9</v>
      </c>
      <c r="P19" s="56" t="s">
        <v>40</v>
      </c>
      <c r="Q19" s="65" t="s">
        <v>42</v>
      </c>
      <c r="R19" s="56" t="s">
        <v>43</v>
      </c>
      <c r="S19" s="56" t="s">
        <v>45</v>
      </c>
      <c r="T19" s="56" t="s">
        <v>46</v>
      </c>
      <c r="U19" s="56" t="s">
        <v>64</v>
      </c>
      <c r="V19" s="56" t="s">
        <v>63</v>
      </c>
      <c r="W19" s="56" t="s">
        <v>49</v>
      </c>
      <c r="X19" s="66" t="s">
        <v>50</v>
      </c>
      <c r="Y19" s="92"/>
      <c r="Z19" s="92"/>
      <c r="AA19" s="92"/>
      <c r="AB19" s="92"/>
      <c r="AC19" s="92"/>
      <c r="AD19" s="92"/>
      <c r="AE19" s="38"/>
      <c r="AF19" s="38"/>
      <c r="AG19" s="38"/>
      <c r="AH19" s="38"/>
      <c r="AI19" s="38"/>
      <c r="AJ19" s="38"/>
      <c r="AK19" s="38"/>
      <c r="AL19" s="45" t="s">
        <v>25</v>
      </c>
      <c r="AM19" s="38"/>
      <c r="AN19" s="38"/>
      <c r="AO19" s="112" t="s">
        <v>26</v>
      </c>
      <c r="AP19" s="13">
        <f ca="1">AM21</f>
        <v>4.658823839016776</v>
      </c>
      <c r="AQ19" s="14">
        <f t="shared" ref="AQ19:AY19" ca="1" si="0">AP19+($AM$22-$AM$21)/10</f>
        <v>6.354216689495324</v>
      </c>
      <c r="AR19" s="14">
        <f t="shared" ca="1" si="0"/>
        <v>8.0496095399738721</v>
      </c>
      <c r="AS19" s="14">
        <f t="shared" ca="1" si="0"/>
        <v>9.7450023904524201</v>
      </c>
      <c r="AT19" s="14">
        <f t="shared" ca="1" si="0"/>
        <v>11.440395240930968</v>
      </c>
      <c r="AU19" s="14">
        <f t="shared" ca="1" si="0"/>
        <v>13.135788091409516</v>
      </c>
      <c r="AV19" s="14">
        <f t="shared" ca="1" si="0"/>
        <v>14.831180941888064</v>
      </c>
      <c r="AW19" s="14">
        <f t="shared" ca="1" si="0"/>
        <v>16.526573792366612</v>
      </c>
      <c r="AX19" s="14">
        <f t="shared" ca="1" si="0"/>
        <v>18.22196664284516</v>
      </c>
      <c r="AY19" s="15">
        <f t="shared" ca="1" si="0"/>
        <v>19.917359493323708</v>
      </c>
      <c r="AZ19" s="38"/>
      <c r="BA19" s="38"/>
      <c r="BB19" s="39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</row>
    <row r="20" spans="1:137" s="9" customFormat="1" ht="15.75" thickBot="1" x14ac:dyDescent="0.3">
      <c r="A20" s="1"/>
      <c r="B20" s="37"/>
      <c r="C20" s="46">
        <v>0.25</v>
      </c>
      <c r="D20" s="46">
        <f ca="1">RAND()</f>
        <v>0.27944025286628194</v>
      </c>
      <c r="E20" s="46">
        <f ca="1">RAND()</f>
        <v>0.35872291953135105</v>
      </c>
      <c r="F20" s="46">
        <f ca="1">AVERAGE(D20:D24)</f>
        <v>0.37106830365572652</v>
      </c>
      <c r="G20" s="46">
        <f ca="1">AVERAGE(E20:E24)</f>
        <v>0.31308349222673942</v>
      </c>
      <c r="H20" s="46">
        <f ca="1">(F20-$G$11)/($G$12-$G$11)</f>
        <v>0.10152379298185953</v>
      </c>
      <c r="I20" s="46">
        <f ca="1">(G20-$G$14)/($G$15-$G$14)</f>
        <v>0.16965019892165861</v>
      </c>
      <c r="J20" s="46">
        <f ca="1">_xlfn.NORM.INV(RAND(),$K$11,$K$12)</f>
        <v>0.39668594244673294</v>
      </c>
      <c r="K20" s="46">
        <f ca="1">_xlfn.NORM.INV(RAND(),$K$14+$K$16*($K$15/$K$12)*(J20-$K$11),SQRT((1-$K$16^2)*$K$12))</f>
        <v>0.49650815445804752</v>
      </c>
      <c r="L20" s="12">
        <f ca="1">J20*$M$12+$M$11</f>
        <v>8.1983429712233669</v>
      </c>
      <c r="M20" s="12">
        <f ca="1">K20*$M$15+$M$14</f>
        <v>13.737778540603166</v>
      </c>
      <c r="N20" s="12">
        <f ca="1">IF(M20&lt;0,0,M20)</f>
        <v>13.737778540603166</v>
      </c>
      <c r="O20" s="12">
        <f ca="1">EXP(L20)</f>
        <v>3634.9221436984358</v>
      </c>
      <c r="P20" s="12">
        <f ca="1">LN(O20)</f>
        <v>8.1983429712233669</v>
      </c>
      <c r="Q20" s="67">
        <f ca="1">N20-$O$11</f>
        <v>1.3819330825042719</v>
      </c>
      <c r="R20" s="46">
        <f ca="1">P20-$P$14</f>
        <v>0.15679751978954215</v>
      </c>
      <c r="S20" s="46">
        <f ca="1">Q20*R20</f>
        <v>0.21668367985178658</v>
      </c>
      <c r="T20" s="46">
        <f ca="1">Q20^2</f>
        <v>1.9097390445197588</v>
      </c>
      <c r="U20" s="46">
        <f ca="1">(P20-W20)^2</f>
        <v>1.757507557024105E-4</v>
      </c>
      <c r="V20" s="46">
        <f t="shared" ref="V20:V51" ca="1" si="1">(P20-$P$14)^2</f>
        <v>2.4585462212151861E-2</v>
      </c>
      <c r="W20" s="46">
        <f ca="1">$AC$95+$AA$95*N20</f>
        <v>8.2116000733087553</v>
      </c>
      <c r="X20" s="68">
        <f ca="1">W20-P20</f>
        <v>1.3257102085388439E-2</v>
      </c>
      <c r="Y20" s="46"/>
      <c r="Z20" s="12"/>
      <c r="AA20" s="12"/>
      <c r="AB20" s="12"/>
      <c r="AC20" s="12"/>
      <c r="AD20" s="12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114"/>
      <c r="AP20" s="16">
        <f t="shared" ref="AP20:AY20" ca="1" si="2">AP19+($AM$22-$AM$21)/10</f>
        <v>6.354216689495324</v>
      </c>
      <c r="AQ20" s="17">
        <f t="shared" ca="1" si="2"/>
        <v>8.0496095399738721</v>
      </c>
      <c r="AR20" s="17">
        <f t="shared" ca="1" si="2"/>
        <v>9.7450023904524201</v>
      </c>
      <c r="AS20" s="17">
        <f t="shared" ca="1" si="2"/>
        <v>11.440395240930968</v>
      </c>
      <c r="AT20" s="17">
        <f t="shared" ca="1" si="2"/>
        <v>13.135788091409516</v>
      </c>
      <c r="AU20" s="17">
        <f t="shared" ca="1" si="2"/>
        <v>14.831180941888064</v>
      </c>
      <c r="AV20" s="17">
        <f t="shared" ca="1" si="2"/>
        <v>16.526573792366612</v>
      </c>
      <c r="AW20" s="17">
        <f t="shared" ca="1" si="2"/>
        <v>18.22196664284516</v>
      </c>
      <c r="AX20" s="17">
        <f t="shared" ca="1" si="2"/>
        <v>19.917359493323708</v>
      </c>
      <c r="AY20" s="18">
        <f t="shared" ca="1" si="2"/>
        <v>21.612752343802256</v>
      </c>
      <c r="AZ20" s="38"/>
      <c r="BA20" s="38"/>
      <c r="BB20" s="39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</row>
    <row r="21" spans="1:137" s="9" customFormat="1" x14ac:dyDescent="0.25">
      <c r="A21" s="1"/>
      <c r="B21" s="37"/>
      <c r="C21" s="46">
        <f>C20+0.25</f>
        <v>0.5</v>
      </c>
      <c r="D21" s="46">
        <f t="shared" ref="D21:E52" ca="1" si="3">RAND()</f>
        <v>0.11835936997405128</v>
      </c>
      <c r="E21" s="46">
        <f t="shared" ca="1" si="3"/>
        <v>0.39395786341919592</v>
      </c>
      <c r="F21" s="46">
        <f ca="1">AVERAGE(D20:D25)</f>
        <v>0.38903901830778925</v>
      </c>
      <c r="G21" s="46">
        <f ca="1">AVERAGE(E20:E25)</f>
        <v>0.40053726176136734</v>
      </c>
      <c r="H21" s="46">
        <f t="shared" ref="H21:H84" ca="1" si="4">(F21-$G$11)/($G$12-$G$11)</f>
        <v>0.148260744060805</v>
      </c>
      <c r="I21" s="46">
        <f t="shared" ref="I21:I84" ca="1" si="5">(G21-$G$14)/($G$15-$G$14)</f>
        <v>0.3373017379117787</v>
      </c>
      <c r="J21" s="46">
        <f t="shared" ref="J21:J84" ca="1" si="6">_xlfn.NORM.INV(RAND(),$K$11,$K$12)</f>
        <v>-0.52361982564687992</v>
      </c>
      <c r="K21" s="46">
        <f t="shared" ref="K21:K84" ca="1" si="7">_xlfn.NORM.INV(RAND(),$K$14+$K$16*($K$15/$K$12)*(J21-$K$11),SQRT((1-$K$16^2)*$K$12))</f>
        <v>-0.69550418645143397</v>
      </c>
      <c r="L21" s="12">
        <f t="shared" ref="L21:L84" ca="1" si="8">J21*$M$12+$M$11</f>
        <v>7.7381900871765597</v>
      </c>
      <c r="M21" s="12">
        <f t="shared" ref="M21:M84" ca="1" si="9">K21*$M$15+$M$14</f>
        <v>9.5657353474199809</v>
      </c>
      <c r="N21" s="12">
        <f t="shared" ref="N21:N84" ca="1" si="10">IF(M21&lt;0,0,M21)</f>
        <v>9.5657353474199809</v>
      </c>
      <c r="O21" s="12">
        <f t="shared" ref="O21:O51" ca="1" si="11">EXP(L21)</f>
        <v>2294.3161108616137</v>
      </c>
      <c r="P21" s="12">
        <f t="shared" ref="P21:P84" ca="1" si="12">LN(O21)</f>
        <v>7.7381900871765597</v>
      </c>
      <c r="Q21" s="67">
        <f t="shared" ref="Q21:Q84" ca="1" si="13">N21-$O$11</f>
        <v>-2.7901101106789135</v>
      </c>
      <c r="R21" s="46">
        <f t="shared" ref="R21:R84" ca="1" si="14">P21-$P$14</f>
        <v>-0.30335536425726506</v>
      </c>
      <c r="S21" s="46">
        <f t="shared" ref="S21:S84" ca="1" si="15">Q21*R21</f>
        <v>0.84639486894287996</v>
      </c>
      <c r="T21" s="46">
        <f t="shared" ref="T21:T84" ca="1" si="16">Q21^2</f>
        <v>7.7847144297126984</v>
      </c>
      <c r="U21" s="46">
        <f t="shared" ref="U21:U84" ca="1" si="17">(P21-W21)^2</f>
        <v>1.5986678214902168E-3</v>
      </c>
      <c r="V21" s="46">
        <f t="shared" ca="1" si="1"/>
        <v>9.2024477023657972E-2</v>
      </c>
      <c r="W21" s="46">
        <f ca="1">$AC$95+$AA$95*N21</f>
        <v>7.6982067428755858</v>
      </c>
      <c r="X21" s="68">
        <f t="shared" ref="X21:X84" ca="1" si="18">W21-P21</f>
        <v>-3.9983344300973833E-2</v>
      </c>
      <c r="Y21" s="46"/>
      <c r="Z21" s="12"/>
      <c r="AA21" s="12"/>
      <c r="AB21" s="12"/>
      <c r="AC21" s="12"/>
      <c r="AD21" s="12"/>
      <c r="AE21" s="38"/>
      <c r="AF21" s="38"/>
      <c r="AG21" s="38"/>
      <c r="AH21" s="38"/>
      <c r="AI21" s="38"/>
      <c r="AJ21" s="38"/>
      <c r="AK21" s="38"/>
      <c r="AL21" s="23" t="s">
        <v>13</v>
      </c>
      <c r="AM21" s="19">
        <f ca="1">MIN(N20:N124)</f>
        <v>4.658823839016776</v>
      </c>
      <c r="AN21" s="42" t="s">
        <v>0</v>
      </c>
      <c r="AO21" s="31">
        <f ca="1">MIN(N20:N124)</f>
        <v>4.658823839016776</v>
      </c>
      <c r="AP21" s="14">
        <f ca="1">$AM$21+($AM$22-$AM$21)/20</f>
        <v>5.50652026425605</v>
      </c>
      <c r="AQ21" s="14">
        <f t="shared" ref="AQ21:AY21" ca="1" si="19">AP21+($AM$22-$AM$21)/10</f>
        <v>7.2019131147345981</v>
      </c>
      <c r="AR21" s="14">
        <f t="shared" ca="1" si="19"/>
        <v>8.8973059652131461</v>
      </c>
      <c r="AS21" s="14">
        <f t="shared" ca="1" si="19"/>
        <v>10.592698815691694</v>
      </c>
      <c r="AT21" s="14">
        <f t="shared" ca="1" si="19"/>
        <v>12.288091666170242</v>
      </c>
      <c r="AU21" s="14">
        <f t="shared" ca="1" si="19"/>
        <v>13.98348451664879</v>
      </c>
      <c r="AV21" s="14">
        <f t="shared" ca="1" si="19"/>
        <v>15.678877367127338</v>
      </c>
      <c r="AW21" s="14">
        <f t="shared" ca="1" si="19"/>
        <v>17.374270217605886</v>
      </c>
      <c r="AX21" s="14">
        <f t="shared" ca="1" si="19"/>
        <v>19.069663068084434</v>
      </c>
      <c r="AY21" s="14">
        <f t="shared" ca="1" si="19"/>
        <v>20.765055918562982</v>
      </c>
      <c r="AZ21" s="21">
        <f ca="1">AM22</f>
        <v>21.612752343802256</v>
      </c>
      <c r="BA21" s="38"/>
      <c r="BB21" s="39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</row>
    <row r="22" spans="1:137" s="9" customFormat="1" ht="15.75" thickBot="1" x14ac:dyDescent="0.3">
      <c r="A22" s="1"/>
      <c r="B22" s="37"/>
      <c r="C22" s="46">
        <f t="shared" ref="C22:C85" si="20">C21+0.25</f>
        <v>0.75</v>
      </c>
      <c r="D22" s="46">
        <f t="shared" ca="1" si="3"/>
        <v>0.271172451751029</v>
      </c>
      <c r="E22" s="46">
        <f t="shared" ca="1" si="3"/>
        <v>0.36418936707608063</v>
      </c>
      <c r="F22" s="46">
        <f ca="1">AVERAGE(D20:D26)</f>
        <v>0.41841032039370779</v>
      </c>
      <c r="G22" s="46">
        <f ca="1">AVERAGE(E20:E26)</f>
        <v>0.4359747047872809</v>
      </c>
      <c r="H22" s="46">
        <f t="shared" ca="1" si="4"/>
        <v>0.22464752863183135</v>
      </c>
      <c r="I22" s="46">
        <f t="shared" ca="1" si="5"/>
        <v>0.40523639519166499</v>
      </c>
      <c r="J22" s="46">
        <f t="shared" ca="1" si="6"/>
        <v>-0.27329853559752931</v>
      </c>
      <c r="K22" s="46">
        <f t="shared" ca="1" si="7"/>
        <v>-0.55286279683305561</v>
      </c>
      <c r="L22" s="12">
        <f t="shared" ca="1" si="8"/>
        <v>7.8633507322012353</v>
      </c>
      <c r="M22" s="12">
        <f t="shared" ca="1" si="9"/>
        <v>10.064980211084306</v>
      </c>
      <c r="N22" s="12">
        <f t="shared" ca="1" si="10"/>
        <v>10.064980211084306</v>
      </c>
      <c r="O22" s="12">
        <f t="shared" ca="1" si="11"/>
        <v>2600.2184304731668</v>
      </c>
      <c r="P22" s="12">
        <f t="shared" ca="1" si="12"/>
        <v>7.8633507322012353</v>
      </c>
      <c r="Q22" s="67">
        <f t="shared" ca="1" si="13"/>
        <v>-2.2908652470145885</v>
      </c>
      <c r="R22" s="46">
        <f t="shared" ca="1" si="14"/>
        <v>-0.17819471923258945</v>
      </c>
      <c r="S22" s="46">
        <f t="shared" ca="1" si="15"/>
        <v>0.40822008949146127</v>
      </c>
      <c r="T22" s="46">
        <f t="shared" ca="1" si="16"/>
        <v>5.2480635799792115</v>
      </c>
      <c r="U22" s="46">
        <f t="shared" ca="1" si="17"/>
        <v>1.075557884353818E-2</v>
      </c>
      <c r="V22" s="46">
        <f t="shared" ca="1" si="1"/>
        <v>3.1753357962381386E-2</v>
      </c>
      <c r="W22" s="46">
        <f ca="1">$AC$95+$AA$95*N22</f>
        <v>7.7596416253516525</v>
      </c>
      <c r="X22" s="68">
        <f t="shared" ca="1" si="18"/>
        <v>-0.10370910684958279</v>
      </c>
      <c r="Y22" s="46"/>
      <c r="Z22" s="12"/>
      <c r="AA22" s="12"/>
      <c r="AB22" s="12"/>
      <c r="AC22" s="12"/>
      <c r="AD22" s="12"/>
      <c r="AE22" s="38"/>
      <c r="AF22" s="38"/>
      <c r="AG22" s="38"/>
      <c r="AH22" s="38"/>
      <c r="AI22" s="38"/>
      <c r="AJ22" s="38"/>
      <c r="AK22" s="38"/>
      <c r="AL22" s="24" t="s">
        <v>14</v>
      </c>
      <c r="AM22" s="20">
        <f ca="1">MAX(N20:N124)</f>
        <v>21.612752343802256</v>
      </c>
      <c r="AN22" s="42" t="s">
        <v>24</v>
      </c>
      <c r="AO22" s="32">
        <v>0</v>
      </c>
      <c r="AP22" s="17">
        <f ca="1">COUNTIF($N$20:$N$124,"&lt;"&amp;AP20)/COUNT($N$20:$N$124)</f>
        <v>1.9047619047619049E-2</v>
      </c>
      <c r="AQ22" s="17">
        <f ca="1">(COUNTIF($N$20:$N$124,"&lt;"&amp;AQ20)-AP22)/COUNT(N20:N124)</f>
        <v>9.5056689342403633E-2</v>
      </c>
      <c r="AR22" s="17">
        <f ca="1">(COUNTIF($N$20:$N$124,"&lt;"&amp;AR20)/COUNT($N$20:$N$124))-SUM($AP$22:AQ22)</f>
        <v>9.5419501133786847E-2</v>
      </c>
      <c r="AS22" s="17">
        <f ca="1">(COUNTIF($N$20:$N$124,"&lt;"&amp;AS20)/COUNT($N$20:$N$124))-SUM($AP$22:AR22)</f>
        <v>0.2476190476190476</v>
      </c>
      <c r="AT22" s="17">
        <f ca="1">(COUNTIF($N$20:$N$124,"&lt;"&amp;AT20)/COUNT($N$20:$N$124))-SUM($AP$22:AS22)</f>
        <v>0.14285714285714285</v>
      </c>
      <c r="AU22" s="17">
        <f ca="1">(COUNTIF($N$20:$N$124,"&lt;"&amp;AU20)/COUNT($N$20:$N$124))-SUM($AP$22:AT22)</f>
        <v>0.19047619047619047</v>
      </c>
      <c r="AV22" s="17">
        <f ca="1">(COUNTIF($N$20:$N$124,"&lt;"&amp;AV20)/COUNT($N$20:$N$124))-SUM($AP$22:AU22)</f>
        <v>8.5714285714285743E-2</v>
      </c>
      <c r="AW22" s="17">
        <f ca="1">(COUNTIF($N$20:$N$124,"&lt;"&amp;AW20)/COUNT($N$20:$N$124))-SUM($AP$22:AV22)</f>
        <v>5.7142857142857162E-2</v>
      </c>
      <c r="AX22" s="17">
        <f ca="1">(COUNTIF($N$20:$N$124,"&lt;"&amp;AX20)/COUNT($N$20:$N$124))-SUM($AP$22:AW22)</f>
        <v>4.7619047619047561E-2</v>
      </c>
      <c r="AY22" s="17">
        <f ca="1">(COUNTIF($N$20:$N$124,"&lt;"&amp;AY20)/COUNT($N$20:$N$124))-SUM($AP$22:AX22)</f>
        <v>9.523809523809601E-3</v>
      </c>
      <c r="AZ22" s="22">
        <v>0</v>
      </c>
      <c r="BA22" s="38"/>
      <c r="BB22" s="39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</row>
    <row r="23" spans="1:137" s="9" customFormat="1" ht="15.75" thickBot="1" x14ac:dyDescent="0.3">
      <c r="A23" s="1"/>
      <c r="B23" s="37"/>
      <c r="C23" s="46">
        <f t="shared" si="20"/>
        <v>1</v>
      </c>
      <c r="D23" s="46">
        <f t="shared" ca="1" si="3"/>
        <v>0.60395499166152411</v>
      </c>
      <c r="E23" s="46">
        <f t="shared" ca="1" si="3"/>
        <v>0.29739346234789976</v>
      </c>
      <c r="F23" s="46">
        <f ca="1">AVERAGE(D20:D27)</f>
        <v>0.40801936236189662</v>
      </c>
      <c r="G23" s="46">
        <f ca="1">AVERAGE(E20:E27)</f>
        <v>0.48431145416078603</v>
      </c>
      <c r="H23" s="46">
        <f t="shared" ca="1" si="4"/>
        <v>0.19762346717413132</v>
      </c>
      <c r="I23" s="46">
        <f t="shared" ca="1" si="5"/>
        <v>0.49789941549794386</v>
      </c>
      <c r="J23" s="46">
        <f t="shared" ca="1" si="6"/>
        <v>-1.2259423708044981</v>
      </c>
      <c r="K23" s="46">
        <f t="shared" ca="1" si="7"/>
        <v>-2.0974789031380641</v>
      </c>
      <c r="L23" s="12">
        <f t="shared" ca="1" si="8"/>
        <v>7.387028814597751</v>
      </c>
      <c r="M23" s="12">
        <f t="shared" ca="1" si="9"/>
        <v>4.658823839016776</v>
      </c>
      <c r="N23" s="12">
        <f t="shared" ca="1" si="10"/>
        <v>4.658823839016776</v>
      </c>
      <c r="O23" s="12">
        <f t="shared" ca="1" si="11"/>
        <v>1614.9008080359743</v>
      </c>
      <c r="P23" s="12">
        <f t="shared" ca="1" si="12"/>
        <v>7.387028814597751</v>
      </c>
      <c r="Q23" s="67">
        <f t="shared" ca="1" si="13"/>
        <v>-7.6970216190821183</v>
      </c>
      <c r="R23" s="46">
        <f t="shared" ca="1" si="14"/>
        <v>-0.65451663683607375</v>
      </c>
      <c r="S23" s="46">
        <f t="shared" ca="1" si="15"/>
        <v>5.0378287037761789</v>
      </c>
      <c r="T23" s="46">
        <f t="shared" ca="1" si="16"/>
        <v>59.244141804617513</v>
      </c>
      <c r="U23" s="46">
        <f t="shared" ca="1" si="17"/>
        <v>8.5641138620893606E-2</v>
      </c>
      <c r="V23" s="46">
        <f t="shared" ca="1" si="1"/>
        <v>0.42839202789520486</v>
      </c>
      <c r="W23" s="46">
        <f ca="1">$AC$95+$AA$95*N23</f>
        <v>7.0943837418203444</v>
      </c>
      <c r="X23" s="68">
        <f t="shared" ca="1" si="18"/>
        <v>-0.29264507277740659</v>
      </c>
      <c r="Y23" s="46"/>
      <c r="Z23" s="12"/>
      <c r="AA23" s="12"/>
      <c r="AB23" s="12"/>
      <c r="AC23" s="12"/>
      <c r="AD23" s="12"/>
      <c r="AE23" s="38"/>
      <c r="AF23" s="38"/>
      <c r="AG23" s="38"/>
      <c r="AH23" s="38"/>
      <c r="AI23" s="38"/>
      <c r="AJ23" s="38"/>
      <c r="AK23" s="38"/>
      <c r="AL23" s="38"/>
      <c r="AM23" s="38"/>
      <c r="AN23" s="42" t="s">
        <v>37</v>
      </c>
      <c r="AO23" s="25">
        <f>AO22</f>
        <v>0</v>
      </c>
      <c r="AP23" s="26">
        <f ca="1">AP22+AO23</f>
        <v>1.9047619047619049E-2</v>
      </c>
      <c r="AQ23" s="26">
        <f t="shared" ref="AQ23:AZ23" ca="1" si="21">AQ22+AP23</f>
        <v>0.11410430839002268</v>
      </c>
      <c r="AR23" s="26">
        <f t="shared" ca="1" si="21"/>
        <v>0.20952380952380953</v>
      </c>
      <c r="AS23" s="26">
        <f t="shared" ca="1" si="21"/>
        <v>0.45714285714285713</v>
      </c>
      <c r="AT23" s="26">
        <f t="shared" ca="1" si="21"/>
        <v>0.6</v>
      </c>
      <c r="AU23" s="26">
        <f t="shared" ca="1" si="21"/>
        <v>0.79047619047619044</v>
      </c>
      <c r="AV23" s="26">
        <f t="shared" ca="1" si="21"/>
        <v>0.87619047619047619</v>
      </c>
      <c r="AW23" s="26">
        <f t="shared" ca="1" si="21"/>
        <v>0.93333333333333335</v>
      </c>
      <c r="AX23" s="26">
        <f t="shared" ca="1" si="21"/>
        <v>0.98095238095238091</v>
      </c>
      <c r="AY23" s="26">
        <f t="shared" ca="1" si="21"/>
        <v>0.99047619047619051</v>
      </c>
      <c r="AZ23" s="27">
        <f t="shared" ca="1" si="21"/>
        <v>0.99047619047619051</v>
      </c>
      <c r="BA23" s="38"/>
      <c r="BB23" s="39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</row>
    <row r="24" spans="1:137" s="9" customFormat="1" x14ac:dyDescent="0.25">
      <c r="A24" s="1"/>
      <c r="B24" s="37"/>
      <c r="C24" s="46">
        <f t="shared" si="20"/>
        <v>1.25</v>
      </c>
      <c r="D24" s="46">
        <f t="shared" ca="1" si="3"/>
        <v>0.58241445202574604</v>
      </c>
      <c r="E24" s="46">
        <f t="shared" ca="1" si="3"/>
        <v>0.15115384875916982</v>
      </c>
      <c r="F24" s="46">
        <f ca="1">AVERAGE(D20:D28)</f>
        <v>0.45817255187496603</v>
      </c>
      <c r="G24" s="46">
        <f ca="1">AVERAGE(E20:E28)</f>
        <v>0.47523281468217948</v>
      </c>
      <c r="H24" s="46">
        <f t="shared" ca="1" si="4"/>
        <v>0.32805830018486815</v>
      </c>
      <c r="I24" s="46">
        <f t="shared" ca="1" si="5"/>
        <v>0.48049538719105445</v>
      </c>
      <c r="J24" s="46">
        <f t="shared" ca="1" si="6"/>
        <v>0.31260980647668568</v>
      </c>
      <c r="K24" s="46">
        <f t="shared" ca="1" si="7"/>
        <v>0.31403761226887072</v>
      </c>
      <c r="L24" s="12">
        <f t="shared" ca="1" si="8"/>
        <v>8.1563049032383432</v>
      </c>
      <c r="M24" s="12">
        <f t="shared" ca="1" si="9"/>
        <v>13.099131642941048</v>
      </c>
      <c r="N24" s="12">
        <f t="shared" ca="1" si="10"/>
        <v>13.099131642941048</v>
      </c>
      <c r="O24" s="12">
        <f t="shared" ca="1" si="11"/>
        <v>3485.2843180495424</v>
      </c>
      <c r="P24" s="12">
        <f t="shared" ca="1" si="12"/>
        <v>8.1563049032383432</v>
      </c>
      <c r="Q24" s="67">
        <f t="shared" ca="1" si="13"/>
        <v>0.74328618484215347</v>
      </c>
      <c r="R24" s="46">
        <f t="shared" ca="1" si="14"/>
        <v>0.11475945180451852</v>
      </c>
      <c r="S24" s="46">
        <f t="shared" ca="1" si="15"/>
        <v>8.5299115106357556E-2</v>
      </c>
      <c r="T24" s="46">
        <f t="shared" ca="1" si="16"/>
        <v>0.5524743525772039</v>
      </c>
      <c r="U24" s="46">
        <f t="shared" ca="1" si="17"/>
        <v>5.4260647976873402E-4</v>
      </c>
      <c r="V24" s="46">
        <f t="shared" ca="1" si="1"/>
        <v>1.3169731778473609E-2</v>
      </c>
      <c r="W24" s="46">
        <f ca="1">$AC$95+$AA$95*N24</f>
        <v>8.1330109881580324</v>
      </c>
      <c r="X24" s="68">
        <f t="shared" ca="1" si="18"/>
        <v>-2.3293915080310867E-2</v>
      </c>
      <c r="Y24" s="46"/>
      <c r="Z24" s="12"/>
      <c r="AA24" s="12"/>
      <c r="AB24" s="12"/>
      <c r="AC24" s="12"/>
      <c r="AD24" s="12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47"/>
      <c r="AX24" s="38"/>
      <c r="AY24" s="38"/>
      <c r="AZ24" s="38"/>
      <c r="BA24" s="38"/>
      <c r="BB24" s="39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</row>
    <row r="25" spans="1:137" s="9" customFormat="1" x14ac:dyDescent="0.25">
      <c r="A25" s="1"/>
      <c r="B25" s="37"/>
      <c r="C25" s="46">
        <f t="shared" si="20"/>
        <v>1.5</v>
      </c>
      <c r="D25" s="46">
        <f t="shared" ca="1" si="3"/>
        <v>0.47889259156810293</v>
      </c>
      <c r="E25" s="46">
        <f t="shared" ca="1" si="3"/>
        <v>0.83780610943450684</v>
      </c>
      <c r="F25" s="46">
        <f t="shared" ref="F25:G25" ca="1" si="22">AVERAGE(D21:D29)</f>
        <v>0.47109630875979236</v>
      </c>
      <c r="G25" s="46">
        <f t="shared" ca="1" si="22"/>
        <v>0.53634602671541476</v>
      </c>
      <c r="H25" s="46">
        <f t="shared" ca="1" si="4"/>
        <v>0.36166948399012555</v>
      </c>
      <c r="I25" s="46">
        <f t="shared" ca="1" si="5"/>
        <v>0.59765127543375107</v>
      </c>
      <c r="J25" s="46">
        <f t="shared" ca="1" si="6"/>
        <v>-1.2087734670135459</v>
      </c>
      <c r="K25" s="46">
        <f t="shared" ca="1" si="7"/>
        <v>-1.4172939018870367</v>
      </c>
      <c r="L25" s="12">
        <f t="shared" ca="1" si="8"/>
        <v>7.3956132664932266</v>
      </c>
      <c r="M25" s="12">
        <f t="shared" ca="1" si="9"/>
        <v>7.0394713433953715</v>
      </c>
      <c r="N25" s="12">
        <f t="shared" ca="1" si="10"/>
        <v>7.0394713433953715</v>
      </c>
      <c r="O25" s="12">
        <f t="shared" ca="1" si="11"/>
        <v>1628.8235202650005</v>
      </c>
      <c r="P25" s="12">
        <f t="shared" ca="1" si="12"/>
        <v>7.3956132664932266</v>
      </c>
      <c r="Q25" s="67">
        <f t="shared" ca="1" si="13"/>
        <v>-5.3163741147035228</v>
      </c>
      <c r="R25" s="46">
        <f t="shared" ca="1" si="14"/>
        <v>-0.64593218494059812</v>
      </c>
      <c r="S25" s="46">
        <f t="shared" ca="1" si="15"/>
        <v>3.4340171478720847</v>
      </c>
      <c r="T25" s="46">
        <f t="shared" ca="1" si="16"/>
        <v>28.263833727489665</v>
      </c>
      <c r="U25" s="46">
        <f t="shared" ca="1" si="17"/>
        <v>6.8516806280318165E-5</v>
      </c>
      <c r="V25" s="46">
        <f t="shared" ca="1" si="1"/>
        <v>0.41722838754213504</v>
      </c>
      <c r="W25" s="46">
        <f ca="1">$AC$95+$AA$95*N25</f>
        <v>7.3873357785723464</v>
      </c>
      <c r="X25" s="68">
        <f t="shared" ca="1" si="18"/>
        <v>-8.2774879208802332E-3</v>
      </c>
      <c r="Y25" s="46"/>
      <c r="Z25" s="12"/>
      <c r="AA25" s="12"/>
      <c r="AB25" s="12"/>
      <c r="AC25" s="12"/>
      <c r="AD25" s="12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9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</row>
    <row r="26" spans="1:137" s="9" customFormat="1" x14ac:dyDescent="0.25">
      <c r="A26" s="1"/>
      <c r="B26" s="37"/>
      <c r="C26" s="46">
        <f t="shared" si="20"/>
        <v>1.75</v>
      </c>
      <c r="D26" s="46">
        <f t="shared" ca="1" si="3"/>
        <v>0.59463813290921896</v>
      </c>
      <c r="E26" s="46">
        <f t="shared" ca="1" si="3"/>
        <v>0.64859936294276244</v>
      </c>
      <c r="F26" s="46">
        <f t="shared" ref="F26:G26" ca="1" si="23">AVERAGE(D22:D30)</f>
        <v>0.55741916004555947</v>
      </c>
      <c r="G26" s="46">
        <f t="shared" ca="1" si="23"/>
        <v>0.55828060617902031</v>
      </c>
      <c r="H26" s="46">
        <f t="shared" ca="1" si="4"/>
        <v>0.58617178986113283</v>
      </c>
      <c r="I26" s="46">
        <f t="shared" ca="1" si="5"/>
        <v>0.63970053212952427</v>
      </c>
      <c r="J26" s="46">
        <f t="shared" ca="1" si="6"/>
        <v>0.97076697415748503</v>
      </c>
      <c r="K26" s="46">
        <f t="shared" ca="1" si="7"/>
        <v>1.779419464655541</v>
      </c>
      <c r="L26" s="12">
        <f t="shared" ca="1" si="8"/>
        <v>8.4853834870787423</v>
      </c>
      <c r="M26" s="12">
        <f t="shared" ca="1" si="9"/>
        <v>18.227968126294392</v>
      </c>
      <c r="N26" s="12">
        <f t="shared" ca="1" si="10"/>
        <v>18.227968126294392</v>
      </c>
      <c r="O26" s="12">
        <f t="shared" ca="1" si="11"/>
        <v>4843.4545110898998</v>
      </c>
      <c r="P26" s="12">
        <f t="shared" ca="1" si="12"/>
        <v>8.4853834870787423</v>
      </c>
      <c r="Q26" s="67">
        <f t="shared" ca="1" si="13"/>
        <v>5.8721226681954981</v>
      </c>
      <c r="R26" s="46">
        <f t="shared" ca="1" si="14"/>
        <v>0.44383803564491764</v>
      </c>
      <c r="S26" s="46">
        <f t="shared" ca="1" si="15"/>
        <v>2.6062713901178824</v>
      </c>
      <c r="T26" s="46">
        <f t="shared" ca="1" si="16"/>
        <v>34.481824630335417</v>
      </c>
      <c r="U26" s="46">
        <f t="shared" ca="1" si="17"/>
        <v>7.7706923429837524E-2</v>
      </c>
      <c r="V26" s="46">
        <f t="shared" ca="1" si="1"/>
        <v>0.19699220188513919</v>
      </c>
      <c r="W26" s="46">
        <f ca="1">$AC$95+$AA$95*N26</f>
        <v>8.7641431029305323</v>
      </c>
      <c r="X26" s="68">
        <f t="shared" ca="1" si="18"/>
        <v>0.27875961585178999</v>
      </c>
      <c r="Y26" s="46"/>
      <c r="Z26" s="12"/>
      <c r="AA26" s="12"/>
      <c r="AB26" s="12"/>
      <c r="AC26" s="12"/>
      <c r="AD26" s="12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9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</row>
    <row r="27" spans="1:137" s="9" customFormat="1" x14ac:dyDescent="0.25">
      <c r="A27" s="1"/>
      <c r="B27" s="37"/>
      <c r="C27" s="46">
        <f t="shared" si="20"/>
        <v>2</v>
      </c>
      <c r="D27" s="46">
        <f t="shared" ca="1" si="3"/>
        <v>0.33528265613921848</v>
      </c>
      <c r="E27" s="46">
        <f t="shared" ca="1" si="3"/>
        <v>0.82266869977532187</v>
      </c>
      <c r="F27" s="46">
        <f t="shared" ref="F27:G27" ca="1" si="24">AVERAGE(D23:D31)</f>
        <v>0.53239356936099147</v>
      </c>
      <c r="G27" s="46">
        <f t="shared" ca="1" si="24"/>
        <v>0.59762880262159357</v>
      </c>
      <c r="H27" s="46">
        <f t="shared" ca="1" si="4"/>
        <v>0.52108702110308491</v>
      </c>
      <c r="I27" s="46">
        <f t="shared" ca="1" si="5"/>
        <v>0.7151322227837611</v>
      </c>
      <c r="J27" s="46">
        <f t="shared" ca="1" si="6"/>
        <v>0.58081052439053416</v>
      </c>
      <c r="K27" s="46">
        <f t="shared" ca="1" si="7"/>
        <v>1.2885045986058157</v>
      </c>
      <c r="L27" s="12">
        <f t="shared" ca="1" si="8"/>
        <v>8.290405262195268</v>
      </c>
      <c r="M27" s="12">
        <f t="shared" ca="1" si="9"/>
        <v>16.509766095120355</v>
      </c>
      <c r="N27" s="12">
        <f t="shared" ca="1" si="10"/>
        <v>16.509766095120355</v>
      </c>
      <c r="O27" s="12">
        <f t="shared" ca="1" si="11"/>
        <v>3985.4490191144805</v>
      </c>
      <c r="P27" s="12">
        <f t="shared" ca="1" si="12"/>
        <v>8.290405262195268</v>
      </c>
      <c r="Q27" s="67">
        <f t="shared" ca="1" si="13"/>
        <v>4.1539206370214607</v>
      </c>
      <c r="R27" s="46">
        <f t="shared" ca="1" si="14"/>
        <v>0.24885981076144326</v>
      </c>
      <c r="S27" s="46">
        <f t="shared" ca="1" si="15"/>
        <v>1.0337439036472145</v>
      </c>
      <c r="T27" s="46">
        <f t="shared" ca="1" si="16"/>
        <v>17.255056658672778</v>
      </c>
      <c r="U27" s="46">
        <f t="shared" ca="1" si="17"/>
        <v>6.8803093284198563E-2</v>
      </c>
      <c r="V27" s="46">
        <f t="shared" ca="1" si="1"/>
        <v>6.193120541222135E-2</v>
      </c>
      <c r="W27" s="46">
        <f ca="1">$AC$95+$AA$95*N27</f>
        <v>8.5527086996187958</v>
      </c>
      <c r="X27" s="68">
        <f t="shared" ca="1" si="18"/>
        <v>0.2623034374235278</v>
      </c>
      <c r="Y27" s="46"/>
      <c r="Z27" s="12"/>
      <c r="AA27" s="12"/>
      <c r="AB27" s="12"/>
      <c r="AC27" s="12"/>
      <c r="AD27" s="12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9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</row>
    <row r="28" spans="1:137" s="9" customFormat="1" x14ac:dyDescent="0.25">
      <c r="A28" s="1"/>
      <c r="B28" s="37"/>
      <c r="C28" s="46">
        <f t="shared" si="20"/>
        <v>2.25</v>
      </c>
      <c r="D28" s="46">
        <f t="shared" ca="1" si="3"/>
        <v>0.85939806797952134</v>
      </c>
      <c r="E28" s="46">
        <f t="shared" ca="1" si="3"/>
        <v>0.40260369885332692</v>
      </c>
      <c r="F28" s="46">
        <f t="shared" ref="F28:G28" ca="1" si="25">AVERAGE(D24:D32)</f>
        <v>0.50691795247431815</v>
      </c>
      <c r="G28" s="46">
        <f t="shared" ca="1" si="25"/>
        <v>0.66404897921727946</v>
      </c>
      <c r="H28" s="46">
        <f t="shared" ca="1" si="4"/>
        <v>0.45483185634247025</v>
      </c>
      <c r="I28" s="46">
        <f t="shared" ca="1" si="5"/>
        <v>0.84246172367912431</v>
      </c>
      <c r="J28" s="46">
        <f t="shared" ca="1" si="6"/>
        <v>-0.80402609580385764</v>
      </c>
      <c r="K28" s="46">
        <f t="shared" ca="1" si="7"/>
        <v>-0.65365433125680827</v>
      </c>
      <c r="L28" s="12">
        <f t="shared" ca="1" si="8"/>
        <v>7.5979869520980712</v>
      </c>
      <c r="M28" s="12">
        <f t="shared" ca="1" si="9"/>
        <v>9.7122098406011705</v>
      </c>
      <c r="N28" s="12">
        <f t="shared" ca="1" si="10"/>
        <v>9.7122098406011705</v>
      </c>
      <c r="O28" s="12">
        <f t="shared" ca="1" si="11"/>
        <v>1994.1774770408683</v>
      </c>
      <c r="P28" s="12">
        <f t="shared" ca="1" si="12"/>
        <v>7.5979869520980712</v>
      </c>
      <c r="Q28" s="67">
        <f t="shared" ca="1" si="13"/>
        <v>-2.6436356174977238</v>
      </c>
      <c r="R28" s="46">
        <f t="shared" ca="1" si="14"/>
        <v>-0.44355849933575353</v>
      </c>
      <c r="S28" s="46">
        <f t="shared" ca="1" si="15"/>
        <v>1.1726070472878385</v>
      </c>
      <c r="T28" s="46">
        <f t="shared" ca="1" si="16"/>
        <v>6.988809278102571</v>
      </c>
      <c r="U28" s="46">
        <f t="shared" ca="1" si="17"/>
        <v>1.3981714304822902E-2</v>
      </c>
      <c r="V28" s="46">
        <f t="shared" ca="1" si="1"/>
        <v>0.19674414233298568</v>
      </c>
      <c r="W28" s="46">
        <f ca="1">$AC$95+$AA$95*N28</f>
        <v>7.7162312513467999</v>
      </c>
      <c r="X28" s="68">
        <f t="shared" ca="1" si="18"/>
        <v>0.1182442992487287</v>
      </c>
      <c r="Y28" s="46"/>
      <c r="Z28" s="12"/>
      <c r="AA28" s="12"/>
      <c r="AB28" s="12"/>
      <c r="AC28" s="12"/>
      <c r="AD28" s="12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9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</row>
    <row r="29" spans="1:137" s="9" customFormat="1" x14ac:dyDescent="0.25">
      <c r="A29" s="1"/>
      <c r="B29" s="37"/>
      <c r="C29" s="46">
        <f t="shared" si="20"/>
        <v>2.5</v>
      </c>
      <c r="D29" s="46">
        <f t="shared" ca="1" si="3"/>
        <v>0.39575406482971909</v>
      </c>
      <c r="E29" s="46">
        <f t="shared" ca="1" si="3"/>
        <v>0.90874182783046875</v>
      </c>
      <c r="F29" s="46">
        <f t="shared" ref="F29:G29" ca="1" si="26">AVERAGE(D25:D33)</f>
        <v>0.538242991855582</v>
      </c>
      <c r="G29" s="46">
        <f t="shared" ca="1" si="26"/>
        <v>0.74622726516227333</v>
      </c>
      <c r="H29" s="46">
        <f t="shared" ca="1" si="4"/>
        <v>0.53629978132229972</v>
      </c>
      <c r="I29" s="46">
        <f t="shared" ca="1" si="5"/>
        <v>1</v>
      </c>
      <c r="J29" s="46">
        <f t="shared" ca="1" si="6"/>
        <v>0.14696614287126283</v>
      </c>
      <c r="K29" s="46">
        <f t="shared" ca="1" si="7"/>
        <v>0.41285343618735021</v>
      </c>
      <c r="L29" s="12">
        <f t="shared" ca="1" si="8"/>
        <v>8.073483071435632</v>
      </c>
      <c r="M29" s="12">
        <f t="shared" ca="1" si="9"/>
        <v>13.444987026655726</v>
      </c>
      <c r="N29" s="12">
        <f t="shared" ca="1" si="10"/>
        <v>13.444987026655726</v>
      </c>
      <c r="O29" s="12">
        <f t="shared" ca="1" si="11"/>
        <v>3208.2569789493041</v>
      </c>
      <c r="P29" s="12">
        <f t="shared" ca="1" si="12"/>
        <v>8.073483071435632</v>
      </c>
      <c r="Q29" s="67">
        <f t="shared" ca="1" si="13"/>
        <v>1.0891415685568315</v>
      </c>
      <c r="R29" s="46">
        <f t="shared" ca="1" si="14"/>
        <v>3.1937620001807332E-2</v>
      </c>
      <c r="S29" s="46">
        <f t="shared" ca="1" si="15"/>
        <v>3.4784589544740473E-2</v>
      </c>
      <c r="T29" s="46">
        <f t="shared" ca="1" si="16"/>
        <v>1.1862293563584354</v>
      </c>
      <c r="U29" s="46">
        <f t="shared" ca="1" si="17"/>
        <v>1.0421829642471379E-2</v>
      </c>
      <c r="V29" s="46">
        <f t="shared" ca="1" si="1"/>
        <v>1.0200115713798438E-3</v>
      </c>
      <c r="W29" s="46">
        <f ca="1">$AC$95+$AA$95*N29</f>
        <v>8.1755704342307958</v>
      </c>
      <c r="X29" s="68">
        <f t="shared" ca="1" si="18"/>
        <v>0.10208736279516373</v>
      </c>
      <c r="Y29" s="46"/>
      <c r="Z29" s="12"/>
      <c r="AA29" s="12"/>
      <c r="AB29" s="12"/>
      <c r="AC29" s="12"/>
      <c r="AD29" s="12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9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</row>
    <row r="30" spans="1:137" s="9" customFormat="1" x14ac:dyDescent="0.25">
      <c r="A30" s="1"/>
      <c r="B30" s="37"/>
      <c r="C30" s="46">
        <f t="shared" si="20"/>
        <v>2.75</v>
      </c>
      <c r="D30" s="46">
        <f t="shared" ca="1" si="3"/>
        <v>0.89526503154595549</v>
      </c>
      <c r="E30" s="46">
        <f t="shared" ca="1" si="3"/>
        <v>0.59136907859164645</v>
      </c>
      <c r="F30" s="46">
        <f t="shared" ref="F30:G30" ca="1" si="27">AVERAGE(D26:D34)</f>
        <v>0.57929931819990133</v>
      </c>
      <c r="G30" s="46">
        <f t="shared" ca="1" si="27"/>
        <v>0.72736642703395671</v>
      </c>
      <c r="H30" s="46">
        <f t="shared" ca="1" si="4"/>
        <v>0.64307614236231103</v>
      </c>
      <c r="I30" s="46">
        <f t="shared" ca="1" si="5"/>
        <v>0.96384319903324711</v>
      </c>
      <c r="J30" s="46">
        <f t="shared" ca="1" si="6"/>
        <v>1.0071415457479693</v>
      </c>
      <c r="K30" s="46">
        <f t="shared" ca="1" si="7"/>
        <v>0.49545504083567787</v>
      </c>
      <c r="L30" s="12">
        <f t="shared" ca="1" si="8"/>
        <v>8.5035707728739851</v>
      </c>
      <c r="M30" s="12">
        <f t="shared" ca="1" si="9"/>
        <v>13.734092642924873</v>
      </c>
      <c r="N30" s="12">
        <f t="shared" ca="1" si="10"/>
        <v>13.734092642924873</v>
      </c>
      <c r="O30" s="12">
        <f t="shared" ca="1" si="11"/>
        <v>4932.3497335640586</v>
      </c>
      <c r="P30" s="12">
        <f t="shared" ca="1" si="12"/>
        <v>8.5035707728739851</v>
      </c>
      <c r="Q30" s="67">
        <f t="shared" ca="1" si="13"/>
        <v>1.3782471848259785</v>
      </c>
      <c r="R30" s="46">
        <f t="shared" ca="1" si="14"/>
        <v>0.4620253214401604</v>
      </c>
      <c r="S30" s="46">
        <f t="shared" ca="1" si="15"/>
        <v>0.63678509859321886</v>
      </c>
      <c r="T30" s="46">
        <f t="shared" ca="1" si="16"/>
        <v>1.8995653024807351</v>
      </c>
      <c r="U30" s="46">
        <f t="shared" ca="1" si="17"/>
        <v>8.5511953662559245E-2</v>
      </c>
      <c r="V30" s="46">
        <f t="shared" ca="1" si="1"/>
        <v>0.21346739765188355</v>
      </c>
      <c r="W30" s="46">
        <f ca="1">$AC$95+$AA$95*N30</f>
        <v>8.2111465029124115</v>
      </c>
      <c r="X30" s="68">
        <f t="shared" ca="1" si="18"/>
        <v>-0.29242426996157356</v>
      </c>
      <c r="Y30" s="46"/>
      <c r="Z30" s="12"/>
      <c r="AA30" s="12"/>
      <c r="AB30" s="12"/>
      <c r="AC30" s="12"/>
      <c r="AD30" s="12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9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</row>
    <row r="31" spans="1:137" s="9" customFormat="1" x14ac:dyDescent="0.25">
      <c r="A31" s="1"/>
      <c r="B31" s="37"/>
      <c r="C31" s="46">
        <f t="shared" si="20"/>
        <v>3</v>
      </c>
      <c r="D31" s="46">
        <f t="shared" ca="1" si="3"/>
        <v>4.5942135589916333E-2</v>
      </c>
      <c r="E31" s="46">
        <f t="shared" ca="1" si="3"/>
        <v>0.71832313505923939</v>
      </c>
      <c r="F31" s="46">
        <f t="shared" ref="F31:G31" ca="1" si="28">AVERAGE(D27:D35)</f>
        <v>0.51632341738930732</v>
      </c>
      <c r="G31" s="46">
        <f t="shared" ca="1" si="28"/>
        <v>0.73293683911181495</v>
      </c>
      <c r="H31" s="46">
        <f t="shared" ca="1" si="4"/>
        <v>0.47929291769242222</v>
      </c>
      <c r="I31" s="46">
        <f t="shared" ca="1" si="5"/>
        <v>0.97452184859439939</v>
      </c>
      <c r="J31" s="46">
        <f t="shared" ca="1" si="6"/>
        <v>-0.56028449736653718</v>
      </c>
      <c r="K31" s="46">
        <f t="shared" ca="1" si="7"/>
        <v>-0.52487673174156935</v>
      </c>
      <c r="L31" s="12">
        <f t="shared" ca="1" si="8"/>
        <v>7.7198577513167317</v>
      </c>
      <c r="M31" s="12">
        <f t="shared" ca="1" si="9"/>
        <v>10.162931438904508</v>
      </c>
      <c r="N31" s="12">
        <f t="shared" ca="1" si="10"/>
        <v>10.162931438904508</v>
      </c>
      <c r="O31" s="12">
        <f t="shared" ca="1" si="11"/>
        <v>2252.6391228278189</v>
      </c>
      <c r="P31" s="12">
        <f t="shared" ca="1" si="12"/>
        <v>7.7198577513167317</v>
      </c>
      <c r="Q31" s="67">
        <f t="shared" ca="1" si="13"/>
        <v>-2.1929140191943866</v>
      </c>
      <c r="R31" s="46">
        <f t="shared" ca="1" si="14"/>
        <v>-0.32168770011709302</v>
      </c>
      <c r="S31" s="46">
        <f t="shared" ca="1" si="15"/>
        <v>0.70543346738917301</v>
      </c>
      <c r="T31" s="46">
        <f t="shared" ca="1" si="16"/>
        <v>4.8088718955792782</v>
      </c>
      <c r="U31" s="46">
        <f t="shared" ca="1" si="17"/>
        <v>2.6871079902398213E-3</v>
      </c>
      <c r="V31" s="46">
        <f t="shared" ca="1" si="1"/>
        <v>0.10348297640662477</v>
      </c>
      <c r="W31" s="46">
        <f ca="1">$AC$95+$AA$95*N31</f>
        <v>7.771695073684306</v>
      </c>
      <c r="X31" s="68">
        <f t="shared" ca="1" si="18"/>
        <v>5.1837322367574323E-2</v>
      </c>
      <c r="Y31" s="46"/>
      <c r="Z31" s="12"/>
      <c r="AA31" s="12"/>
      <c r="AB31" s="12"/>
      <c r="AC31" s="12"/>
      <c r="AD31" s="12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9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</row>
    <row r="32" spans="1:137" s="9" customFormat="1" x14ac:dyDescent="0.25">
      <c r="A32" s="1"/>
      <c r="B32" s="37"/>
      <c r="C32" s="46">
        <f t="shared" si="20"/>
        <v>3.25</v>
      </c>
      <c r="D32" s="46">
        <f t="shared" ca="1" si="3"/>
        <v>0.37467443968146497</v>
      </c>
      <c r="E32" s="46">
        <f t="shared" ca="1" si="3"/>
        <v>0.8951750517090723</v>
      </c>
      <c r="F32" s="46">
        <f t="shared" ref="F32:G32" ca="1" si="29">AVERAGE(D28:D36)</f>
        <v>0.5844408815705936</v>
      </c>
      <c r="G32" s="46">
        <f t="shared" ca="1" si="29"/>
        <v>0.70010894509267441</v>
      </c>
      <c r="H32" s="46">
        <f t="shared" ca="1" si="4"/>
        <v>0.65644795313210469</v>
      </c>
      <c r="I32" s="46">
        <f t="shared" ca="1" si="5"/>
        <v>0.9115897762160412</v>
      </c>
      <c r="J32" s="46">
        <f t="shared" ca="1" si="6"/>
        <v>1.6064836691787163</v>
      </c>
      <c r="K32" s="46">
        <f t="shared" ca="1" si="7"/>
        <v>1.2099493101634018</v>
      </c>
      <c r="L32" s="12">
        <f t="shared" ca="1" si="8"/>
        <v>8.8032418345893575</v>
      </c>
      <c r="M32" s="12">
        <f t="shared" ca="1" si="9"/>
        <v>16.234822585571905</v>
      </c>
      <c r="N32" s="12">
        <f t="shared" ca="1" si="10"/>
        <v>16.234822585571905</v>
      </c>
      <c r="O32" s="12">
        <f t="shared" ca="1" si="11"/>
        <v>6655.7860269392231</v>
      </c>
      <c r="P32" s="12">
        <f t="shared" ca="1" si="12"/>
        <v>8.8032418345893575</v>
      </c>
      <c r="Q32" s="67">
        <f t="shared" ca="1" si="13"/>
        <v>3.8789771274730107</v>
      </c>
      <c r="R32" s="46">
        <f t="shared" ca="1" si="14"/>
        <v>0.76169638315553279</v>
      </c>
      <c r="S32" s="46">
        <f t="shared" ca="1" si="15"/>
        <v>2.9546028483392304</v>
      </c>
      <c r="T32" s="46">
        <f t="shared" ca="1" si="16"/>
        <v>15.04646355545877</v>
      </c>
      <c r="U32" s="46">
        <f t="shared" ca="1" si="17"/>
        <v>8.0864293204790771E-2</v>
      </c>
      <c r="V32" s="46">
        <f t="shared" ca="1" si="1"/>
        <v>0.5801813801122202</v>
      </c>
      <c r="W32" s="46">
        <f ca="1">$AC$95+$AA$95*N32</f>
        <v>8.5188753576537124</v>
      </c>
      <c r="X32" s="68">
        <f t="shared" ca="1" si="18"/>
        <v>-0.2843664769356451</v>
      </c>
      <c r="Y32" s="46"/>
      <c r="Z32" s="12"/>
      <c r="AA32" s="12"/>
      <c r="AB32" s="12"/>
      <c r="AC32" s="12"/>
      <c r="AD32" s="12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9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</row>
    <row r="33" spans="1:137" s="9" customFormat="1" x14ac:dyDescent="0.25">
      <c r="A33" s="1"/>
      <c r="B33" s="37"/>
      <c r="C33" s="46">
        <f t="shared" si="20"/>
        <v>3.5</v>
      </c>
      <c r="D33" s="46">
        <f t="shared" ca="1" si="3"/>
        <v>0.86433980645712094</v>
      </c>
      <c r="E33" s="46">
        <f t="shared" ca="1" si="3"/>
        <v>0.89075842226411528</v>
      </c>
      <c r="F33" s="46">
        <f t="shared" ref="F33:G33" ca="1" si="30">AVERAGE(D29:D37)</f>
        <v>0.52500446803807943</v>
      </c>
      <c r="G33" s="46">
        <f t="shared" ca="1" si="30"/>
        <v>0.66360812969340754</v>
      </c>
      <c r="H33" s="46">
        <f t="shared" ca="1" si="4"/>
        <v>0.50186997416128887</v>
      </c>
      <c r="I33" s="46">
        <f t="shared" ca="1" si="5"/>
        <v>0.84161660171887631</v>
      </c>
      <c r="J33" s="46">
        <f t="shared" ca="1" si="6"/>
        <v>-1.2158335331408328</v>
      </c>
      <c r="K33" s="46">
        <f t="shared" ca="1" si="7"/>
        <v>-0.27061294364014954</v>
      </c>
      <c r="L33" s="12">
        <f t="shared" ca="1" si="8"/>
        <v>7.3920832334295836</v>
      </c>
      <c r="M33" s="12">
        <f t="shared" ca="1" si="9"/>
        <v>11.052854697259477</v>
      </c>
      <c r="N33" s="12">
        <f t="shared" ca="1" si="10"/>
        <v>11.052854697259477</v>
      </c>
      <c r="O33" s="12">
        <f t="shared" ca="1" si="11"/>
        <v>1623.0838559462611</v>
      </c>
      <c r="P33" s="12">
        <f t="shared" ca="1" si="12"/>
        <v>7.3920832334295836</v>
      </c>
      <c r="Q33" s="67">
        <f t="shared" ca="1" si="13"/>
        <v>-1.3029907608394176</v>
      </c>
      <c r="R33" s="46">
        <f t="shared" ca="1" si="14"/>
        <v>-0.64946221800424109</v>
      </c>
      <c r="S33" s="46">
        <f t="shared" ca="1" si="15"/>
        <v>0.8462432695738018</v>
      </c>
      <c r="T33" s="46">
        <f t="shared" ca="1" si="16"/>
        <v>1.6977849228328843</v>
      </c>
      <c r="U33" s="46">
        <f t="shared" ca="1" si="17"/>
        <v>0.23924022510886428</v>
      </c>
      <c r="V33" s="46">
        <f t="shared" ca="1" si="1"/>
        <v>0.4218011726149884</v>
      </c>
      <c r="W33" s="46">
        <f ca="1">$AC$95+$AA$95*N33</f>
        <v>7.8812051253020128</v>
      </c>
      <c r="X33" s="68">
        <f t="shared" ca="1" si="18"/>
        <v>0.48912189187242916</v>
      </c>
      <c r="Y33" s="46"/>
      <c r="Z33" s="12"/>
      <c r="AA33" s="12"/>
      <c r="AB33" s="12"/>
      <c r="AC33" s="12"/>
      <c r="AD33" s="12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9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</row>
    <row r="34" spans="1:137" s="9" customFormat="1" x14ac:dyDescent="0.25">
      <c r="A34" s="1"/>
      <c r="B34" s="37"/>
      <c r="C34" s="46">
        <f t="shared" si="20"/>
        <v>3.75</v>
      </c>
      <c r="D34" s="46">
        <f t="shared" ca="1" si="3"/>
        <v>0.84839952866697521</v>
      </c>
      <c r="E34" s="46">
        <f t="shared" ca="1" si="3"/>
        <v>0.66805856627965732</v>
      </c>
      <c r="F34" s="46">
        <f t="shared" ref="F34:G34" ca="1" si="31">AVERAGE(D30:D38)</f>
        <v>0.56728970534956835</v>
      </c>
      <c r="G34" s="46">
        <f t="shared" ca="1" si="31"/>
        <v>0.62813795274705997</v>
      </c>
      <c r="H34" s="46">
        <f t="shared" ca="1" si="4"/>
        <v>0.6118423990677081</v>
      </c>
      <c r="I34" s="46">
        <f t="shared" ca="1" si="5"/>
        <v>0.77361919251683564</v>
      </c>
      <c r="J34" s="46">
        <f t="shared" ca="1" si="6"/>
        <v>2.468748227424796</v>
      </c>
      <c r="K34" s="46">
        <f t="shared" ca="1" si="7"/>
        <v>2.7465006696577872</v>
      </c>
      <c r="L34" s="12">
        <f t="shared" ca="1" si="8"/>
        <v>9.2343741137123985</v>
      </c>
      <c r="M34" s="12">
        <f t="shared" ca="1" si="9"/>
        <v>21.612752343802256</v>
      </c>
      <c r="N34" s="12">
        <f t="shared" ca="1" si="10"/>
        <v>21.612752343802256</v>
      </c>
      <c r="O34" s="12">
        <f t="shared" ca="1" si="11"/>
        <v>10243.248798074224</v>
      </c>
      <c r="P34" s="12">
        <f t="shared" ca="1" si="12"/>
        <v>9.2343741137123985</v>
      </c>
      <c r="Q34" s="67">
        <f t="shared" ca="1" si="13"/>
        <v>9.2569068857033621</v>
      </c>
      <c r="R34" s="46">
        <f t="shared" ca="1" si="14"/>
        <v>1.1928286622785738</v>
      </c>
      <c r="S34" s="46">
        <f t="shared" ca="1" si="15"/>
        <v>11.04190385731086</v>
      </c>
      <c r="T34" s="46">
        <f t="shared" ca="1" si="16"/>
        <v>85.69032509058232</v>
      </c>
      <c r="U34" s="46">
        <f t="shared" ca="1" si="17"/>
        <v>2.8852277198605654E-3</v>
      </c>
      <c r="V34" s="46">
        <f t="shared" ca="1" si="1"/>
        <v>1.4228402175532917</v>
      </c>
      <c r="W34" s="46">
        <f ca="1">$AC$95+$AA$95*N34</f>
        <v>9.18065979793103</v>
      </c>
      <c r="X34" s="68">
        <f t="shared" ca="1" si="18"/>
        <v>-5.3714315781368427E-2</v>
      </c>
      <c r="Y34" s="46"/>
      <c r="Z34" s="12"/>
      <c r="AA34" s="12"/>
      <c r="AB34" s="12"/>
      <c r="AC34" s="12"/>
      <c r="AD34" s="12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</row>
    <row r="35" spans="1:137" s="9" customFormat="1" x14ac:dyDescent="0.25">
      <c r="A35" s="1"/>
      <c r="B35" s="37"/>
      <c r="C35" s="46">
        <f t="shared" si="20"/>
        <v>4</v>
      </c>
      <c r="D35" s="46">
        <f t="shared" ca="1" si="3"/>
        <v>2.7855025613873097E-2</v>
      </c>
      <c r="E35" s="46">
        <f t="shared" ca="1" si="3"/>
        <v>0.69873307164348653</v>
      </c>
      <c r="F35" s="46">
        <f t="shared" ref="F35:G35" ca="1" si="32">AVERAGE(D31:D39)</f>
        <v>0.57629690944840917</v>
      </c>
      <c r="G35" s="46">
        <f t="shared" ca="1" si="32"/>
        <v>0.57894642930988249</v>
      </c>
      <c r="H35" s="46">
        <f t="shared" ca="1" si="4"/>
        <v>0.63526769213346157</v>
      </c>
      <c r="I35" s="46">
        <f t="shared" ca="1" si="5"/>
        <v>0.67931754430433755</v>
      </c>
      <c r="J35" s="46">
        <f t="shared" ca="1" si="6"/>
        <v>0.34924296473573085</v>
      </c>
      <c r="K35" s="46">
        <f t="shared" ca="1" si="7"/>
        <v>0.40577377861297187</v>
      </c>
      <c r="L35" s="12">
        <f t="shared" ca="1" si="8"/>
        <v>8.1746214823678649</v>
      </c>
      <c r="M35" s="12">
        <f t="shared" ca="1" si="9"/>
        <v>13.420208225145402</v>
      </c>
      <c r="N35" s="12">
        <f t="shared" ca="1" si="10"/>
        <v>13.420208225145402</v>
      </c>
      <c r="O35" s="12">
        <f t="shared" ca="1" si="11"/>
        <v>3549.7110414001213</v>
      </c>
      <c r="P35" s="12">
        <f t="shared" ca="1" si="12"/>
        <v>8.1746214823678649</v>
      </c>
      <c r="Q35" s="67">
        <f t="shared" ca="1" si="13"/>
        <v>1.0643627670465072</v>
      </c>
      <c r="R35" s="46">
        <f t="shared" ca="1" si="14"/>
        <v>0.13307603093404019</v>
      </c>
      <c r="S35" s="46">
        <f t="shared" ca="1" si="15"/>
        <v>0.14164117251252162</v>
      </c>
      <c r="T35" s="46">
        <f t="shared" ca="1" si="16"/>
        <v>1.1328680998748974</v>
      </c>
      <c r="U35" s="46">
        <f t="shared" ca="1" si="17"/>
        <v>4.4109187283772674E-6</v>
      </c>
      <c r="V35" s="46">
        <f t="shared" ca="1" si="1"/>
        <v>1.7709230009157622E-2</v>
      </c>
      <c r="W35" s="46">
        <f ca="1">$AC$95+$AA$95*N35</f>
        <v>8.1725212636344047</v>
      </c>
      <c r="X35" s="68">
        <f t="shared" ca="1" si="18"/>
        <v>-2.100218733460224E-3</v>
      </c>
      <c r="Y35" s="46"/>
      <c r="Z35" s="12"/>
      <c r="AA35" s="12"/>
      <c r="AB35" s="12"/>
      <c r="AC35" s="12"/>
      <c r="AD35" s="12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</row>
    <row r="36" spans="1:137" s="9" customFormat="1" x14ac:dyDescent="0.25">
      <c r="A36" s="1"/>
      <c r="B36" s="37"/>
      <c r="C36" s="46">
        <f t="shared" si="20"/>
        <v>4.25</v>
      </c>
      <c r="D36" s="46">
        <f t="shared" ca="1" si="3"/>
        <v>0.948339833770795</v>
      </c>
      <c r="E36" s="46">
        <f t="shared" ca="1" si="3"/>
        <v>0.52721765360305661</v>
      </c>
      <c r="F36" s="46">
        <f t="shared" ref="F36:G36" ca="1" si="33">AVERAGE(D32:D40)</f>
        <v>0.66400370047401747</v>
      </c>
      <c r="G36" s="46">
        <f t="shared" ca="1" si="33"/>
        <v>0.50070427394729311</v>
      </c>
      <c r="H36" s="46">
        <f t="shared" ca="1" si="4"/>
        <v>0.86336924962965356</v>
      </c>
      <c r="I36" s="46">
        <f t="shared" ca="1" si="5"/>
        <v>0.52932495015722925</v>
      </c>
      <c r="J36" s="46">
        <f t="shared" ca="1" si="6"/>
        <v>-0.89457213329165775</v>
      </c>
      <c r="K36" s="46">
        <f t="shared" ca="1" si="7"/>
        <v>-0.49594082560943464</v>
      </c>
      <c r="L36" s="12">
        <f t="shared" ca="1" si="8"/>
        <v>7.5527139333541715</v>
      </c>
      <c r="M36" s="12">
        <f t="shared" ca="1" si="9"/>
        <v>10.264207110366979</v>
      </c>
      <c r="N36" s="12">
        <f t="shared" ca="1" si="10"/>
        <v>10.264207110366979</v>
      </c>
      <c r="O36" s="12">
        <f t="shared" ca="1" si="11"/>
        <v>1905.9082266703861</v>
      </c>
      <c r="P36" s="12">
        <f t="shared" ca="1" si="12"/>
        <v>7.5527139333541715</v>
      </c>
      <c r="Q36" s="67">
        <f t="shared" ca="1" si="13"/>
        <v>-2.0916383477319158</v>
      </c>
      <c r="R36" s="46">
        <f t="shared" ca="1" si="14"/>
        <v>-0.48883151807965319</v>
      </c>
      <c r="S36" s="46">
        <f t="shared" ca="1" si="15"/>
        <v>1.02245874879541</v>
      </c>
      <c r="T36" s="46">
        <f t="shared" ca="1" si="16"/>
        <v>4.3749509777026985</v>
      </c>
      <c r="U36" s="46">
        <f t="shared" ca="1" si="17"/>
        <v>5.3566177063482427E-2</v>
      </c>
      <c r="V36" s="46">
        <f t="shared" ca="1" si="1"/>
        <v>0.23895625306805832</v>
      </c>
      <c r="W36" s="46">
        <f ca="1">$AC$95+$AA$95*N36</f>
        <v>7.7841576134655162</v>
      </c>
      <c r="X36" s="68">
        <f t="shared" ca="1" si="18"/>
        <v>0.23144368011134464</v>
      </c>
      <c r="Y36" s="46"/>
      <c r="Z36" s="12"/>
      <c r="AA36" s="12"/>
      <c r="AB36" s="12"/>
      <c r="AC36" s="12"/>
      <c r="AD36" s="12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9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</row>
    <row r="37" spans="1:137" s="9" customFormat="1" x14ac:dyDescent="0.25">
      <c r="A37" s="1"/>
      <c r="B37" s="37"/>
      <c r="C37" s="46">
        <f t="shared" si="20"/>
        <v>4.5</v>
      </c>
      <c r="D37" s="46">
        <f t="shared" ca="1" si="3"/>
        <v>0.32447034618689519</v>
      </c>
      <c r="E37" s="46">
        <f t="shared" ca="1" si="3"/>
        <v>7.409636025992461E-2</v>
      </c>
      <c r="F37" s="46">
        <f t="shared" ref="F37:G37" ca="1" si="34">AVERAGE(D33:D41)</f>
        <v>0.64772819229662348</v>
      </c>
      <c r="G37" s="46">
        <f t="shared" ca="1" si="34"/>
        <v>0.40788738952981674</v>
      </c>
      <c r="H37" s="46">
        <f t="shared" ca="1" si="4"/>
        <v>0.82104107046708874</v>
      </c>
      <c r="I37" s="46">
        <f t="shared" ca="1" si="5"/>
        <v>0.35139215664057505</v>
      </c>
      <c r="J37" s="46">
        <f t="shared" ca="1" si="6"/>
        <v>0.81372890934616304</v>
      </c>
      <c r="K37" s="46">
        <f t="shared" ca="1" si="7"/>
        <v>0.87224662441879219</v>
      </c>
      <c r="L37" s="12">
        <f t="shared" ca="1" si="8"/>
        <v>8.406864454673082</v>
      </c>
      <c r="M37" s="12">
        <f t="shared" ca="1" si="9"/>
        <v>15.052863185465773</v>
      </c>
      <c r="N37" s="12">
        <f t="shared" ca="1" si="10"/>
        <v>15.052863185465773</v>
      </c>
      <c r="O37" s="12">
        <f t="shared" ca="1" si="11"/>
        <v>4477.6984505030623</v>
      </c>
      <c r="P37" s="12">
        <f t="shared" ca="1" si="12"/>
        <v>8.406864454673082</v>
      </c>
      <c r="Q37" s="67">
        <f t="shared" ca="1" si="13"/>
        <v>2.6970177273668785</v>
      </c>
      <c r="R37" s="46">
        <f t="shared" ca="1" si="14"/>
        <v>0.36531900323925726</v>
      </c>
      <c r="S37" s="46">
        <f t="shared" ca="1" si="15"/>
        <v>0.9852718278802749</v>
      </c>
      <c r="T37" s="46">
        <f t="shared" ca="1" si="16"/>
        <v>7.2739046217312024</v>
      </c>
      <c r="U37" s="46">
        <f t="shared" ca="1" si="17"/>
        <v>1.1179550572503493E-3</v>
      </c>
      <c r="V37" s="46">
        <f t="shared" ca="1" si="1"/>
        <v>0.13345797412772445</v>
      </c>
      <c r="W37" s="46">
        <f ca="1">$AC$95+$AA$95*N37</f>
        <v>8.3734286197463099</v>
      </c>
      <c r="X37" s="68">
        <f t="shared" ca="1" si="18"/>
        <v>-3.3435834926772046E-2</v>
      </c>
      <c r="Y37" s="46"/>
      <c r="Z37" s="12"/>
      <c r="AA37" s="12"/>
      <c r="AB37" s="12"/>
      <c r="AC37" s="12"/>
      <c r="AD37" s="12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9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</row>
    <row r="38" spans="1:137" s="9" customFormat="1" x14ac:dyDescent="0.25">
      <c r="A38" s="1"/>
      <c r="B38" s="37"/>
      <c r="C38" s="46">
        <f t="shared" si="20"/>
        <v>4.75</v>
      </c>
      <c r="D38" s="46">
        <f t="shared" ca="1" si="3"/>
        <v>0.77632120063311949</v>
      </c>
      <c r="E38" s="46">
        <f t="shared" ca="1" si="3"/>
        <v>0.58951023531334068</v>
      </c>
      <c r="F38" s="46">
        <f t="shared" ref="F38:G38" ca="1" si="35">AVERAGE(D34:D42)</f>
        <v>0.5606227840832595</v>
      </c>
      <c r="G38" s="46">
        <f t="shared" ca="1" si="35"/>
        <v>0.3884571028316931</v>
      </c>
      <c r="H38" s="46">
        <f t="shared" ca="1" si="4"/>
        <v>0.59450354643421577</v>
      </c>
      <c r="I38" s="46">
        <f t="shared" ca="1" si="5"/>
        <v>0.31414370542693298</v>
      </c>
      <c r="J38" s="46">
        <f t="shared" ca="1" si="6"/>
        <v>0.88455171420332279</v>
      </c>
      <c r="K38" s="46">
        <f t="shared" ca="1" si="7"/>
        <v>0.33956688724916728</v>
      </c>
      <c r="L38" s="12">
        <f t="shared" ca="1" si="8"/>
        <v>8.4422758571016612</v>
      </c>
      <c r="M38" s="12">
        <f t="shared" ca="1" si="9"/>
        <v>13.188484105372085</v>
      </c>
      <c r="N38" s="12">
        <f t="shared" ca="1" si="10"/>
        <v>13.188484105372085</v>
      </c>
      <c r="O38" s="12">
        <f t="shared" ca="1" si="11"/>
        <v>4639.1009102487806</v>
      </c>
      <c r="P38" s="12">
        <f t="shared" ca="1" si="12"/>
        <v>8.4422758571016612</v>
      </c>
      <c r="Q38" s="67">
        <f t="shared" ca="1" si="13"/>
        <v>0.83263864727319081</v>
      </c>
      <c r="R38" s="46">
        <f t="shared" ca="1" si="14"/>
        <v>0.40073040566783646</v>
      </c>
      <c r="S38" s="46">
        <f t="shared" ca="1" si="15"/>
        <v>0.33366362289650436</v>
      </c>
      <c r="T38" s="46">
        <f t="shared" ca="1" si="16"/>
        <v>0.6932871169329291</v>
      </c>
      <c r="U38" s="46">
        <f t="shared" ca="1" si="17"/>
        <v>8.8964722639259447E-2</v>
      </c>
      <c r="V38" s="46">
        <f t="shared" ca="1" si="1"/>
        <v>0.16058485802670877</v>
      </c>
      <c r="W38" s="46">
        <f ca="1">$AC$95+$AA$95*N38</f>
        <v>8.1440063101491447</v>
      </c>
      <c r="X38" s="68">
        <f t="shared" ca="1" si="18"/>
        <v>-0.29826954695251651</v>
      </c>
      <c r="Y38" s="46"/>
      <c r="Z38" s="12"/>
      <c r="AA38" s="12"/>
      <c r="AB38" s="12"/>
      <c r="AC38" s="12"/>
      <c r="AD38" s="12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9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</row>
    <row r="39" spans="1:137" s="9" customFormat="1" x14ac:dyDescent="0.25">
      <c r="A39" s="1"/>
      <c r="B39" s="37"/>
      <c r="C39" s="46">
        <f t="shared" si="20"/>
        <v>5</v>
      </c>
      <c r="D39" s="46">
        <f t="shared" ca="1" si="3"/>
        <v>0.97632986843552272</v>
      </c>
      <c r="E39" s="46">
        <f t="shared" ca="1" si="3"/>
        <v>0.14864536765704872</v>
      </c>
      <c r="F39" s="46">
        <f t="shared" ref="F39:G39" ca="1" si="36">AVERAGE(D35:D43)</f>
        <v>0.5349820262899132</v>
      </c>
      <c r="G39" s="46">
        <f t="shared" ca="1" si="36"/>
        <v>0.3308104637167591</v>
      </c>
      <c r="H39" s="46">
        <f t="shared" ca="1" si="4"/>
        <v>0.5278188949989896</v>
      </c>
      <c r="I39" s="46">
        <f t="shared" ca="1" si="5"/>
        <v>0.2036333430188266</v>
      </c>
      <c r="J39" s="46">
        <f t="shared" ca="1" si="6"/>
        <v>-0.22449486333561949</v>
      </c>
      <c r="K39" s="46">
        <f t="shared" ca="1" si="7"/>
        <v>-0.46973365733645894</v>
      </c>
      <c r="L39" s="12">
        <f t="shared" ca="1" si="8"/>
        <v>7.8877525683321901</v>
      </c>
      <c r="M39" s="12">
        <f t="shared" ca="1" si="9"/>
        <v>10.355932199322394</v>
      </c>
      <c r="N39" s="12">
        <f t="shared" ca="1" si="10"/>
        <v>10.355932199322394</v>
      </c>
      <c r="O39" s="12">
        <f t="shared" ca="1" si="11"/>
        <v>2664.449019531035</v>
      </c>
      <c r="P39" s="12">
        <f t="shared" ca="1" si="12"/>
        <v>7.8877525683321901</v>
      </c>
      <c r="Q39" s="67">
        <f t="shared" ca="1" si="13"/>
        <v>-1.9999132587765001</v>
      </c>
      <c r="R39" s="46">
        <f t="shared" ca="1" si="14"/>
        <v>-0.15379288310163464</v>
      </c>
      <c r="S39" s="46">
        <f t="shared" ca="1" si="15"/>
        <v>0.30757242602042345</v>
      </c>
      <c r="T39" s="46">
        <f t="shared" ca="1" si="16"/>
        <v>3.9996530426300403</v>
      </c>
      <c r="U39" s="46">
        <f t="shared" ca="1" si="17"/>
        <v>8.5207055467521591E-3</v>
      </c>
      <c r="V39" s="46">
        <f t="shared" ca="1" si="1"/>
        <v>2.3652250892713056E-2</v>
      </c>
      <c r="W39" s="46">
        <f ca="1">$AC$95+$AA$95*N39</f>
        <v>7.795444900466773</v>
      </c>
      <c r="X39" s="68">
        <f t="shared" ca="1" si="18"/>
        <v>-9.2307667865417109E-2</v>
      </c>
      <c r="Y39" s="46"/>
      <c r="Z39" s="12"/>
      <c r="AA39" s="12"/>
      <c r="AB39" s="12"/>
      <c r="AC39" s="12"/>
      <c r="AD39" s="12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9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</row>
    <row r="40" spans="1:137" s="9" customFormat="1" ht="15.75" thickBot="1" x14ac:dyDescent="0.3">
      <c r="A40" s="1"/>
      <c r="B40" s="37"/>
      <c r="C40" s="46">
        <f t="shared" si="20"/>
        <v>5.25</v>
      </c>
      <c r="D40" s="46">
        <f t="shared" ca="1" si="3"/>
        <v>0.83530325482039081</v>
      </c>
      <c r="E40" s="46">
        <f t="shared" ca="1" si="3"/>
        <v>1.4143736795936279E-2</v>
      </c>
      <c r="F40" s="46">
        <f t="shared" ref="F40:G40" ca="1" si="37">AVERAGE(D36:D44)</f>
        <v>0.58725088270291503</v>
      </c>
      <c r="G40" s="46">
        <f t="shared" ca="1" si="37"/>
        <v>0.30682224545082309</v>
      </c>
      <c r="H40" s="46">
        <f t="shared" ca="1" si="4"/>
        <v>0.66375600336804874</v>
      </c>
      <c r="I40" s="46">
        <f t="shared" ca="1" si="5"/>
        <v>0.15764719820979495</v>
      </c>
      <c r="J40" s="46">
        <f t="shared" ca="1" si="6"/>
        <v>-1.0321688866943097</v>
      </c>
      <c r="K40" s="46">
        <f t="shared" ca="1" si="7"/>
        <v>-1.4901516850259204</v>
      </c>
      <c r="L40" s="12">
        <f t="shared" ca="1" si="8"/>
        <v>7.4839155566528452</v>
      </c>
      <c r="M40" s="12">
        <f t="shared" ca="1" si="9"/>
        <v>6.7844691024092789</v>
      </c>
      <c r="N40" s="12">
        <f t="shared" ca="1" si="10"/>
        <v>6.7844691024092789</v>
      </c>
      <c r="O40" s="12">
        <f t="shared" ca="1" si="11"/>
        <v>1779.1936884710335</v>
      </c>
      <c r="P40" s="12">
        <f t="shared" ca="1" si="12"/>
        <v>7.4839155566528452</v>
      </c>
      <c r="Q40" s="67">
        <f t="shared" ca="1" si="13"/>
        <v>-5.5713763556896154</v>
      </c>
      <c r="R40" s="46">
        <f t="shared" ca="1" si="14"/>
        <v>-0.55762989478097946</v>
      </c>
      <c r="S40" s="46">
        <f t="shared" ca="1" si="15"/>
        <v>3.1067660110084372</v>
      </c>
      <c r="T40" s="46">
        <f t="shared" ca="1" si="16"/>
        <v>31.040234496737302</v>
      </c>
      <c r="U40" s="46">
        <f t="shared" ca="1" si="17"/>
        <v>1.6373565829206512E-2</v>
      </c>
      <c r="V40" s="46">
        <f t="shared" ca="1" si="1"/>
        <v>0.31095109955344624</v>
      </c>
      <c r="W40" s="46">
        <f ca="1">$AC$95+$AA$95*N40</f>
        <v>7.3559563216238466</v>
      </c>
      <c r="X40" s="68">
        <f t="shared" ca="1" si="18"/>
        <v>-0.12795923502899864</v>
      </c>
      <c r="Y40" s="46"/>
      <c r="Z40" s="12"/>
      <c r="AA40" s="12"/>
      <c r="AB40" s="12"/>
      <c r="AC40" s="12"/>
      <c r="AD40" s="12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9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</row>
    <row r="41" spans="1:137" s="9" customFormat="1" x14ac:dyDescent="0.25">
      <c r="A41" s="1"/>
      <c r="B41" s="37"/>
      <c r="C41" s="46">
        <f t="shared" si="20"/>
        <v>5.5</v>
      </c>
      <c r="D41" s="46">
        <f t="shared" ca="1" si="3"/>
        <v>0.22819486608491946</v>
      </c>
      <c r="E41" s="46">
        <f t="shared" ca="1" si="3"/>
        <v>5.9823091951785257E-2</v>
      </c>
      <c r="F41" s="46">
        <f t="shared" ref="F41:G41" ca="1" si="38">AVERAGE(D37:D45)</f>
        <v>0.5784543156058608</v>
      </c>
      <c r="G41" s="46">
        <f t="shared" ca="1" si="38"/>
        <v>0.25854106135735855</v>
      </c>
      <c r="H41" s="46">
        <f t="shared" ca="1" si="4"/>
        <v>0.64087851997144407</v>
      </c>
      <c r="I41" s="46">
        <f t="shared" ca="1" si="5"/>
        <v>6.5090698237205438E-2</v>
      </c>
      <c r="J41" s="46">
        <f t="shared" ca="1" si="6"/>
        <v>-0.44762352373765341</v>
      </c>
      <c r="K41" s="46">
        <f t="shared" ca="1" si="7"/>
        <v>-0.73229233710071062</v>
      </c>
      <c r="L41" s="12">
        <f t="shared" ca="1" si="8"/>
        <v>7.7761882381311729</v>
      </c>
      <c r="M41" s="12">
        <f t="shared" ca="1" si="9"/>
        <v>9.4369768201475139</v>
      </c>
      <c r="N41" s="12">
        <f t="shared" ca="1" si="10"/>
        <v>9.4369768201475139</v>
      </c>
      <c r="O41" s="12">
        <f t="shared" ca="1" si="11"/>
        <v>2383.1733958484365</v>
      </c>
      <c r="P41" s="12">
        <f t="shared" ca="1" si="12"/>
        <v>7.7761882381311729</v>
      </c>
      <c r="Q41" s="67">
        <f t="shared" ca="1" si="13"/>
        <v>-2.9188686379513804</v>
      </c>
      <c r="R41" s="46">
        <f t="shared" ca="1" si="14"/>
        <v>-0.26535721330265183</v>
      </c>
      <c r="S41" s="46">
        <f t="shared" ca="1" si="15"/>
        <v>0.7745428477632853</v>
      </c>
      <c r="T41" s="46">
        <f t="shared" ca="1" si="16"/>
        <v>8.519794125616146</v>
      </c>
      <c r="U41" s="46">
        <f t="shared" ca="1" si="17"/>
        <v>8.8033097737180589E-3</v>
      </c>
      <c r="V41" s="46">
        <f t="shared" ca="1" si="1"/>
        <v>7.0414450651749061E-2</v>
      </c>
      <c r="W41" s="46">
        <f ca="1">$AC$95+$AA$95*N41</f>
        <v>7.6823622834399572</v>
      </c>
      <c r="X41" s="68">
        <f t="shared" ca="1" si="18"/>
        <v>-9.3825954691215685E-2</v>
      </c>
      <c r="Y41" s="46"/>
      <c r="Z41" s="12"/>
      <c r="AA41" s="12"/>
      <c r="AB41" s="12"/>
      <c r="AC41" s="12"/>
      <c r="AD41" s="12"/>
      <c r="AE41" s="38"/>
      <c r="AF41" s="38"/>
      <c r="AG41" s="38"/>
      <c r="AH41" s="38"/>
      <c r="AI41" s="38"/>
      <c r="AJ41" s="38"/>
      <c r="AK41" s="38"/>
      <c r="AL41" s="45" t="s">
        <v>27</v>
      </c>
      <c r="AM41" s="38"/>
      <c r="AN41" s="38"/>
      <c r="AO41" s="112" t="s">
        <v>26</v>
      </c>
      <c r="AP41" s="13">
        <f ca="1">AM43</f>
        <v>1103.0027230614132</v>
      </c>
      <c r="AQ41" s="14">
        <f ca="1">AP41+($AM$44-$AM$43)/10</f>
        <v>2017.0273305626945</v>
      </c>
      <c r="AR41" s="14">
        <f t="shared" ref="AR41:AY41" ca="1" si="39">AQ41+($AM$44-$AM$43)/10</f>
        <v>2931.0519380639757</v>
      </c>
      <c r="AS41" s="14">
        <f t="shared" ca="1" si="39"/>
        <v>3845.0765455652572</v>
      </c>
      <c r="AT41" s="14">
        <f t="shared" ca="1" si="39"/>
        <v>4759.1011530665382</v>
      </c>
      <c r="AU41" s="14">
        <f t="shared" ca="1" si="39"/>
        <v>5673.1257605678193</v>
      </c>
      <c r="AV41" s="14">
        <f t="shared" ca="1" si="39"/>
        <v>6587.1503680691003</v>
      </c>
      <c r="AW41" s="14">
        <f t="shared" ca="1" si="39"/>
        <v>7501.1749755703813</v>
      </c>
      <c r="AX41" s="14">
        <f t="shared" ca="1" si="39"/>
        <v>8415.1995830716623</v>
      </c>
      <c r="AY41" s="14">
        <f t="shared" ca="1" si="39"/>
        <v>9329.2241905729443</v>
      </c>
      <c r="AZ41" s="38"/>
      <c r="BA41" s="38"/>
      <c r="BB41" s="39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</row>
    <row r="42" spans="1:137" s="9" customFormat="1" ht="15.75" thickBot="1" x14ac:dyDescent="0.3">
      <c r="A42" s="1"/>
      <c r="B42" s="37"/>
      <c r="C42" s="46">
        <f t="shared" si="20"/>
        <v>5.75</v>
      </c>
      <c r="D42" s="46">
        <f t="shared" ca="1" si="3"/>
        <v>8.0391132536844601E-2</v>
      </c>
      <c r="E42" s="46">
        <f t="shared" ca="1" si="3"/>
        <v>0.71588584198100214</v>
      </c>
      <c r="F42" s="46">
        <f t="shared" ref="F42:G42" ca="1" si="40">AVERAGE(D38:D46)</f>
        <v>0.62619802888721632</v>
      </c>
      <c r="G42" s="46">
        <f t="shared" ca="1" si="40"/>
        <v>0.2993463601590593</v>
      </c>
      <c r="H42" s="46">
        <f t="shared" ca="1" si="4"/>
        <v>0.76504695929958089</v>
      </c>
      <c r="I42" s="46">
        <f t="shared" ca="1" si="5"/>
        <v>0.14331569847974004</v>
      </c>
      <c r="J42" s="46">
        <f t="shared" ca="1" si="6"/>
        <v>-1.1711936422237614</v>
      </c>
      <c r="K42" s="46">
        <f t="shared" ca="1" si="7"/>
        <v>-1.929530577530963</v>
      </c>
      <c r="L42" s="12">
        <f t="shared" ca="1" si="8"/>
        <v>7.4144031788881195</v>
      </c>
      <c r="M42" s="12">
        <f t="shared" ca="1" si="9"/>
        <v>5.2466429786416295</v>
      </c>
      <c r="N42" s="12">
        <f t="shared" ca="1" si="10"/>
        <v>5.2466429786416295</v>
      </c>
      <c r="O42" s="12">
        <f t="shared" ca="1" si="11"/>
        <v>1659.7183178140572</v>
      </c>
      <c r="P42" s="12">
        <f t="shared" ca="1" si="12"/>
        <v>7.4144031788881195</v>
      </c>
      <c r="Q42" s="67">
        <f t="shared" ca="1" si="13"/>
        <v>-7.1092024794572648</v>
      </c>
      <c r="R42" s="46">
        <f t="shared" ca="1" si="14"/>
        <v>-0.6271422725457052</v>
      </c>
      <c r="S42" s="46">
        <f t="shared" ca="1" si="15"/>
        <v>4.4584813989543912</v>
      </c>
      <c r="T42" s="46">
        <f t="shared" ca="1" si="16"/>
        <v>50.540759893921319</v>
      </c>
      <c r="U42" s="46">
        <f t="shared" ca="1" si="17"/>
        <v>6.1347855664948908E-2</v>
      </c>
      <c r="V42" s="46">
        <f t="shared" ca="1" si="1"/>
        <v>0.39330743001379159</v>
      </c>
      <c r="W42" s="46">
        <f ca="1">$AC$95+$AA$95*N42</f>
        <v>7.1667181860747702</v>
      </c>
      <c r="X42" s="68">
        <f t="shared" ca="1" si="18"/>
        <v>-0.24768499281334933</v>
      </c>
      <c r="Y42" s="46"/>
      <c r="Z42" s="12"/>
      <c r="AA42" s="12"/>
      <c r="AB42" s="12"/>
      <c r="AC42" s="12"/>
      <c r="AD42" s="12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113"/>
      <c r="AP42" s="16">
        <f ca="1">AP41+($AM$44-$AM$43)/10</f>
        <v>2017.0273305626945</v>
      </c>
      <c r="AQ42" s="17">
        <f ca="1">AQ41+($AM$44-$AM$43)/10</f>
        <v>2931.0519380639757</v>
      </c>
      <c r="AR42" s="17">
        <f t="shared" ref="AR42:AY42" ca="1" si="41">AR41+($AM$44-$AM$43)/10</f>
        <v>3845.0765455652572</v>
      </c>
      <c r="AS42" s="17">
        <f t="shared" ca="1" si="41"/>
        <v>4759.1011530665382</v>
      </c>
      <c r="AT42" s="17">
        <f t="shared" ca="1" si="41"/>
        <v>5673.1257605678193</v>
      </c>
      <c r="AU42" s="17">
        <f t="shared" ca="1" si="41"/>
        <v>6587.1503680691003</v>
      </c>
      <c r="AV42" s="17">
        <f t="shared" ca="1" si="41"/>
        <v>7501.1749755703813</v>
      </c>
      <c r="AW42" s="17">
        <f t="shared" ca="1" si="41"/>
        <v>8415.1995830716623</v>
      </c>
      <c r="AX42" s="17">
        <f t="shared" ca="1" si="41"/>
        <v>9329.2241905729443</v>
      </c>
      <c r="AY42" s="17">
        <f t="shared" ca="1" si="41"/>
        <v>10243.248798074226</v>
      </c>
      <c r="AZ42" s="38"/>
      <c r="BA42" s="38"/>
      <c r="BB42" s="39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</row>
    <row r="43" spans="1:137" s="9" customFormat="1" x14ac:dyDescent="0.25">
      <c r="A43" s="1"/>
      <c r="B43" s="37"/>
      <c r="C43" s="46">
        <f t="shared" si="20"/>
        <v>6</v>
      </c>
      <c r="D43" s="46">
        <f t="shared" ca="1" si="3"/>
        <v>0.61763270852685892</v>
      </c>
      <c r="E43" s="46">
        <f t="shared" ca="1" si="3"/>
        <v>0.14923881424525109</v>
      </c>
      <c r="F43" s="46">
        <f t="shared" ref="F43:G43" ca="1" si="42">AVERAGE(D39:D47)</f>
        <v>0.6315546627298162</v>
      </c>
      <c r="G43" s="46">
        <f t="shared" ca="1" si="42"/>
        <v>0.31715720128598407</v>
      </c>
      <c r="H43" s="46">
        <f t="shared" ca="1" si="4"/>
        <v>0.7789781099909463</v>
      </c>
      <c r="I43" s="46">
        <f t="shared" ca="1" si="5"/>
        <v>0.17745962322451769</v>
      </c>
      <c r="J43" s="46">
        <f t="shared" ca="1" si="6"/>
        <v>1.1852831373670125</v>
      </c>
      <c r="K43" s="46">
        <f t="shared" ca="1" si="7"/>
        <v>1.7574766601057297</v>
      </c>
      <c r="L43" s="12">
        <f t="shared" ca="1" si="8"/>
        <v>8.592641568683506</v>
      </c>
      <c r="M43" s="12">
        <f t="shared" ca="1" si="9"/>
        <v>18.151168310370053</v>
      </c>
      <c r="N43" s="12">
        <f t="shared" ca="1" si="10"/>
        <v>18.151168310370053</v>
      </c>
      <c r="O43" s="12">
        <f t="shared" ca="1" si="11"/>
        <v>5391.8377900045971</v>
      </c>
      <c r="P43" s="12">
        <f t="shared" ca="1" si="12"/>
        <v>8.592641568683506</v>
      </c>
      <c r="Q43" s="67">
        <f t="shared" ca="1" si="13"/>
        <v>5.7953228522711591</v>
      </c>
      <c r="R43" s="46">
        <f t="shared" ca="1" si="14"/>
        <v>0.55109611724968133</v>
      </c>
      <c r="S43" s="46">
        <f t="shared" ca="1" si="15"/>
        <v>3.1937799220949845</v>
      </c>
      <c r="T43" s="46">
        <f t="shared" ca="1" si="16"/>
        <v>33.585766962056326</v>
      </c>
      <c r="U43" s="46">
        <f t="shared" ca="1" si="17"/>
        <v>2.6260489608026669E-2</v>
      </c>
      <c r="V43" s="46">
        <f t="shared" ca="1" si="1"/>
        <v>0.30370693044767449</v>
      </c>
      <c r="W43" s="46">
        <f ca="1">$AC$95+$AA$95*N43</f>
        <v>8.7546924545435552</v>
      </c>
      <c r="X43" s="68">
        <f t="shared" ca="1" si="18"/>
        <v>0.16205088586004912</v>
      </c>
      <c r="Y43" s="46"/>
      <c r="Z43" s="12"/>
      <c r="AA43" s="12"/>
      <c r="AB43" s="12"/>
      <c r="AC43" s="12"/>
      <c r="AD43" s="12"/>
      <c r="AE43" s="38"/>
      <c r="AF43" s="38"/>
      <c r="AG43" s="38"/>
      <c r="AH43" s="38"/>
      <c r="AI43" s="38"/>
      <c r="AJ43" s="38"/>
      <c r="AK43" s="38"/>
      <c r="AL43" s="23" t="s">
        <v>13</v>
      </c>
      <c r="AM43" s="19">
        <f ca="1">MIN(O20:O124)</f>
        <v>1103.0027230614132</v>
      </c>
      <c r="AN43" s="42" t="s">
        <v>0</v>
      </c>
      <c r="AO43" s="31">
        <f ca="1">MIN(O20:O124)</f>
        <v>1103.0027230614132</v>
      </c>
      <c r="AP43" s="14">
        <f ca="1">AVERAGE(AP41:AP42)</f>
        <v>1560.0150268120537</v>
      </c>
      <c r="AQ43" s="14">
        <f t="shared" ref="AQ43:AY43" ca="1" si="43">AVERAGE(AQ41:AQ42)</f>
        <v>2474.0396343133352</v>
      </c>
      <c r="AR43" s="14">
        <f t="shared" ca="1" si="43"/>
        <v>3388.0642418146163</v>
      </c>
      <c r="AS43" s="14">
        <f t="shared" ca="1" si="43"/>
        <v>4302.0888493158982</v>
      </c>
      <c r="AT43" s="14">
        <f t="shared" ca="1" si="43"/>
        <v>5216.1134568171783</v>
      </c>
      <c r="AU43" s="14">
        <f t="shared" ca="1" si="43"/>
        <v>6130.1380643184602</v>
      </c>
      <c r="AV43" s="14">
        <f t="shared" ca="1" si="43"/>
        <v>7044.1626718197404</v>
      </c>
      <c r="AW43" s="14">
        <f t="shared" ca="1" si="43"/>
        <v>7958.1872793210223</v>
      </c>
      <c r="AX43" s="14">
        <f t="shared" ca="1" si="43"/>
        <v>8872.2118868223042</v>
      </c>
      <c r="AY43" s="14">
        <f t="shared" ca="1" si="43"/>
        <v>9786.2364943235843</v>
      </c>
      <c r="AZ43" s="21">
        <f ca="1">AM44</f>
        <v>10243.248798074224</v>
      </c>
      <c r="BA43" s="38"/>
      <c r="BB43" s="39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</row>
    <row r="44" spans="1:137" s="9" customFormat="1" ht="15.75" thickBot="1" x14ac:dyDescent="0.3">
      <c r="A44" s="1"/>
      <c r="B44" s="37"/>
      <c r="C44" s="46">
        <f t="shared" si="20"/>
        <v>6.25</v>
      </c>
      <c r="D44" s="46">
        <f t="shared" ca="1" si="3"/>
        <v>0.49827473333088934</v>
      </c>
      <c r="E44" s="46">
        <f t="shared" ca="1" si="3"/>
        <v>0.48283910725006229</v>
      </c>
      <c r="F44" s="46">
        <f t="shared" ref="F44:G44" ca="1" si="44">AVERAGE(D40:D48)</f>
        <v>0.5862649228666108</v>
      </c>
      <c r="G44" s="46">
        <f t="shared" ca="1" si="44"/>
        <v>0.39673441821337607</v>
      </c>
      <c r="H44" s="46">
        <f t="shared" ca="1" si="4"/>
        <v>0.66119178944960744</v>
      </c>
      <c r="I44" s="46">
        <f t="shared" ca="1" si="5"/>
        <v>0.33001157104130502</v>
      </c>
      <c r="J44" s="46">
        <f t="shared" ca="1" si="6"/>
        <v>-0.57449151781989194</v>
      </c>
      <c r="K44" s="46">
        <f t="shared" ca="1" si="7"/>
        <v>-0.35412752439888129</v>
      </c>
      <c r="L44" s="12">
        <f t="shared" ca="1" si="8"/>
        <v>7.712754241090054</v>
      </c>
      <c r="M44" s="12">
        <f t="shared" ca="1" si="9"/>
        <v>10.760553664603915</v>
      </c>
      <c r="N44" s="12">
        <f t="shared" ca="1" si="10"/>
        <v>10.760553664603915</v>
      </c>
      <c r="O44" s="12">
        <f t="shared" ca="1" si="11"/>
        <v>2236.6941773716035</v>
      </c>
      <c r="P44" s="12">
        <f t="shared" ca="1" si="12"/>
        <v>7.712754241090054</v>
      </c>
      <c r="Q44" s="67">
        <f t="shared" ca="1" si="13"/>
        <v>-1.5952917934949795</v>
      </c>
      <c r="R44" s="46">
        <f t="shared" ca="1" si="14"/>
        <v>-0.32879121034377068</v>
      </c>
      <c r="S44" s="46">
        <f t="shared" ca="1" si="15"/>
        <v>0.52451791963469896</v>
      </c>
      <c r="T44" s="46">
        <f t="shared" ca="1" si="16"/>
        <v>2.5449559063924285</v>
      </c>
      <c r="U44" s="46">
        <f t="shared" ca="1" si="17"/>
        <v>1.7551374765093185E-2</v>
      </c>
      <c r="V44" s="46">
        <f t="shared" ca="1" si="1"/>
        <v>0.10810365999932166</v>
      </c>
      <c r="W44" s="46">
        <f ca="1">$AC$95+$AA$95*N44</f>
        <v>7.8452358426998368</v>
      </c>
      <c r="X44" s="68">
        <f t="shared" ca="1" si="18"/>
        <v>0.13248160160978273</v>
      </c>
      <c r="Y44" s="46"/>
      <c r="Z44" s="12"/>
      <c r="AA44" s="12"/>
      <c r="AB44" s="12"/>
      <c r="AC44" s="12"/>
      <c r="AD44" s="12"/>
      <c r="AE44" s="38"/>
      <c r="AF44" s="38"/>
      <c r="AG44" s="38"/>
      <c r="AH44" s="38"/>
      <c r="AI44" s="38"/>
      <c r="AJ44" s="38"/>
      <c r="AK44" s="38"/>
      <c r="AL44" s="24" t="s">
        <v>14</v>
      </c>
      <c r="AM44" s="20">
        <f ca="1">MAX(O20:O124)</f>
        <v>10243.248798074224</v>
      </c>
      <c r="AN44" s="42" t="s">
        <v>24</v>
      </c>
      <c r="AO44" s="32">
        <v>0</v>
      </c>
      <c r="AP44" s="17">
        <f ca="1">COUNTIF($O$20:$O$124,"&lt;"&amp;AP42)/COUNT($O$20:$O$124)</f>
        <v>0.19047619047619047</v>
      </c>
      <c r="AQ44" s="17">
        <f ca="1">(COUNTIF($O$20:$O$124,"&lt;"&amp;AQ42))/COUNT(O20:O124)-AP44</f>
        <v>0.29523809523809524</v>
      </c>
      <c r="AR44" s="17">
        <f ca="1">(COUNTIF($O$20:$O$124,"&lt;"&amp;AR42)/COUNT($O$20:$O$124))-SUM($AP$44:AQ44)</f>
        <v>0.17142857142857143</v>
      </c>
      <c r="AS44" s="17">
        <f ca="1">(COUNTIF($O$20:$O$124,"&lt;"&amp;AS42)/COUNT($O$20:$O$124))-SUM($AP$44:AR44)</f>
        <v>0.1333333333333333</v>
      </c>
      <c r="AT44" s="17">
        <f ca="1">(COUNTIF($O$20:$O$124,"&lt;"&amp;AT42)/COUNT($O$20:$O$124))-SUM($AP$44:AS44)</f>
        <v>0.11428571428571432</v>
      </c>
      <c r="AU44" s="17">
        <f ca="1">(COUNTIF($O$20:$O$124,"&lt;"&amp;AU42)/COUNT($O$20:$O$124))-SUM($AP$44:AT44)</f>
        <v>1.9047619047619091E-2</v>
      </c>
      <c r="AV44" s="17">
        <f ca="1">(COUNTIF($O$20:$O$124,"&lt;"&amp;AV42)/COUNT($O$20:$O$124))-SUM($AP$44:AU44)</f>
        <v>2.857142857142847E-2</v>
      </c>
      <c r="AW44" s="17">
        <f ca="1">(COUNTIF($O$20:$O$124,"&lt;"&amp;AW42)/COUNT($O$20:$O$124))-SUM($AP$44:AV44)</f>
        <v>1.9047619047619091E-2</v>
      </c>
      <c r="AX44" s="17">
        <f ca="1">(COUNTIF($O$20:$O$124,"&lt;"&amp;AX42)/COUNT($O$20:$O$124))-SUM($AP$44:AW44)</f>
        <v>0</v>
      </c>
      <c r="AY44" s="17">
        <f ca="1">(COUNTIF($O$20:$O$124,"&lt;"&amp;AY42)/COUNT($O$20:$O$124))-SUM($AP$44:AX44)</f>
        <v>1.9047619047619091E-2</v>
      </c>
      <c r="AZ44" s="22">
        <v>0</v>
      </c>
      <c r="BA44" s="38"/>
      <c r="BB44" s="39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</row>
    <row r="45" spans="1:137" s="9" customFormat="1" ht="15.75" thickBot="1" x14ac:dyDescent="0.3">
      <c r="A45" s="1"/>
      <c r="B45" s="37"/>
      <c r="C45" s="46">
        <f t="shared" si="20"/>
        <v>6.5</v>
      </c>
      <c r="D45" s="46">
        <f t="shared" ca="1" si="3"/>
        <v>0.8691707298973067</v>
      </c>
      <c r="E45" s="46">
        <f t="shared" ca="1" si="3"/>
        <v>9.2686996761875862E-2</v>
      </c>
      <c r="F45" s="46">
        <f t="shared" ref="F45:G45" ca="1" si="45">AVERAGE(D41:D49)</f>
        <v>0.5389962580359019</v>
      </c>
      <c r="G45" s="46">
        <f t="shared" ca="1" si="45"/>
        <v>0.48933024442482753</v>
      </c>
      <c r="H45" s="46">
        <f t="shared" ca="1" si="4"/>
        <v>0.5382588222007878</v>
      </c>
      <c r="I45" s="46">
        <f t="shared" ca="1" si="5"/>
        <v>0.50752058924622956</v>
      </c>
      <c r="J45" s="46">
        <f t="shared" ca="1" si="6"/>
        <v>-0.52524569283663713</v>
      </c>
      <c r="K45" s="46">
        <f t="shared" ca="1" si="7"/>
        <v>-0.23115771965456242</v>
      </c>
      <c r="L45" s="12">
        <f t="shared" ca="1" si="8"/>
        <v>7.7373771535816811</v>
      </c>
      <c r="M45" s="12">
        <f t="shared" ca="1" si="9"/>
        <v>11.190947981209032</v>
      </c>
      <c r="N45" s="12">
        <f t="shared" ca="1" si="10"/>
        <v>11.190947981209032</v>
      </c>
      <c r="O45" s="12">
        <f t="shared" ca="1" si="11"/>
        <v>2292.4517421244868</v>
      </c>
      <c r="P45" s="12">
        <f t="shared" ca="1" si="12"/>
        <v>7.7373771535816811</v>
      </c>
      <c r="Q45" s="67">
        <f t="shared" ca="1" si="13"/>
        <v>-1.1648974768898626</v>
      </c>
      <c r="R45" s="46">
        <f t="shared" ca="1" si="14"/>
        <v>-0.30416829785214361</v>
      </c>
      <c r="S45" s="46">
        <f t="shared" ca="1" si="15"/>
        <v>0.35432488271784629</v>
      </c>
      <c r="T45" s="46">
        <f t="shared" ca="1" si="16"/>
        <v>1.3569861316643679</v>
      </c>
      <c r="U45" s="46">
        <f t="shared" ca="1" si="17"/>
        <v>2.5863434360840442E-2</v>
      </c>
      <c r="V45" s="46">
        <f t="shared" ca="1" si="1"/>
        <v>9.2518353418270347E-2</v>
      </c>
      <c r="W45" s="46">
        <f ca="1">$AC$95+$AA$95*N45</f>
        <v>7.8981982789378993</v>
      </c>
      <c r="X45" s="68">
        <f t="shared" ca="1" si="18"/>
        <v>0.16082112535621818</v>
      </c>
      <c r="Y45" s="46"/>
      <c r="Z45" s="12"/>
      <c r="AA45" s="12"/>
      <c r="AB45" s="12"/>
      <c r="AC45" s="12"/>
      <c r="AD45" s="12"/>
      <c r="AE45" s="38"/>
      <c r="AF45" s="38"/>
      <c r="AG45" s="38"/>
      <c r="AH45" s="38"/>
      <c r="AI45" s="38"/>
      <c r="AJ45" s="38"/>
      <c r="AK45" s="38"/>
      <c r="AL45" s="38"/>
      <c r="AM45" s="38"/>
      <c r="AN45" s="42" t="s">
        <v>37</v>
      </c>
      <c r="AO45" s="28">
        <f>AO44</f>
        <v>0</v>
      </c>
      <c r="AP45" s="29">
        <f ca="1">AP44+AO45</f>
        <v>0.19047619047619047</v>
      </c>
      <c r="AQ45" s="29">
        <f t="shared" ref="AQ45:AZ45" ca="1" si="46">AQ44+AP45</f>
        <v>0.48571428571428571</v>
      </c>
      <c r="AR45" s="29">
        <f t="shared" ca="1" si="46"/>
        <v>0.65714285714285714</v>
      </c>
      <c r="AS45" s="29">
        <f t="shared" ca="1" si="46"/>
        <v>0.79047619047619044</v>
      </c>
      <c r="AT45" s="29">
        <f t="shared" ca="1" si="46"/>
        <v>0.90476190476190477</v>
      </c>
      <c r="AU45" s="29">
        <f t="shared" ca="1" si="46"/>
        <v>0.92380952380952386</v>
      </c>
      <c r="AV45" s="29">
        <f t="shared" ca="1" si="46"/>
        <v>0.95238095238095233</v>
      </c>
      <c r="AW45" s="29">
        <f t="shared" ca="1" si="46"/>
        <v>0.97142857142857142</v>
      </c>
      <c r="AX45" s="29">
        <f t="shared" ca="1" si="46"/>
        <v>0.97142857142857142</v>
      </c>
      <c r="AY45" s="29">
        <f t="shared" ca="1" si="46"/>
        <v>0.99047619047619051</v>
      </c>
      <c r="AZ45" s="30">
        <f t="shared" ca="1" si="46"/>
        <v>0.99047619047619051</v>
      </c>
      <c r="BA45" s="38"/>
      <c r="BB45" s="39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</row>
    <row r="46" spans="1:137" s="9" customFormat="1" x14ac:dyDescent="0.25">
      <c r="A46" s="1"/>
      <c r="B46" s="37"/>
      <c r="C46" s="46">
        <f t="shared" si="20"/>
        <v>6.75</v>
      </c>
      <c r="D46" s="46">
        <f t="shared" ca="1" si="3"/>
        <v>0.75416376571909549</v>
      </c>
      <c r="E46" s="46">
        <f t="shared" ca="1" si="3"/>
        <v>0.44134404947523165</v>
      </c>
      <c r="F46" s="46">
        <f t="shared" ref="F46:G46" ca="1" si="47">AVERAGE(D42:D50)</f>
        <v>0.57987634639483254</v>
      </c>
      <c r="G46" s="46">
        <f t="shared" ca="1" si="47"/>
        <v>0.51414738935591786</v>
      </c>
      <c r="H46" s="46">
        <f t="shared" ca="1" si="4"/>
        <v>0.64457683607649097</v>
      </c>
      <c r="I46" s="46">
        <f t="shared" ca="1" si="5"/>
        <v>0.55509581171151989</v>
      </c>
      <c r="J46" s="46">
        <f t="shared" ca="1" si="6"/>
        <v>-0.65152216478557556</v>
      </c>
      <c r="K46" s="46">
        <f t="shared" ca="1" si="7"/>
        <v>0.27139218163039913</v>
      </c>
      <c r="L46" s="12">
        <f t="shared" ca="1" si="8"/>
        <v>7.6742389176072123</v>
      </c>
      <c r="M46" s="12">
        <f t="shared" ca="1" si="9"/>
        <v>12.949872635706397</v>
      </c>
      <c r="N46" s="12">
        <f t="shared" ca="1" si="10"/>
        <v>12.949872635706397</v>
      </c>
      <c r="O46" s="12">
        <f t="shared" ca="1" si="11"/>
        <v>2152.1850720502002</v>
      </c>
      <c r="P46" s="12">
        <f t="shared" ca="1" si="12"/>
        <v>7.6742389176072123</v>
      </c>
      <c r="Q46" s="67">
        <f t="shared" ca="1" si="13"/>
        <v>0.59402717760750257</v>
      </c>
      <c r="R46" s="46">
        <f t="shared" ca="1" si="14"/>
        <v>-0.36730653382661238</v>
      </c>
      <c r="S46" s="46">
        <f t="shared" ca="1" si="15"/>
        <v>-0.21819006360581722</v>
      </c>
      <c r="T46" s="46">
        <f t="shared" ca="1" si="16"/>
        <v>0.35286828773633538</v>
      </c>
      <c r="U46" s="46">
        <f t="shared" ca="1" si="17"/>
        <v>0.19395648651134637</v>
      </c>
      <c r="V46" s="46">
        <f t="shared" ca="1" si="1"/>
        <v>0.13491408979172034</v>
      </c>
      <c r="W46" s="46">
        <f ca="1">$AC$95+$AA$95*N46</f>
        <v>8.1146438296045087</v>
      </c>
      <c r="X46" s="68">
        <f t="shared" ca="1" si="18"/>
        <v>0.44040491199729637</v>
      </c>
      <c r="Y46" s="46"/>
      <c r="Z46" s="12"/>
      <c r="AA46" s="12"/>
      <c r="AB46" s="12"/>
      <c r="AC46" s="12"/>
      <c r="AD46" s="12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9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</row>
    <row r="47" spans="1:137" s="9" customFormat="1" x14ac:dyDescent="0.25">
      <c r="A47" s="1"/>
      <c r="B47" s="37"/>
      <c r="C47" s="46">
        <f t="shared" si="20"/>
        <v>7</v>
      </c>
      <c r="D47" s="46">
        <f t="shared" ca="1" si="3"/>
        <v>0.82453090521651828</v>
      </c>
      <c r="E47" s="46">
        <f t="shared" ca="1" si="3"/>
        <v>0.74980780545566328</v>
      </c>
      <c r="F47" s="46">
        <f t="shared" ref="F47:G47" ca="1" si="48">AVERAGE(D43:D51)</f>
        <v>0.63797731266896662</v>
      </c>
      <c r="G47" s="46">
        <f t="shared" ca="1" si="48"/>
        <v>0.47326928977499871</v>
      </c>
      <c r="H47" s="46">
        <f t="shared" ca="1" si="4"/>
        <v>0.79568167920425026</v>
      </c>
      <c r="I47" s="46">
        <f t="shared" ca="1" si="5"/>
        <v>0.47673125015858558</v>
      </c>
      <c r="J47" s="46">
        <f t="shared" ca="1" si="6"/>
        <v>2.3850211995063844</v>
      </c>
      <c r="K47" s="46">
        <f t="shared" ca="1" si="7"/>
        <v>2.1440191139543243</v>
      </c>
      <c r="L47" s="12">
        <f t="shared" ca="1" si="8"/>
        <v>9.1925105997531915</v>
      </c>
      <c r="M47" s="12">
        <f t="shared" ca="1" si="9"/>
        <v>19.504066898840136</v>
      </c>
      <c r="N47" s="12">
        <f t="shared" ca="1" si="10"/>
        <v>19.504066898840136</v>
      </c>
      <c r="O47" s="12">
        <f t="shared" ca="1" si="11"/>
        <v>9823.28237678595</v>
      </c>
      <c r="P47" s="12">
        <f t="shared" ca="1" si="12"/>
        <v>9.1925105997531915</v>
      </c>
      <c r="Q47" s="67">
        <f t="shared" ca="1" si="13"/>
        <v>7.1482214407412421</v>
      </c>
      <c r="R47" s="46">
        <f t="shared" ca="1" si="14"/>
        <v>1.1509651483193668</v>
      </c>
      <c r="S47" s="46">
        <f t="shared" ca="1" si="15"/>
        <v>8.2273537507624219</v>
      </c>
      <c r="T47" s="46">
        <f t="shared" ca="1" si="16"/>
        <v>51.097069765872796</v>
      </c>
      <c r="U47" s="46">
        <f t="shared" ca="1" si="17"/>
        <v>7.3623431535413453E-2</v>
      </c>
      <c r="V47" s="46">
        <f t="shared" ca="1" si="1"/>
        <v>1.3247207726458221</v>
      </c>
      <c r="W47" s="46">
        <f ca="1">$AC$95+$AA$95*N47</f>
        <v>8.9211742189720411</v>
      </c>
      <c r="X47" s="68">
        <f t="shared" ca="1" si="18"/>
        <v>-0.27133638078115041</v>
      </c>
      <c r="Y47" s="46"/>
      <c r="Z47" s="12"/>
      <c r="AA47" s="12"/>
      <c r="AB47" s="12"/>
      <c r="AC47" s="12"/>
      <c r="AD47" s="12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9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</row>
    <row r="48" spans="1:137" s="9" customFormat="1" x14ac:dyDescent="0.25">
      <c r="A48" s="1"/>
      <c r="B48" s="37"/>
      <c r="C48" s="46">
        <f t="shared" si="20"/>
        <v>7.25</v>
      </c>
      <c r="D48" s="46">
        <f t="shared" ca="1" si="3"/>
        <v>0.56872220966667353</v>
      </c>
      <c r="E48" s="46">
        <f t="shared" ca="1" si="3"/>
        <v>0.86484032000357658</v>
      </c>
      <c r="F48" s="46">
        <f t="shared" ref="F48:G48" ca="1" si="49">AVERAGE(D44:D52)</f>
        <v>0.57358325092970763</v>
      </c>
      <c r="G48" s="46">
        <f t="shared" ca="1" si="49"/>
        <v>0.48773242946134698</v>
      </c>
      <c r="H48" s="46">
        <f t="shared" ca="1" si="4"/>
        <v>0.62821020288558915</v>
      </c>
      <c r="I48" s="46">
        <f t="shared" ca="1" si="5"/>
        <v>0.50445752931096988</v>
      </c>
      <c r="J48" s="46">
        <f t="shared" ca="1" si="6"/>
        <v>0.57840374583501719</v>
      </c>
      <c r="K48" s="46">
        <f t="shared" ca="1" si="7"/>
        <v>0.81442632472857512</v>
      </c>
      <c r="L48" s="12">
        <f t="shared" ca="1" si="8"/>
        <v>8.2892018729175092</v>
      </c>
      <c r="M48" s="12">
        <f t="shared" ca="1" si="9"/>
        <v>14.850492136550013</v>
      </c>
      <c r="N48" s="12">
        <f t="shared" ca="1" si="10"/>
        <v>14.850492136550013</v>
      </c>
      <c r="O48" s="12">
        <f t="shared" ca="1" si="11"/>
        <v>3980.655857096147</v>
      </c>
      <c r="P48" s="12">
        <f t="shared" ca="1" si="12"/>
        <v>8.2892018729175092</v>
      </c>
      <c r="Q48" s="67">
        <f t="shared" ca="1" si="13"/>
        <v>2.4946466784511188</v>
      </c>
      <c r="R48" s="46">
        <f t="shared" ca="1" si="14"/>
        <v>0.2476564214836845</v>
      </c>
      <c r="S48" s="46">
        <f t="shared" ca="1" si="15"/>
        <v>0.61781526925136387</v>
      </c>
      <c r="T48" s="46">
        <f t="shared" ca="1" si="16"/>
        <v>6.2232620503071994</v>
      </c>
      <c r="U48" s="46">
        <f t="shared" ca="1" si="17"/>
        <v>3.5193195888816218E-3</v>
      </c>
      <c r="V48" s="46">
        <f t="shared" ca="1" si="1"/>
        <v>6.1333703102104384E-2</v>
      </c>
      <c r="W48" s="46">
        <f ca="1">$AC$95+$AA$95*N48</f>
        <v>8.3485257263736159</v>
      </c>
      <c r="X48" s="68">
        <f t="shared" ca="1" si="18"/>
        <v>5.932385345610669E-2</v>
      </c>
      <c r="Y48" s="46"/>
      <c r="Z48" s="12"/>
      <c r="AA48" s="12"/>
      <c r="AB48" s="12"/>
      <c r="AC48" s="12"/>
      <c r="AD48" s="12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9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</row>
    <row r="49" spans="1:137" s="9" customFormat="1" x14ac:dyDescent="0.25">
      <c r="A49" s="1"/>
      <c r="B49" s="37"/>
      <c r="C49" s="46">
        <f t="shared" si="20"/>
        <v>7.5</v>
      </c>
      <c r="D49" s="46">
        <f t="shared" ca="1" si="3"/>
        <v>0.40988527134401143</v>
      </c>
      <c r="E49" s="46">
        <f t="shared" ca="1" si="3"/>
        <v>0.84750617269899975</v>
      </c>
      <c r="F49" s="46">
        <f t="shared" ref="F49:G49" ca="1" si="50">AVERAGE(D45:D53)</f>
        <v>0.53758689737556731</v>
      </c>
      <c r="G49" s="46">
        <f t="shared" ca="1" si="50"/>
        <v>0.44537523284464103</v>
      </c>
      <c r="H49" s="46">
        <f t="shared" ca="1" si="4"/>
        <v>0.53459345766131539</v>
      </c>
      <c r="I49" s="46">
        <f t="shared" ca="1" si="5"/>
        <v>0.42325749370488802</v>
      </c>
      <c r="J49" s="46">
        <f t="shared" ca="1" si="6"/>
        <v>0.98059096839770221</v>
      </c>
      <c r="K49" s="46">
        <f t="shared" ca="1" si="7"/>
        <v>0.5594195252441414</v>
      </c>
      <c r="L49" s="12">
        <f t="shared" ca="1" si="8"/>
        <v>8.4902954841988514</v>
      </c>
      <c r="M49" s="12">
        <f t="shared" ca="1" si="9"/>
        <v>13.957968338354494</v>
      </c>
      <c r="N49" s="12">
        <f t="shared" ca="1" si="10"/>
        <v>13.957968338354494</v>
      </c>
      <c r="O49" s="12">
        <f t="shared" ca="1" si="11"/>
        <v>4867.3040722346486</v>
      </c>
      <c r="P49" s="12">
        <f t="shared" ca="1" si="12"/>
        <v>8.4902954841988514</v>
      </c>
      <c r="Q49" s="67">
        <f t="shared" ca="1" si="13"/>
        <v>1.6021228802555996</v>
      </c>
      <c r="R49" s="46">
        <f t="shared" ca="1" si="14"/>
        <v>0.44875003276502667</v>
      </c>
      <c r="S49" s="46">
        <f t="shared" ca="1" si="15"/>
        <v>0.71895269500829917</v>
      </c>
      <c r="T49" s="46">
        <f t="shared" ca="1" si="16"/>
        <v>2.5667977234384982</v>
      </c>
      <c r="U49" s="46">
        <f t="shared" ca="1" si="17"/>
        <v>6.3302469658423177E-2</v>
      </c>
      <c r="V49" s="46">
        <f t="shared" ca="1" si="1"/>
        <v>0.2013765919066125</v>
      </c>
      <c r="W49" s="46">
        <f ca="1">$AC$95+$AA$95*N49</f>
        <v>8.2386956637330506</v>
      </c>
      <c r="X49" s="68">
        <f t="shared" ca="1" si="18"/>
        <v>-0.25159982046580076</v>
      </c>
      <c r="Y49" s="46"/>
      <c r="Z49" s="12"/>
      <c r="AA49" s="12"/>
      <c r="AB49" s="12"/>
      <c r="AC49" s="12"/>
      <c r="AD49" s="12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9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</row>
    <row r="50" spans="1:137" s="9" customFormat="1" x14ac:dyDescent="0.25">
      <c r="A50" s="1"/>
      <c r="B50" s="37"/>
      <c r="C50" s="46">
        <f t="shared" si="20"/>
        <v>7.75</v>
      </c>
      <c r="D50" s="46">
        <f t="shared" ca="1" si="3"/>
        <v>0.59611566131529536</v>
      </c>
      <c r="E50" s="46">
        <f t="shared" ca="1" si="3"/>
        <v>0.28317739633159844</v>
      </c>
      <c r="F50" s="46">
        <f t="shared" ref="F50:G50" ca="1" si="51">AVERAGE(D46:D54)</f>
        <v>0.48019131346838723</v>
      </c>
      <c r="G50" s="46">
        <f t="shared" ca="1" si="51"/>
        <v>0.50032829543817714</v>
      </c>
      <c r="H50" s="46">
        <f t="shared" ca="1" si="4"/>
        <v>0.38532312261042306</v>
      </c>
      <c r="I50" s="46">
        <f t="shared" ca="1" si="5"/>
        <v>0.52860418790746089</v>
      </c>
      <c r="J50" s="46">
        <f t="shared" ca="1" si="6"/>
        <v>0.53291135203449969</v>
      </c>
      <c r="K50" s="46">
        <f t="shared" ca="1" si="7"/>
        <v>9.178255162424237E-2</v>
      </c>
      <c r="L50" s="12">
        <f t="shared" ca="1" si="8"/>
        <v>8.2664556760172498</v>
      </c>
      <c r="M50" s="12">
        <f t="shared" ca="1" si="9"/>
        <v>12.321238930684848</v>
      </c>
      <c r="N50" s="12">
        <f t="shared" ca="1" si="10"/>
        <v>12.321238930684848</v>
      </c>
      <c r="O50" s="12">
        <f t="shared" ca="1" si="11"/>
        <v>3891.1330862761852</v>
      </c>
      <c r="P50" s="12">
        <f t="shared" ca="1" si="12"/>
        <v>8.2664556760172498</v>
      </c>
      <c r="Q50" s="67">
        <f t="shared" ca="1" si="13"/>
        <v>-3.4606527414046795E-2</v>
      </c>
      <c r="R50" s="46">
        <f t="shared" ca="1" si="14"/>
        <v>0.22491022458342513</v>
      </c>
      <c r="S50" s="46">
        <f t="shared" ca="1" si="15"/>
        <v>-7.7833618527457229E-3</v>
      </c>
      <c r="T50" s="46">
        <f t="shared" ca="1" si="16"/>
        <v>1.1976117396591724E-3</v>
      </c>
      <c r="U50" s="46">
        <f t="shared" ca="1" si="17"/>
        <v>5.2518316897908236E-2</v>
      </c>
      <c r="V50" s="46">
        <f t="shared" ca="1" si="1"/>
        <v>5.0584609122166731E-2</v>
      </c>
      <c r="W50" s="46">
        <f ca="1">$AC$95+$AA$95*N50</f>
        <v>8.0372869240070592</v>
      </c>
      <c r="X50" s="68">
        <f t="shared" ca="1" si="18"/>
        <v>-0.2291687520101906</v>
      </c>
      <c r="Y50" s="46"/>
      <c r="Z50" s="12"/>
      <c r="AA50" s="12"/>
      <c r="AB50" s="12"/>
      <c r="AC50" s="12"/>
      <c r="AD50" s="1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9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</row>
    <row r="51" spans="1:137" s="9" customFormat="1" x14ac:dyDescent="0.25">
      <c r="A51" s="1"/>
      <c r="B51" s="37"/>
      <c r="C51" s="46">
        <f t="shared" si="20"/>
        <v>8</v>
      </c>
      <c r="D51" s="46">
        <f t="shared" ca="1" si="3"/>
        <v>0.60329982900405055</v>
      </c>
      <c r="E51" s="46">
        <f t="shared" ca="1" si="3"/>
        <v>0.34798294575272992</v>
      </c>
      <c r="F51" s="46">
        <f t="shared" ref="F51:G51" ca="1" si="52">AVERAGE(D47:D55)</f>
        <v>0.45815797334182229</v>
      </c>
      <c r="G51" s="46">
        <f t="shared" ca="1" si="52"/>
        <v>0.5598029173726039</v>
      </c>
      <c r="H51" s="46">
        <f t="shared" ca="1" si="4"/>
        <v>0.32802038537716388</v>
      </c>
      <c r="I51" s="46">
        <f t="shared" ca="1" si="5"/>
        <v>0.64261884903895283</v>
      </c>
      <c r="J51" s="46">
        <f t="shared" ca="1" si="6"/>
        <v>-7.8112276759931126E-2</v>
      </c>
      <c r="K51" s="46">
        <f t="shared" ca="1" si="7"/>
        <v>0.60272920825028864</v>
      </c>
      <c r="L51" s="12">
        <f t="shared" ca="1" si="8"/>
        <v>7.9609438616200343</v>
      </c>
      <c r="M51" s="12">
        <f t="shared" ca="1" si="9"/>
        <v>14.10955222887601</v>
      </c>
      <c r="N51" s="12">
        <f t="shared" ca="1" si="10"/>
        <v>14.10955222887601</v>
      </c>
      <c r="O51" s="12">
        <f t="shared" ca="1" si="11"/>
        <v>2866.777517209935</v>
      </c>
      <c r="P51" s="12">
        <f t="shared" ca="1" si="12"/>
        <v>7.9609438616200343</v>
      </c>
      <c r="Q51" s="67">
        <f t="shared" ca="1" si="13"/>
        <v>1.7537067707771161</v>
      </c>
      <c r="R51" s="46">
        <f t="shared" ca="1" si="14"/>
        <v>-8.0601589813790397E-2</v>
      </c>
      <c r="S51" s="46">
        <f t="shared" ca="1" si="15"/>
        <v>-0.14135155379184405</v>
      </c>
      <c r="T51" s="46">
        <f t="shared" ca="1" si="16"/>
        <v>3.0754874378695005</v>
      </c>
      <c r="U51" s="46">
        <f t="shared" ca="1" si="17"/>
        <v>8.785595402317499E-2</v>
      </c>
      <c r="V51" s="46">
        <f t="shared" ca="1" si="1"/>
        <v>6.4966162805105195E-3</v>
      </c>
      <c r="W51" s="46">
        <f ca="1">$AC$95+$AA$95*N51</f>
        <v>8.2573489122233852</v>
      </c>
      <c r="X51" s="68">
        <f t="shared" ca="1" si="18"/>
        <v>0.29640505060335087</v>
      </c>
      <c r="Y51" s="46"/>
      <c r="Z51" s="12"/>
      <c r="AA51" s="12"/>
      <c r="AB51" s="12"/>
      <c r="AC51" s="12"/>
      <c r="AD51" s="1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9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</row>
    <row r="52" spans="1:137" s="9" customFormat="1" x14ac:dyDescent="0.25">
      <c r="A52" s="1"/>
      <c r="B52" s="37"/>
      <c r="C52" s="46">
        <f t="shared" si="20"/>
        <v>8.25</v>
      </c>
      <c r="D52" s="46">
        <f t="shared" ca="1" si="3"/>
        <v>3.8086152873528012E-2</v>
      </c>
      <c r="E52" s="46">
        <f t="shared" ca="1" si="3"/>
        <v>0.27940707142238441</v>
      </c>
      <c r="F52" s="46">
        <f t="shared" ref="F52:G52" ca="1" si="53">AVERAGE(D48:D56)</f>
        <v>0.45792922132615721</v>
      </c>
      <c r="G52" s="46">
        <f t="shared" ca="1" si="53"/>
        <v>0.53772581250983398</v>
      </c>
      <c r="H52" s="46">
        <f t="shared" ca="1" si="4"/>
        <v>0.32742546347381474</v>
      </c>
      <c r="I52" s="46">
        <f t="shared" ca="1" si="5"/>
        <v>0.60029636681336851</v>
      </c>
      <c r="J52" s="46">
        <f t="shared" ca="1" si="6"/>
        <v>-0.60935098151111911</v>
      </c>
      <c r="K52" s="46">
        <f t="shared" ca="1" si="7"/>
        <v>-0.28669848632779399</v>
      </c>
      <c r="L52" s="12">
        <f t="shared" ca="1" si="8"/>
        <v>7.6953245092444407</v>
      </c>
      <c r="M52" s="12">
        <f t="shared" ca="1" si="9"/>
        <v>10.996555297852721</v>
      </c>
      <c r="N52" s="12">
        <f t="shared" ca="1" si="10"/>
        <v>10.996555297852721</v>
      </c>
      <c r="O52" s="12">
        <f t="shared" ref="O52:O84" ca="1" si="54">EXP(L52)</f>
        <v>2198.0469811714538</v>
      </c>
      <c r="P52" s="12">
        <f t="shared" ca="1" si="12"/>
        <v>7.6953245092444407</v>
      </c>
      <c r="Q52" s="67">
        <f t="shared" ca="1" si="13"/>
        <v>-1.3592901602461733</v>
      </c>
      <c r="R52" s="46">
        <f t="shared" ca="1" si="14"/>
        <v>-0.34622094218938404</v>
      </c>
      <c r="S52" s="46">
        <f t="shared" ca="1" si="15"/>
        <v>0.47061471998918897</v>
      </c>
      <c r="T52" s="46">
        <f t="shared" ca="1" si="16"/>
        <v>1.8476697397420676</v>
      </c>
      <c r="U52" s="46">
        <f t="shared" ca="1" si="17"/>
        <v>3.2024054156469334E-2</v>
      </c>
      <c r="V52" s="46">
        <f t="shared" ref="V52:V84" ca="1" si="55">(P52-$P$14)^2</f>
        <v>0.11986894081050481</v>
      </c>
      <c r="W52" s="46">
        <f ca="1">$AC$95+$AA$95*N52</f>
        <v>7.874277168225718</v>
      </c>
      <c r="X52" s="68">
        <f t="shared" ca="1" si="18"/>
        <v>0.17895265898127732</v>
      </c>
      <c r="Y52" s="46"/>
      <c r="Z52" s="12"/>
      <c r="AA52" s="12"/>
      <c r="AB52" s="12"/>
      <c r="AC52" s="12"/>
      <c r="AD52" s="1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9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</row>
    <row r="53" spans="1:137" s="9" customFormat="1" x14ac:dyDescent="0.25">
      <c r="A53" s="1"/>
      <c r="B53" s="37"/>
      <c r="C53" s="46">
        <f t="shared" si="20"/>
        <v>8.5</v>
      </c>
      <c r="D53" s="46">
        <f t="shared" ref="D53:E84" ca="1" si="56">RAND()</f>
        <v>0.17430755134362641</v>
      </c>
      <c r="E53" s="46">
        <f t="shared" ca="1" si="56"/>
        <v>0.10162433769970924</v>
      </c>
      <c r="F53" s="46">
        <f t="shared" ref="F53:G53" ca="1" si="57">AVERAGE(D49:D57)</f>
        <v>0.45210933425743122</v>
      </c>
      <c r="G53" s="46">
        <f t="shared" ca="1" si="57"/>
        <v>0.50576506346633088</v>
      </c>
      <c r="H53" s="46">
        <f t="shared" ca="1" si="4"/>
        <v>0.3122895168805716</v>
      </c>
      <c r="I53" s="46">
        <f t="shared" ca="1" si="5"/>
        <v>0.53902663775613602</v>
      </c>
      <c r="J53" s="46">
        <f t="shared" ca="1" si="6"/>
        <v>-0.94794329150094281</v>
      </c>
      <c r="K53" s="46">
        <f t="shared" ca="1" si="7"/>
        <v>-1.3542407198723767</v>
      </c>
      <c r="L53" s="12">
        <f t="shared" ca="1" si="8"/>
        <v>7.5260283542495285</v>
      </c>
      <c r="M53" s="12">
        <f t="shared" ca="1" si="9"/>
        <v>7.2601574804466811</v>
      </c>
      <c r="N53" s="12">
        <f t="shared" ca="1" si="10"/>
        <v>7.2601574804466811</v>
      </c>
      <c r="O53" s="12">
        <f t="shared" ca="1" si="54"/>
        <v>1855.7205833515652</v>
      </c>
      <c r="P53" s="12">
        <f t="shared" ca="1" si="12"/>
        <v>7.5260283542495285</v>
      </c>
      <c r="Q53" s="67">
        <f t="shared" ca="1" si="13"/>
        <v>-5.0956879776522133</v>
      </c>
      <c r="R53" s="46">
        <f t="shared" ca="1" si="14"/>
        <v>-0.51551709718429617</v>
      </c>
      <c r="S53" s="46">
        <f t="shared" ca="1" si="15"/>
        <v>2.6269142743961855</v>
      </c>
      <c r="T53" s="46">
        <f t="shared" ca="1" si="16"/>
        <v>25.966035965589302</v>
      </c>
      <c r="U53" s="46">
        <f t="shared" ca="1" si="17"/>
        <v>1.2440258754719959E-2</v>
      </c>
      <c r="V53" s="46">
        <f t="shared" ca="1" si="55"/>
        <v>0.26575787748932306</v>
      </c>
      <c r="W53" s="46">
        <f ca="1">$AC$95+$AA$95*N53</f>
        <v>7.4144924463331989</v>
      </c>
      <c r="X53" s="68">
        <f t="shared" ca="1" si="18"/>
        <v>-0.11153590791632961</v>
      </c>
      <c r="Y53" s="46"/>
      <c r="Z53" s="12"/>
      <c r="AA53" s="12"/>
      <c r="AB53" s="12"/>
      <c r="AC53" s="12"/>
      <c r="AD53" s="1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9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</row>
    <row r="54" spans="1:137" s="9" customFormat="1" x14ac:dyDescent="0.25">
      <c r="A54" s="1"/>
      <c r="B54" s="37"/>
      <c r="C54" s="46">
        <f t="shared" si="20"/>
        <v>8.75</v>
      </c>
      <c r="D54" s="46">
        <f t="shared" ca="1" si="56"/>
        <v>0.35261047473268614</v>
      </c>
      <c r="E54" s="46">
        <f t="shared" ca="1" si="56"/>
        <v>0.58726456010370132</v>
      </c>
      <c r="F54" s="46">
        <f t="shared" ref="F54:G54" ca="1" si="58">AVERAGE(D50:D58)</f>
        <v>0.50208569143878878</v>
      </c>
      <c r="G54" s="46">
        <f t="shared" ca="1" si="58"/>
        <v>0.45910373524433179</v>
      </c>
      <c r="H54" s="46">
        <f t="shared" ca="1" si="4"/>
        <v>0.44226445699353528</v>
      </c>
      <c r="I54" s="46">
        <f t="shared" ca="1" si="5"/>
        <v>0.44957545081051487</v>
      </c>
      <c r="J54" s="46">
        <f t="shared" ca="1" si="6"/>
        <v>2.3743139472573613</v>
      </c>
      <c r="K54" s="46">
        <f t="shared" ca="1" si="7"/>
        <v>2.3541874933646825</v>
      </c>
      <c r="L54" s="12">
        <f t="shared" ca="1" si="8"/>
        <v>9.1871569736286816</v>
      </c>
      <c r="M54" s="12">
        <f t="shared" ca="1" si="9"/>
        <v>20.23965622677639</v>
      </c>
      <c r="N54" s="12">
        <f t="shared" ca="1" si="10"/>
        <v>20.23965622677639</v>
      </c>
      <c r="O54" s="12">
        <f t="shared" ca="1" si="54"/>
        <v>9770.8327188276271</v>
      </c>
      <c r="P54" s="12">
        <f t="shared" ca="1" si="12"/>
        <v>9.1871569736286816</v>
      </c>
      <c r="Q54" s="67">
        <f t="shared" ca="1" si="13"/>
        <v>7.8838107686774954</v>
      </c>
      <c r="R54" s="46">
        <f t="shared" ca="1" si="14"/>
        <v>1.1456115221948568</v>
      </c>
      <c r="S54" s="46">
        <f t="shared" ca="1" si="15"/>
        <v>9.03178445540083</v>
      </c>
      <c r="T54" s="46">
        <f t="shared" ca="1" si="16"/>
        <v>62.154472236315243</v>
      </c>
      <c r="U54" s="46">
        <f t="shared" ca="1" si="17"/>
        <v>3.0787741410235454E-2</v>
      </c>
      <c r="V54" s="46">
        <f t="shared" ca="1" si="55"/>
        <v>1.312425759785617</v>
      </c>
      <c r="W54" s="46">
        <f ca="1">$AC$95+$AA$95*N54</f>
        <v>9.0116926142555158</v>
      </c>
      <c r="X54" s="68">
        <f t="shared" ca="1" si="18"/>
        <v>-0.17546435937316573</v>
      </c>
      <c r="Y54" s="46"/>
      <c r="Z54" s="12"/>
      <c r="AA54" s="12"/>
      <c r="AB54" s="12"/>
      <c r="AC54" s="12"/>
      <c r="AD54" s="1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9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</row>
    <row r="55" spans="1:137" s="9" customFormat="1" x14ac:dyDescent="0.25">
      <c r="A55" s="1"/>
      <c r="B55" s="37"/>
      <c r="C55" s="46">
        <f t="shared" si="20"/>
        <v>9</v>
      </c>
      <c r="D55" s="46">
        <f t="shared" ca="1" si="56"/>
        <v>0.55586370458001078</v>
      </c>
      <c r="E55" s="46">
        <f t="shared" ca="1" si="56"/>
        <v>0.97661564688507263</v>
      </c>
      <c r="F55" s="46">
        <f t="shared" ref="F55:G55" ca="1" si="59">AVERAGE(D51:D59)</f>
        <v>0.50636491710409126</v>
      </c>
      <c r="G55" s="46">
        <f t="shared" ca="1" si="59"/>
        <v>0.45917807695665247</v>
      </c>
      <c r="H55" s="46">
        <f t="shared" ca="1" si="4"/>
        <v>0.45339356145305398</v>
      </c>
      <c r="I55" s="46">
        <f t="shared" ca="1" si="5"/>
        <v>0.44971796613658993</v>
      </c>
      <c r="J55" s="46">
        <f t="shared" ca="1" si="6"/>
        <v>2.8858147749532888E-2</v>
      </c>
      <c r="K55" s="46">
        <f t="shared" ca="1" si="7"/>
        <v>0.17365143280957926</v>
      </c>
      <c r="L55" s="12">
        <f t="shared" ca="1" si="8"/>
        <v>8.0144290738747657</v>
      </c>
      <c r="M55" s="12">
        <f t="shared" ca="1" si="9"/>
        <v>12.607780014833528</v>
      </c>
      <c r="N55" s="12">
        <f t="shared" ca="1" si="10"/>
        <v>12.607780014833528</v>
      </c>
      <c r="O55" s="12">
        <f t="shared" ca="1" si="54"/>
        <v>3024.2822629763591</v>
      </c>
      <c r="P55" s="12">
        <f t="shared" ca="1" si="12"/>
        <v>8.0144290738747657</v>
      </c>
      <c r="Q55" s="67">
        <f t="shared" ca="1" si="13"/>
        <v>0.25193455673463383</v>
      </c>
      <c r="R55" s="46">
        <f t="shared" ca="1" si="14"/>
        <v>-2.7116377559059046E-2</v>
      </c>
      <c r="S55" s="46">
        <f t="shared" ca="1" si="15"/>
        <v>-6.8315525605905127E-3</v>
      </c>
      <c r="T55" s="46">
        <f t="shared" ca="1" si="16"/>
        <v>6.3471020877076428E-2</v>
      </c>
      <c r="U55" s="46">
        <f t="shared" ca="1" si="17"/>
        <v>3.3777412982574752E-3</v>
      </c>
      <c r="V55" s="46">
        <f t="shared" ca="1" si="55"/>
        <v>7.35297931925441E-4</v>
      </c>
      <c r="W55" s="46">
        <f ca="1">$AC$95+$AA$95*N55</f>
        <v>8.0725474126178636</v>
      </c>
      <c r="X55" s="68">
        <f t="shared" ca="1" si="18"/>
        <v>5.8118338743097908E-2</v>
      </c>
      <c r="Y55" s="46"/>
      <c r="Z55" s="12"/>
      <c r="AA55" s="12"/>
      <c r="AB55" s="12"/>
      <c r="AC55" s="12"/>
      <c r="AD55" s="12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9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</row>
    <row r="56" spans="1:137" s="9" customFormat="1" x14ac:dyDescent="0.25">
      <c r="A56" s="1"/>
      <c r="B56" s="37"/>
      <c r="C56" s="46">
        <f t="shared" si="20"/>
        <v>9.25</v>
      </c>
      <c r="D56" s="46">
        <f t="shared" ca="1" si="56"/>
        <v>0.82247213707553224</v>
      </c>
      <c r="E56" s="46">
        <f t="shared" ca="1" si="56"/>
        <v>0.55111386169073318</v>
      </c>
      <c r="F56" s="46">
        <f t="shared" ref="F56:G56" ca="1" si="60">AVERAGE(D52:D60)</f>
        <v>0.53704419558736693</v>
      </c>
      <c r="G56" s="46">
        <f t="shared" ca="1" si="60"/>
        <v>0.46243814637103309</v>
      </c>
      <c r="H56" s="46">
        <f t="shared" ca="1" si="4"/>
        <v>0.53318203761394034</v>
      </c>
      <c r="I56" s="46">
        <f t="shared" ca="1" si="5"/>
        <v>0.45596761846654599</v>
      </c>
      <c r="J56" s="46">
        <f t="shared" ca="1" si="6"/>
        <v>1.8268276168406943</v>
      </c>
      <c r="K56" s="46">
        <f t="shared" ca="1" si="7"/>
        <v>1.8268890343648767</v>
      </c>
      <c r="L56" s="12">
        <f t="shared" ca="1" si="8"/>
        <v>8.9134138084203478</v>
      </c>
      <c r="M56" s="12">
        <f t="shared" ca="1" si="9"/>
        <v>18.394111620277069</v>
      </c>
      <c r="N56" s="12">
        <f t="shared" ca="1" si="10"/>
        <v>18.394111620277069</v>
      </c>
      <c r="O56" s="12">
        <f t="shared" ca="1" si="54"/>
        <v>7430.985808757001</v>
      </c>
      <c r="P56" s="12">
        <f t="shared" ca="1" si="12"/>
        <v>8.9134138084203478</v>
      </c>
      <c r="Q56" s="67">
        <f t="shared" ca="1" si="13"/>
        <v>6.038266162178175</v>
      </c>
      <c r="R56" s="46">
        <f t="shared" ca="1" si="14"/>
        <v>0.8718683569865231</v>
      </c>
      <c r="S56" s="46">
        <f t="shared" ca="1" si="15"/>
        <v>5.2645731978656043</v>
      </c>
      <c r="T56" s="46">
        <f t="shared" ca="1" si="16"/>
        <v>36.460658245305943</v>
      </c>
      <c r="U56" s="46">
        <f t="shared" ca="1" si="17"/>
        <v>1.6596090888186206E-2</v>
      </c>
      <c r="V56" s="46">
        <f t="shared" ca="1" si="55"/>
        <v>0.76015443191437926</v>
      </c>
      <c r="W56" s="46">
        <f ca="1">$AC$95+$AA$95*N56</f>
        <v>8.7845879923422565</v>
      </c>
      <c r="X56" s="68">
        <f t="shared" ca="1" si="18"/>
        <v>-0.12882581607809129</v>
      </c>
      <c r="Y56" s="46"/>
      <c r="Z56" s="12"/>
      <c r="AA56" s="12"/>
      <c r="AB56" s="12"/>
      <c r="AC56" s="12"/>
      <c r="AD56" s="12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9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</row>
    <row r="57" spans="1:137" s="9" customFormat="1" x14ac:dyDescent="0.25">
      <c r="A57" s="1"/>
      <c r="B57" s="37"/>
      <c r="C57" s="46">
        <f t="shared" si="20"/>
        <v>9.5</v>
      </c>
      <c r="D57" s="46">
        <f t="shared" ca="1" si="56"/>
        <v>0.51634322604813987</v>
      </c>
      <c r="E57" s="46">
        <f t="shared" ca="1" si="56"/>
        <v>0.57719357861204901</v>
      </c>
      <c r="F57" s="46">
        <f t="shared" ref="F57:G57" ca="1" si="61">AVERAGE(D53:D61)</f>
        <v>0.58867885545260767</v>
      </c>
      <c r="G57" s="46">
        <f t="shared" ca="1" si="61"/>
        <v>0.46031105408581507</v>
      </c>
      <c r="H57" s="46">
        <f t="shared" ca="1" si="4"/>
        <v>0.6674697729001241</v>
      </c>
      <c r="I57" s="46">
        <f t="shared" ca="1" si="5"/>
        <v>0.45188991779008048</v>
      </c>
      <c r="J57" s="46">
        <f t="shared" ca="1" si="6"/>
        <v>-0.60577463855354474</v>
      </c>
      <c r="K57" s="46">
        <f t="shared" ca="1" si="7"/>
        <v>-0.28967520420120868</v>
      </c>
      <c r="L57" s="12">
        <f t="shared" ca="1" si="8"/>
        <v>7.6971126807232277</v>
      </c>
      <c r="M57" s="12">
        <f t="shared" ca="1" si="9"/>
        <v>10.98613678529577</v>
      </c>
      <c r="N57" s="12">
        <f t="shared" ca="1" si="10"/>
        <v>10.98613678529577</v>
      </c>
      <c r="O57" s="12">
        <f t="shared" ca="1" si="54"/>
        <v>2201.9809823783303</v>
      </c>
      <c r="P57" s="12">
        <f t="shared" ca="1" si="12"/>
        <v>7.6971126807232277</v>
      </c>
      <c r="Q57" s="67">
        <f t="shared" ca="1" si="13"/>
        <v>-1.3697086728031245</v>
      </c>
      <c r="R57" s="46">
        <f t="shared" ca="1" si="14"/>
        <v>-0.34443277071059697</v>
      </c>
      <c r="S57" s="46">
        <f t="shared" ca="1" si="15"/>
        <v>0.47177255323991468</v>
      </c>
      <c r="T57" s="46">
        <f t="shared" ca="1" si="16"/>
        <v>1.8761018483520966</v>
      </c>
      <c r="U57" s="46">
        <f t="shared" ca="1" si="17"/>
        <v>3.0934629555103184E-2</v>
      </c>
      <c r="V57" s="46">
        <f t="shared" ca="1" si="55"/>
        <v>0.11863393353937866</v>
      </c>
      <c r="W57" s="46">
        <f ca="1">$AC$95+$AA$95*N57</f>
        <v>7.8729951117818846</v>
      </c>
      <c r="X57" s="68">
        <f t="shared" ca="1" si="18"/>
        <v>0.17588243105865686</v>
      </c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9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</row>
    <row r="58" spans="1:137" s="9" customFormat="1" x14ac:dyDescent="0.25">
      <c r="A58" s="1"/>
      <c r="B58" s="37"/>
      <c r="C58" s="46">
        <f t="shared" si="20"/>
        <v>9.75</v>
      </c>
      <c r="D58" s="46">
        <f t="shared" ca="1" si="56"/>
        <v>0.85967248597622936</v>
      </c>
      <c r="E58" s="46">
        <f t="shared" ca="1" si="56"/>
        <v>0.4275542187010084</v>
      </c>
      <c r="F58" s="46">
        <f t="shared" ref="F58:G58" ca="1" si="62">AVERAGE(D54:D62)</f>
        <v>0.6600371808224117</v>
      </c>
      <c r="G58" s="46">
        <f t="shared" ca="1" si="62"/>
        <v>0.47168363900740512</v>
      </c>
      <c r="H58" s="46">
        <f t="shared" ca="1" si="4"/>
        <v>0.85305340863501089</v>
      </c>
      <c r="I58" s="46">
        <f t="shared" ca="1" si="5"/>
        <v>0.47369150935721654</v>
      </c>
      <c r="J58" s="46">
        <f t="shared" ca="1" si="6"/>
        <v>-0.47727679232072506</v>
      </c>
      <c r="K58" s="46">
        <f t="shared" ca="1" si="7"/>
        <v>0.15515652555301745</v>
      </c>
      <c r="L58" s="12">
        <f t="shared" ca="1" si="8"/>
        <v>7.7613616038396378</v>
      </c>
      <c r="M58" s="12">
        <f t="shared" ca="1" si="9"/>
        <v>12.543047839435561</v>
      </c>
      <c r="N58" s="12">
        <f t="shared" ca="1" si="10"/>
        <v>12.543047839435561</v>
      </c>
      <c r="O58" s="12">
        <f t="shared" ca="1" si="54"/>
        <v>2348.0996110624756</v>
      </c>
      <c r="P58" s="12">
        <f t="shared" ca="1" si="12"/>
        <v>7.7613616038396378</v>
      </c>
      <c r="Q58" s="67">
        <f t="shared" ca="1" si="13"/>
        <v>0.18720238133666633</v>
      </c>
      <c r="R58" s="46">
        <f t="shared" ca="1" si="14"/>
        <v>-0.28018384759418691</v>
      </c>
      <c r="S58" s="46">
        <f t="shared" ca="1" si="15"/>
        <v>-5.2451083481701383E-2</v>
      </c>
      <c r="T58" s="46">
        <f t="shared" ca="1" si="16"/>
        <v>3.5044731578118639E-2</v>
      </c>
      <c r="U58" s="46">
        <f t="shared" ca="1" si="17"/>
        <v>9.1942460146765048E-2</v>
      </c>
      <c r="V58" s="46">
        <f t="shared" ca="1" si="55"/>
        <v>7.8502988452682554E-2</v>
      </c>
      <c r="W58" s="46">
        <f ca="1">$AC$95+$AA$95*N58</f>
        <v>8.0645817551270564</v>
      </c>
      <c r="X58" s="68">
        <f t="shared" ca="1" si="18"/>
        <v>0.30322015128741864</v>
      </c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9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</row>
    <row r="59" spans="1:137" s="9" customFormat="1" x14ac:dyDescent="0.25">
      <c r="A59" s="1"/>
      <c r="B59" s="37"/>
      <c r="C59" s="46">
        <f t="shared" si="20"/>
        <v>10</v>
      </c>
      <c r="D59" s="46">
        <f t="shared" ca="1" si="56"/>
        <v>0.63462869230301733</v>
      </c>
      <c r="E59" s="46">
        <f t="shared" ca="1" si="56"/>
        <v>0.28384647174248345</v>
      </c>
      <c r="F59" s="46">
        <f t="shared" ref="F59:G59" ca="1" si="63">AVERAGE(D55:D63)</f>
        <v>0.71653926753433483</v>
      </c>
      <c r="G59" s="46">
        <f t="shared" ca="1" si="63"/>
        <v>0.48144062125360548</v>
      </c>
      <c r="H59" s="46">
        <f t="shared" ca="1" si="4"/>
        <v>1</v>
      </c>
      <c r="I59" s="46">
        <f t="shared" ca="1" si="5"/>
        <v>0.49239594140376286</v>
      </c>
      <c r="J59" s="46">
        <f t="shared" ca="1" si="6"/>
        <v>0.69765009783410581</v>
      </c>
      <c r="K59" s="46">
        <f t="shared" ca="1" si="7"/>
        <v>-4.6061464934944674E-2</v>
      </c>
      <c r="L59" s="12">
        <f t="shared" ca="1" si="8"/>
        <v>8.3488250489170532</v>
      </c>
      <c r="M59" s="12">
        <f t="shared" ca="1" si="9"/>
        <v>11.838784872727693</v>
      </c>
      <c r="N59" s="12">
        <f t="shared" ca="1" si="10"/>
        <v>11.838784872727693</v>
      </c>
      <c r="O59" s="12">
        <f t="shared" ca="1" si="54"/>
        <v>4225.2134064458578</v>
      </c>
      <c r="P59" s="12">
        <f t="shared" ca="1" si="12"/>
        <v>8.3488250489170532</v>
      </c>
      <c r="Q59" s="67">
        <f t="shared" ca="1" si="13"/>
        <v>-0.51706058537120114</v>
      </c>
      <c r="R59" s="46">
        <f t="shared" ca="1" si="14"/>
        <v>0.30727959748322853</v>
      </c>
      <c r="S59" s="46">
        <f t="shared" ca="1" si="15"/>
        <v>-0.15888216854730522</v>
      </c>
      <c r="T59" s="46">
        <f t="shared" ca="1" si="16"/>
        <v>0.26735164894440916</v>
      </c>
      <c r="U59" s="46">
        <f t="shared" ca="1" si="17"/>
        <v>0.13757185762864471</v>
      </c>
      <c r="V59" s="46">
        <f t="shared" ca="1" si="55"/>
        <v>9.442075102945495E-2</v>
      </c>
      <c r="W59" s="46">
        <f ca="1">$AC$95+$AA$95*N59</f>
        <v>7.9779182444113328</v>
      </c>
      <c r="X59" s="68">
        <f t="shared" ca="1" si="18"/>
        <v>-0.37090680450572044</v>
      </c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9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</row>
    <row r="60" spans="1:137" s="9" customFormat="1" x14ac:dyDescent="0.25">
      <c r="A60" s="1"/>
      <c r="B60" s="37"/>
      <c r="C60" s="46">
        <f t="shared" si="20"/>
        <v>10.25</v>
      </c>
      <c r="D60" s="46">
        <f t="shared" ca="1" si="56"/>
        <v>0.87941333535353172</v>
      </c>
      <c r="E60" s="46">
        <f t="shared" ca="1" si="56"/>
        <v>0.37732357048215659</v>
      </c>
      <c r="F60" s="46">
        <f t="shared" ref="F60:G60" ca="1" si="64">AVERAGE(D56:D64)</f>
        <v>0.67064325963900384</v>
      </c>
      <c r="G60" s="46">
        <f t="shared" ca="1" si="64"/>
        <v>0.44695833005872188</v>
      </c>
      <c r="H60" s="46">
        <f t="shared" ca="1" si="4"/>
        <v>0.88063694086440991</v>
      </c>
      <c r="I60" s="46">
        <f t="shared" ca="1" si="5"/>
        <v>0.42629233926642246</v>
      </c>
      <c r="J60" s="46">
        <f t="shared" ca="1" si="6"/>
        <v>-0.53359871505410428</v>
      </c>
      <c r="K60" s="46">
        <f t="shared" ca="1" si="7"/>
        <v>-0.27979098750914988</v>
      </c>
      <c r="L60" s="12">
        <f t="shared" ca="1" si="8"/>
        <v>7.7332006424729478</v>
      </c>
      <c r="M60" s="12">
        <f t="shared" ca="1" si="9"/>
        <v>11.020731543717975</v>
      </c>
      <c r="N60" s="12">
        <f t="shared" ca="1" si="10"/>
        <v>11.020731543717975</v>
      </c>
      <c r="O60" s="12">
        <f t="shared" ca="1" si="54"/>
        <v>2282.8972580501363</v>
      </c>
      <c r="P60" s="12">
        <f t="shared" ca="1" si="12"/>
        <v>7.7332006424729478</v>
      </c>
      <c r="Q60" s="67">
        <f t="shared" ca="1" si="13"/>
        <v>-1.3351139143809192</v>
      </c>
      <c r="R60" s="46">
        <f t="shared" ca="1" si="14"/>
        <v>-0.3083448089608769</v>
      </c>
      <c r="S60" s="46">
        <f t="shared" ca="1" si="15"/>
        <v>0.41167544487079311</v>
      </c>
      <c r="T60" s="46">
        <f t="shared" ca="1" si="16"/>
        <v>1.7825291643735404</v>
      </c>
      <c r="U60" s="46">
        <f t="shared" ca="1" si="17"/>
        <v>2.0750848623866131E-2</v>
      </c>
      <c r="V60" s="46">
        <f t="shared" ca="1" si="55"/>
        <v>9.5076521213119672E-2</v>
      </c>
      <c r="W60" s="46">
        <f ca="1">$AC$95+$AA$95*N60</f>
        <v>7.8772521909681519</v>
      </c>
      <c r="X60" s="68">
        <f t="shared" ca="1" si="18"/>
        <v>0.14405154849520407</v>
      </c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9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</row>
    <row r="61" spans="1:137" s="9" customFormat="1" x14ac:dyDescent="0.25">
      <c r="A61" s="1"/>
      <c r="B61" s="37"/>
      <c r="C61" s="46">
        <f t="shared" si="20"/>
        <v>10.5</v>
      </c>
      <c r="D61" s="46">
        <f t="shared" ca="1" si="56"/>
        <v>0.50279809166069622</v>
      </c>
      <c r="E61" s="46">
        <f t="shared" ca="1" si="56"/>
        <v>0.26026324085542185</v>
      </c>
      <c r="F61" s="46">
        <f t="shared" ref="F61:G61" ca="1" si="65">AVERAGE(D57:D65)</f>
        <v>0.62259439566389174</v>
      </c>
      <c r="G61" s="46">
        <f t="shared" ca="1" si="65"/>
        <v>0.41697895816458769</v>
      </c>
      <c r="H61" s="46">
        <f t="shared" ca="1" si="4"/>
        <v>0.75567488740784605</v>
      </c>
      <c r="I61" s="46">
        <f t="shared" ca="1" si="5"/>
        <v>0.36882097053349855</v>
      </c>
      <c r="J61" s="46">
        <f t="shared" ca="1" si="6"/>
        <v>-0.29017015766709031</v>
      </c>
      <c r="K61" s="46">
        <f t="shared" ca="1" si="7"/>
        <v>-0.25168364088086642</v>
      </c>
      <c r="L61" s="12">
        <f t="shared" ca="1" si="8"/>
        <v>7.8549149211664551</v>
      </c>
      <c r="M61" s="12">
        <f t="shared" ca="1" si="9"/>
        <v>11.119107256916967</v>
      </c>
      <c r="N61" s="12">
        <f t="shared" ca="1" si="10"/>
        <v>11.119107256916967</v>
      </c>
      <c r="O61" s="12">
        <f t="shared" ca="1" si="54"/>
        <v>2578.3757390853611</v>
      </c>
      <c r="P61" s="12">
        <f t="shared" ca="1" si="12"/>
        <v>7.8549149211664551</v>
      </c>
      <c r="Q61" s="67">
        <f t="shared" ca="1" si="13"/>
        <v>-1.236738201181927</v>
      </c>
      <c r="R61" s="46">
        <f t="shared" ca="1" si="14"/>
        <v>-0.18663053026736964</v>
      </c>
      <c r="S61" s="46">
        <f t="shared" ca="1" si="15"/>
        <v>0.23081310628849591</v>
      </c>
      <c r="T61" s="46">
        <f t="shared" ca="1" si="16"/>
        <v>1.5295213782627086</v>
      </c>
      <c r="U61" s="46">
        <f t="shared" ca="1" si="17"/>
        <v>1.1863170418508746E-3</v>
      </c>
      <c r="V61" s="46">
        <f t="shared" ca="1" si="55"/>
        <v>3.4830954827879575E-2</v>
      </c>
      <c r="W61" s="46">
        <f ca="1">$AC$95+$AA$95*N61</f>
        <v>7.8893578746090807</v>
      </c>
      <c r="X61" s="68">
        <f t="shared" ca="1" si="18"/>
        <v>3.4442953442625601E-2</v>
      </c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9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</row>
    <row r="62" spans="1:137" s="9" customFormat="1" x14ac:dyDescent="0.25">
      <c r="A62" s="1"/>
      <c r="B62" s="37"/>
      <c r="C62" s="46">
        <f t="shared" si="20"/>
        <v>10.75</v>
      </c>
      <c r="D62" s="46">
        <f t="shared" ca="1" si="56"/>
        <v>0.81653247967186227</v>
      </c>
      <c r="E62" s="46">
        <f t="shared" ca="1" si="56"/>
        <v>0.20397760199402026</v>
      </c>
      <c r="F62" s="46">
        <f t="shared" ref="F62:G62" ca="1" si="66">AVERAGE(D58:D66)</f>
        <v>0.62431392876302716</v>
      </c>
      <c r="G62" s="46">
        <f t="shared" ca="1" si="66"/>
        <v>0.44084582865878597</v>
      </c>
      <c r="H62" s="46">
        <f t="shared" ca="1" si="4"/>
        <v>0.7601469262715701</v>
      </c>
      <c r="I62" s="46">
        <f t="shared" ca="1" si="5"/>
        <v>0.41457448796931223</v>
      </c>
      <c r="J62" s="46">
        <f t="shared" ca="1" si="6"/>
        <v>-0.13018614478077031</v>
      </c>
      <c r="K62" s="46">
        <f t="shared" ca="1" si="7"/>
        <v>-0.15777558029578601</v>
      </c>
      <c r="L62" s="12">
        <f t="shared" ca="1" si="8"/>
        <v>7.9349069276096147</v>
      </c>
      <c r="M62" s="12">
        <f t="shared" ca="1" si="9"/>
        <v>11.447785468964749</v>
      </c>
      <c r="N62" s="12">
        <f t="shared" ca="1" si="10"/>
        <v>11.447785468964749</v>
      </c>
      <c r="O62" s="12">
        <f t="shared" ca="1" si="54"/>
        <v>2793.0987668750454</v>
      </c>
      <c r="P62" s="12">
        <f t="shared" ca="1" si="12"/>
        <v>7.9349069276096147</v>
      </c>
      <c r="Q62" s="67">
        <f t="shared" ca="1" si="13"/>
        <v>-0.90805998913414498</v>
      </c>
      <c r="R62" s="46">
        <f t="shared" ca="1" si="14"/>
        <v>-0.10663852382421002</v>
      </c>
      <c r="S62" s="46">
        <f t="shared" ca="1" si="15"/>
        <v>9.6834176785093415E-2</v>
      </c>
      <c r="T62" s="46">
        <f t="shared" ca="1" si="16"/>
        <v>0.82457294386630353</v>
      </c>
      <c r="U62" s="46">
        <f t="shared" ca="1" si="17"/>
        <v>2.604422519222879E-5</v>
      </c>
      <c r="V62" s="46">
        <f t="shared" ca="1" si="55"/>
        <v>1.1371774763406608E-2</v>
      </c>
      <c r="W62" s="46">
        <f ca="1">$AC$95+$AA$95*N62</f>
        <v>7.9298035733016885</v>
      </c>
      <c r="X62" s="68">
        <f t="shared" ca="1" si="18"/>
        <v>-5.1033543079261889E-3</v>
      </c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9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</row>
    <row r="63" spans="1:137" s="9" customFormat="1" x14ac:dyDescent="0.25">
      <c r="A63" s="1"/>
      <c r="B63" s="37"/>
      <c r="C63" s="46">
        <f t="shared" si="20"/>
        <v>11</v>
      </c>
      <c r="D63" s="46">
        <f t="shared" ca="1" si="56"/>
        <v>0.86112925513999372</v>
      </c>
      <c r="E63" s="46">
        <f t="shared" ca="1" si="56"/>
        <v>0.67507740031950492</v>
      </c>
      <c r="F63" s="46">
        <f t="shared" ref="F63:G63" ca="1" si="67">AVERAGE(D59:D67)</f>
        <v>0.63457436458568628</v>
      </c>
      <c r="G63" s="46">
        <f t="shared" ca="1" si="67"/>
        <v>0.42486635495793301</v>
      </c>
      <c r="H63" s="46">
        <f t="shared" ca="1" si="4"/>
        <v>0.78683153489047308</v>
      </c>
      <c r="I63" s="46">
        <f t="shared" ca="1" si="5"/>
        <v>0.38394135034178684</v>
      </c>
      <c r="J63" s="46">
        <f t="shared" ca="1" si="6"/>
        <v>-0.27114594317760254</v>
      </c>
      <c r="K63" s="46">
        <f t="shared" ca="1" si="7"/>
        <v>0.10248349162216958</v>
      </c>
      <c r="L63" s="12">
        <f t="shared" ca="1" si="8"/>
        <v>7.8644270284111988</v>
      </c>
      <c r="M63" s="12">
        <f t="shared" ca="1" si="9"/>
        <v>12.358692220677593</v>
      </c>
      <c r="N63" s="12">
        <f t="shared" ca="1" si="10"/>
        <v>12.358692220677593</v>
      </c>
      <c r="O63" s="12">
        <f t="shared" ca="1" si="54"/>
        <v>2603.0185423195389</v>
      </c>
      <c r="P63" s="12">
        <f t="shared" ca="1" si="12"/>
        <v>7.8644270284111988</v>
      </c>
      <c r="Q63" s="67">
        <f t="shared" ca="1" si="13"/>
        <v>2.8467625786987583E-3</v>
      </c>
      <c r="R63" s="46">
        <f t="shared" ca="1" si="14"/>
        <v>-0.17711842302262593</v>
      </c>
      <c r="S63" s="46">
        <f t="shared" ca="1" si="15"/>
        <v>-5.042140986589481E-4</v>
      </c>
      <c r="T63" s="46">
        <f t="shared" ca="1" si="16"/>
        <v>8.1040571794796034E-6</v>
      </c>
      <c r="U63" s="46">
        <f t="shared" ca="1" si="17"/>
        <v>3.1495151240661011E-2</v>
      </c>
      <c r="V63" s="46">
        <f t="shared" ca="1" si="55"/>
        <v>3.1370935774021863E-2</v>
      </c>
      <c r="W63" s="46">
        <f ca="1">$AC$95+$AA$95*N63</f>
        <v>8.0418957615465345</v>
      </c>
      <c r="X63" s="68">
        <f t="shared" ca="1" si="18"/>
        <v>0.17746873313533573</v>
      </c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9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</row>
    <row r="64" spans="1:137" s="9" customFormat="1" ht="15.75" thickBot="1" x14ac:dyDescent="0.3">
      <c r="A64" s="1"/>
      <c r="B64" s="37"/>
      <c r="C64" s="46">
        <f t="shared" si="20"/>
        <v>11.25</v>
      </c>
      <c r="D64" s="46">
        <f t="shared" ca="1" si="56"/>
        <v>0.14279963352203162</v>
      </c>
      <c r="E64" s="46">
        <f t="shared" ca="1" si="56"/>
        <v>0.66627502613111922</v>
      </c>
      <c r="F64" s="46">
        <f t="shared" ref="F64:G64" ca="1" si="68">AVERAGE(D60:D68)</f>
        <v>0.66164735692622001</v>
      </c>
      <c r="G64" s="46">
        <f t="shared" ca="1" si="68"/>
        <v>0.46357668964016685</v>
      </c>
      <c r="H64" s="46">
        <f t="shared" ca="1" si="4"/>
        <v>0.85724103963629317</v>
      </c>
      <c r="I64" s="46">
        <f t="shared" ca="1" si="5"/>
        <v>0.45815024057983911</v>
      </c>
      <c r="J64" s="46">
        <f t="shared" ca="1" si="6"/>
        <v>1.180782351662818</v>
      </c>
      <c r="K64" s="46">
        <f t="shared" ca="1" si="7"/>
        <v>0.86307204908398039</v>
      </c>
      <c r="L64" s="12">
        <f t="shared" ca="1" si="8"/>
        <v>8.5903911758314084</v>
      </c>
      <c r="M64" s="12">
        <f t="shared" ca="1" si="9"/>
        <v>15.020752171793932</v>
      </c>
      <c r="N64" s="12">
        <f t="shared" ca="1" si="10"/>
        <v>15.020752171793932</v>
      </c>
      <c r="O64" s="12">
        <f t="shared" ca="1" si="54"/>
        <v>5379.7176794023908</v>
      </c>
      <c r="P64" s="12">
        <f t="shared" ca="1" si="12"/>
        <v>8.5903911758314084</v>
      </c>
      <c r="Q64" s="67">
        <f t="shared" ca="1" si="13"/>
        <v>2.6649067136950375</v>
      </c>
      <c r="R64" s="46">
        <f t="shared" ca="1" si="14"/>
        <v>0.54884572439758372</v>
      </c>
      <c r="S64" s="46">
        <f t="shared" ca="1" si="15"/>
        <v>1.4626226557299371</v>
      </c>
      <c r="T64" s="46">
        <f t="shared" ca="1" si="16"/>
        <v>7.1017277926968845</v>
      </c>
      <c r="U64" s="46">
        <f t="shared" ca="1" si="17"/>
        <v>4.8802993867214796E-2</v>
      </c>
      <c r="V64" s="46">
        <f t="shared" ca="1" si="55"/>
        <v>0.30123162918950841</v>
      </c>
      <c r="W64" s="46">
        <f ca="1">$AC$95+$AA$95*N64</f>
        <v>8.369477179291545</v>
      </c>
      <c r="X64" s="68">
        <f t="shared" ca="1" si="18"/>
        <v>-0.22091399653986343</v>
      </c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9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</row>
    <row r="65" spans="1:137" s="9" customFormat="1" ht="19.5" thickBot="1" x14ac:dyDescent="0.35">
      <c r="A65" s="1"/>
      <c r="B65" s="37"/>
      <c r="C65" s="46">
        <f t="shared" si="20"/>
        <v>11.5</v>
      </c>
      <c r="D65" s="46">
        <f t="shared" ca="1" si="56"/>
        <v>0.39003236129952468</v>
      </c>
      <c r="E65" s="46">
        <f t="shared" ca="1" si="56"/>
        <v>0.28129951464352543</v>
      </c>
      <c r="F65" s="46">
        <f t="shared" ref="F65:G65" ca="1" si="69">AVERAGE(D61:D69)</f>
        <v>0.64998888008236655</v>
      </c>
      <c r="G65" s="46">
        <f t="shared" ca="1" si="69"/>
        <v>0.48958496101975701</v>
      </c>
      <c r="H65" s="46">
        <f t="shared" ca="1" si="4"/>
        <v>0.82692050578686971</v>
      </c>
      <c r="I65" s="46">
        <f t="shared" ca="1" si="5"/>
        <v>0.50800888871431982</v>
      </c>
      <c r="J65" s="46">
        <f t="shared" ca="1" si="6"/>
        <v>0.39029582466998985</v>
      </c>
      <c r="K65" s="46">
        <f t="shared" ca="1" si="7"/>
        <v>1.2022624541993783</v>
      </c>
      <c r="L65" s="12">
        <f t="shared" ca="1" si="8"/>
        <v>8.1951479123349955</v>
      </c>
      <c r="M65" s="12">
        <f t="shared" ca="1" si="9"/>
        <v>16.207918589697826</v>
      </c>
      <c r="N65" s="12">
        <f t="shared" ca="1" si="10"/>
        <v>16.207918589697826</v>
      </c>
      <c r="O65" s="12">
        <f t="shared" ca="1" si="54"/>
        <v>3623.3268870227112</v>
      </c>
      <c r="P65" s="12">
        <f t="shared" ca="1" si="12"/>
        <v>8.1951479123349955</v>
      </c>
      <c r="Q65" s="67">
        <f t="shared" ca="1" si="13"/>
        <v>3.8520731315989316</v>
      </c>
      <c r="R65" s="46">
        <f t="shared" ca="1" si="14"/>
        <v>0.1536024609011708</v>
      </c>
      <c r="S65" s="46">
        <f t="shared" ca="1" si="15"/>
        <v>0.59168791258487541</v>
      </c>
      <c r="T65" s="46">
        <f t="shared" ca="1" si="16"/>
        <v>14.8384674111864</v>
      </c>
      <c r="U65" s="46">
        <f t="shared" ca="1" si="17"/>
        <v>0.10266689856900395</v>
      </c>
      <c r="V65" s="46">
        <f t="shared" ca="1" si="55"/>
        <v>2.3593715994895705E-2</v>
      </c>
      <c r="W65" s="46">
        <f ca="1">$AC$95+$AA$95*N65</f>
        <v>8.5155646699632506</v>
      </c>
      <c r="X65" s="68">
        <f t="shared" ca="1" si="18"/>
        <v>0.32041675762825506</v>
      </c>
      <c r="Y65" s="38"/>
      <c r="Z65" s="151" t="s">
        <v>55</v>
      </c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5"/>
      <c r="BA65" s="38"/>
      <c r="BB65" s="39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</row>
    <row r="66" spans="1:137" s="9" customFormat="1" x14ac:dyDescent="0.25">
      <c r="A66" s="1"/>
      <c r="B66" s="37"/>
      <c r="C66" s="46">
        <f t="shared" si="20"/>
        <v>11.75</v>
      </c>
      <c r="D66" s="46">
        <f t="shared" ca="1" si="56"/>
        <v>0.53181902394035785</v>
      </c>
      <c r="E66" s="46">
        <f t="shared" ca="1" si="56"/>
        <v>0.79199541305983379</v>
      </c>
      <c r="F66" s="46">
        <f t="shared" ref="F66:G66" ca="1" si="70">AVERAGE(D62:D70)</f>
        <v>0.68347723558373119</v>
      </c>
      <c r="G66" s="46">
        <f t="shared" ca="1" si="70"/>
        <v>0.51971041865389578</v>
      </c>
      <c r="H66" s="46">
        <f t="shared" ca="1" si="4"/>
        <v>0.91401462881341067</v>
      </c>
      <c r="I66" s="46">
        <f t="shared" ca="1" si="5"/>
        <v>0.56576030825885093</v>
      </c>
      <c r="J66" s="46">
        <f t="shared" ca="1" si="6"/>
        <v>0.54239567865610416</v>
      </c>
      <c r="K66" s="46">
        <f t="shared" ca="1" si="7"/>
        <v>0.6473470866973331</v>
      </c>
      <c r="L66" s="12">
        <f t="shared" ca="1" si="8"/>
        <v>8.2711978393280514</v>
      </c>
      <c r="M66" s="12">
        <f t="shared" ca="1" si="9"/>
        <v>14.265714803440666</v>
      </c>
      <c r="N66" s="12">
        <f t="shared" ca="1" si="10"/>
        <v>14.265714803440666</v>
      </c>
      <c r="O66" s="12">
        <f t="shared" ca="1" si="54"/>
        <v>3909.6292961973504</v>
      </c>
      <c r="P66" s="12">
        <f t="shared" ca="1" si="12"/>
        <v>8.2711978393280514</v>
      </c>
      <c r="Q66" s="67">
        <f t="shared" ca="1" si="13"/>
        <v>1.9098693453417717</v>
      </c>
      <c r="R66" s="46">
        <f t="shared" ca="1" si="14"/>
        <v>0.22965238789422671</v>
      </c>
      <c r="S66" s="46">
        <f t="shared" ca="1" si="15"/>
        <v>0.43860605572372136</v>
      </c>
      <c r="T66" s="46">
        <f t="shared" ca="1" si="16"/>
        <v>3.6476009162762075</v>
      </c>
      <c r="U66" s="46">
        <f t="shared" ca="1" si="17"/>
        <v>2.8812784668018144E-5</v>
      </c>
      <c r="V66" s="46">
        <f t="shared" ca="1" si="55"/>
        <v>5.2740219265520367E-2</v>
      </c>
      <c r="W66" s="46">
        <f ca="1">$AC$95+$AA$95*N66</f>
        <v>8.2765655934830047</v>
      </c>
      <c r="X66" s="68">
        <f t="shared" ca="1" si="18"/>
        <v>5.3677541549532748E-3</v>
      </c>
      <c r="Y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38"/>
      <c r="BB66" s="39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</row>
    <row r="67" spans="1:137" s="9" customFormat="1" x14ac:dyDescent="0.25">
      <c r="A67" s="1"/>
      <c r="B67" s="37"/>
      <c r="C67" s="46">
        <f t="shared" si="20"/>
        <v>12</v>
      </c>
      <c r="D67" s="46">
        <f t="shared" ca="1" si="56"/>
        <v>0.95201640838016122</v>
      </c>
      <c r="E67" s="46">
        <f t="shared" ca="1" si="56"/>
        <v>0.28373895539333149</v>
      </c>
      <c r="F67" s="46">
        <f t="shared" ref="F67:G67" ca="1" si="71">AVERAGE(D63:D71)</f>
        <v>0.62253474833542954</v>
      </c>
      <c r="G67" s="46">
        <f t="shared" ca="1" si="71"/>
        <v>0.55266125466511251</v>
      </c>
      <c r="H67" s="46">
        <f t="shared" ca="1" si="4"/>
        <v>0.75551976089639117</v>
      </c>
      <c r="I67" s="46">
        <f t="shared" ca="1" si="5"/>
        <v>0.62892806417935687</v>
      </c>
      <c r="J67" s="46">
        <f t="shared" ca="1" si="6"/>
        <v>1.2880357734818759</v>
      </c>
      <c r="K67" s="46">
        <f t="shared" ca="1" si="7"/>
        <v>1.6759521059140678</v>
      </c>
      <c r="L67" s="12">
        <f t="shared" ca="1" si="8"/>
        <v>8.6440178867409383</v>
      </c>
      <c r="M67" s="12">
        <f t="shared" ca="1" si="9"/>
        <v>17.865832370699238</v>
      </c>
      <c r="N67" s="12">
        <f t="shared" ca="1" si="10"/>
        <v>17.865832370699238</v>
      </c>
      <c r="O67" s="12">
        <f t="shared" ca="1" si="54"/>
        <v>5676.0899565774989</v>
      </c>
      <c r="P67" s="12">
        <f t="shared" ca="1" si="12"/>
        <v>8.6440178867409383</v>
      </c>
      <c r="Q67" s="67">
        <f t="shared" ca="1" si="13"/>
        <v>5.5099869126003433</v>
      </c>
      <c r="R67" s="46">
        <f t="shared" ca="1" si="14"/>
        <v>0.60247243530711359</v>
      </c>
      <c r="S67" s="46">
        <f t="shared" ca="1" si="15"/>
        <v>3.3196152337446527</v>
      </c>
      <c r="T67" s="46">
        <f t="shared" ca="1" si="16"/>
        <v>30.359955777027064</v>
      </c>
      <c r="U67" s="46">
        <f t="shared" ca="1" si="17"/>
        <v>5.7096731176708203E-3</v>
      </c>
      <c r="V67" s="46">
        <f t="shared" ca="1" si="55"/>
        <v>0.36297303530488417</v>
      </c>
      <c r="W67" s="46">
        <f ca="1">$AC$95+$AA$95*N67</f>
        <v>8.719580265724602</v>
      </c>
      <c r="X67" s="68">
        <f t="shared" ca="1" si="18"/>
        <v>7.5562378983663692E-2</v>
      </c>
      <c r="Y67" s="46"/>
      <c r="Z67" s="121" t="s">
        <v>93</v>
      </c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121" t="s">
        <v>101</v>
      </c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38"/>
      <c r="BB67" s="39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</row>
    <row r="68" spans="1:137" s="9" customFormat="1" x14ac:dyDescent="0.25">
      <c r="A68" s="1"/>
      <c r="B68" s="37"/>
      <c r="C68" s="46">
        <f t="shared" si="20"/>
        <v>12.25</v>
      </c>
      <c r="D68" s="46">
        <f t="shared" ca="1" si="56"/>
        <v>0.87828562336782046</v>
      </c>
      <c r="E68" s="46">
        <f t="shared" ca="1" si="56"/>
        <v>0.63223948388258766</v>
      </c>
      <c r="F68" s="46">
        <f t="shared" ref="F68:G68" ca="1" si="72">AVERAGE(D64:D72)</f>
        <v>0.53929924104205762</v>
      </c>
      <c r="G68" s="46">
        <f t="shared" ca="1" si="72"/>
        <v>0.49935759212527053</v>
      </c>
      <c r="H68" s="46">
        <f t="shared" ca="1" si="4"/>
        <v>0.53904679876213313</v>
      </c>
      <c r="I68" s="46">
        <f t="shared" ca="1" si="5"/>
        <v>0.52674332010064595</v>
      </c>
      <c r="J68" s="46">
        <f t="shared" ca="1" si="6"/>
        <v>6.3703143181943714E-2</v>
      </c>
      <c r="K68" s="46">
        <f t="shared" ca="1" si="7"/>
        <v>0.76194776799145492</v>
      </c>
      <c r="L68" s="12">
        <f t="shared" ca="1" si="8"/>
        <v>8.0318515715909715</v>
      </c>
      <c r="M68" s="12">
        <f t="shared" ca="1" si="9"/>
        <v>14.666817187970093</v>
      </c>
      <c r="N68" s="12">
        <f t="shared" ca="1" si="10"/>
        <v>14.666817187970093</v>
      </c>
      <c r="O68" s="12">
        <f t="shared" ca="1" si="54"/>
        <v>3077.4344915930706</v>
      </c>
      <c r="P68" s="12">
        <f t="shared" ca="1" si="12"/>
        <v>8.0318515715909715</v>
      </c>
      <c r="Q68" s="67">
        <f t="shared" ca="1" si="13"/>
        <v>2.3109717298711985</v>
      </c>
      <c r="R68" s="46">
        <f t="shared" ca="1" si="14"/>
        <v>-9.6938798428531925E-3</v>
      </c>
      <c r="S68" s="46">
        <f t="shared" ca="1" si="15"/>
        <v>-2.2402282269601982E-2</v>
      </c>
      <c r="T68" s="46">
        <f t="shared" ca="1" si="16"/>
        <v>5.3405903362638796</v>
      </c>
      <c r="U68" s="46">
        <f t="shared" ca="1" si="17"/>
        <v>8.6478295007514555E-2</v>
      </c>
      <c r="V68" s="46">
        <f t="shared" ca="1" si="55"/>
        <v>9.3971306407675435E-5</v>
      </c>
      <c r="W68" s="46">
        <f ca="1">$AC$95+$AA$95*N68</f>
        <v>8.3259234930787507</v>
      </c>
      <c r="X68" s="68">
        <f t="shared" ca="1" si="18"/>
        <v>0.29407192148777916</v>
      </c>
      <c r="Y68" s="46"/>
      <c r="Z68" s="121" t="s">
        <v>94</v>
      </c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121" t="s">
        <v>108</v>
      </c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38"/>
      <c r="BB68" s="39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</row>
    <row r="69" spans="1:137" s="9" customFormat="1" x14ac:dyDescent="0.25">
      <c r="A69" s="1"/>
      <c r="B69" s="37"/>
      <c r="C69" s="46">
        <f t="shared" si="20"/>
        <v>12.5</v>
      </c>
      <c r="D69" s="46">
        <f t="shared" ca="1" si="56"/>
        <v>0.77448704375885036</v>
      </c>
      <c r="E69" s="46">
        <f t="shared" ca="1" si="56"/>
        <v>0.61139801289846851</v>
      </c>
      <c r="F69" s="46">
        <f t="shared" ref="F69:G69" ca="1" si="73">AVERAGE(D65:D73)</f>
        <v>0.56836380209740822</v>
      </c>
      <c r="G69" s="46">
        <f t="shared" ca="1" si="73"/>
        <v>0.52125222641768498</v>
      </c>
      <c r="H69" s="46">
        <f t="shared" ca="1" si="4"/>
        <v>0.61463583317034598</v>
      </c>
      <c r="I69" s="46">
        <f t="shared" ca="1" si="5"/>
        <v>0.56871600068699524</v>
      </c>
      <c r="J69" s="46">
        <f t="shared" ca="1" si="6"/>
        <v>1.6296175066040385E-2</v>
      </c>
      <c r="K69" s="46">
        <f t="shared" ca="1" si="7"/>
        <v>-0.10504216754943273</v>
      </c>
      <c r="L69" s="12">
        <f t="shared" ca="1" si="8"/>
        <v>8.0081480875330193</v>
      </c>
      <c r="M69" s="12">
        <f t="shared" ca="1" si="9"/>
        <v>11.632352413576985</v>
      </c>
      <c r="N69" s="12">
        <f t="shared" ca="1" si="10"/>
        <v>11.632352413576985</v>
      </c>
      <c r="O69" s="12">
        <f t="shared" ca="1" si="54"/>
        <v>3005.3463178485013</v>
      </c>
      <c r="P69" s="12">
        <f t="shared" ca="1" si="12"/>
        <v>8.0081480875330193</v>
      </c>
      <c r="Q69" s="67">
        <f t="shared" ca="1" si="13"/>
        <v>-0.72349304452190921</v>
      </c>
      <c r="R69" s="46">
        <f t="shared" ca="1" si="14"/>
        <v>-3.3397363900805388E-2</v>
      </c>
      <c r="S69" s="46">
        <f t="shared" ca="1" si="15"/>
        <v>2.4162760487599796E-2</v>
      </c>
      <c r="T69" s="46">
        <f t="shared" ca="1" si="16"/>
        <v>0.52344218547158128</v>
      </c>
      <c r="U69" s="46">
        <f t="shared" ca="1" si="17"/>
        <v>3.0949768162820196E-3</v>
      </c>
      <c r="V69" s="46">
        <f t="shared" ca="1" si="55"/>
        <v>1.115383915522819E-3</v>
      </c>
      <c r="W69" s="46">
        <f ca="1">$AC$95+$AA$95*N69</f>
        <v>7.9525155717146419</v>
      </c>
      <c r="X69" s="68">
        <f t="shared" ca="1" si="18"/>
        <v>-5.563251581837747E-2</v>
      </c>
      <c r="Y69" s="46"/>
      <c r="Z69" s="38" t="s">
        <v>95</v>
      </c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 t="s">
        <v>109</v>
      </c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9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</row>
    <row r="70" spans="1:137" s="9" customFormat="1" ht="15.75" thickBot="1" x14ac:dyDescent="0.3">
      <c r="A70" s="1"/>
      <c r="B70" s="37"/>
      <c r="C70" s="46">
        <f t="shared" si="20"/>
        <v>12.75</v>
      </c>
      <c r="D70" s="46">
        <f t="shared" ca="1" si="56"/>
        <v>0.80419329117297866</v>
      </c>
      <c r="E70" s="46">
        <f t="shared" ca="1" si="56"/>
        <v>0.53139235956267039</v>
      </c>
      <c r="F70" s="46">
        <f t="shared" ref="F70:G70" ca="1" si="74">AVERAGE(D66:D74)</f>
        <v>0.60074299300049605</v>
      </c>
      <c r="G70" s="46">
        <f t="shared" ca="1" si="74"/>
        <v>0.5736177684134498</v>
      </c>
      <c r="H70" s="46">
        <f t="shared" ca="1" si="4"/>
        <v>0.698845320133612</v>
      </c>
      <c r="I70" s="46">
        <f t="shared" ca="1" si="5"/>
        <v>0.66910233911881745</v>
      </c>
      <c r="J70" s="46">
        <f t="shared" ca="1" si="6"/>
        <v>-1.9884170239443972</v>
      </c>
      <c r="K70" s="46">
        <f t="shared" ca="1" si="7"/>
        <v>-1.2350318263252524</v>
      </c>
      <c r="L70" s="12">
        <f t="shared" ca="1" si="8"/>
        <v>7.0057914880278016</v>
      </c>
      <c r="M70" s="12">
        <f t="shared" ca="1" si="9"/>
        <v>7.6773886078616167</v>
      </c>
      <c r="N70" s="12">
        <f t="shared" ca="1" si="10"/>
        <v>7.6773886078616167</v>
      </c>
      <c r="O70" s="12">
        <f t="shared" ca="1" si="54"/>
        <v>1103.0027230614132</v>
      </c>
      <c r="P70" s="12">
        <f t="shared" ca="1" si="12"/>
        <v>7.0057914880278016</v>
      </c>
      <c r="Q70" s="67">
        <f t="shared" ca="1" si="13"/>
        <v>-4.6784568502372776</v>
      </c>
      <c r="R70" s="46">
        <f t="shared" ca="1" si="14"/>
        <v>-1.0357539634060231</v>
      </c>
      <c r="S70" s="46">
        <f t="shared" ca="1" si="15"/>
        <v>4.8457302252573191</v>
      </c>
      <c r="T70" s="46">
        <f t="shared" ca="1" si="16"/>
        <v>21.887958499532107</v>
      </c>
      <c r="U70" s="46">
        <f t="shared" ca="1" si="17"/>
        <v>0.21164010491673452</v>
      </c>
      <c r="V70" s="46">
        <f t="shared" ca="1" si="55"/>
        <v>1.0727862727112853</v>
      </c>
      <c r="W70" s="46">
        <f ca="1">$AC$95+$AA$95*N70</f>
        <v>7.4658350782632645</v>
      </c>
      <c r="X70" s="68">
        <f t="shared" ca="1" si="18"/>
        <v>0.46004359023546293</v>
      </c>
      <c r="Y70" s="46"/>
      <c r="Z70" s="12"/>
      <c r="AA70" s="12"/>
      <c r="AB70" s="12"/>
      <c r="AC70" s="12"/>
      <c r="AD70" s="12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9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</row>
    <row r="71" spans="1:137" s="9" customFormat="1" x14ac:dyDescent="0.25">
      <c r="A71" s="1"/>
      <c r="B71" s="37"/>
      <c r="C71" s="46">
        <f t="shared" si="20"/>
        <v>13</v>
      </c>
      <c r="D71" s="46">
        <f t="shared" ca="1" si="56"/>
        <v>0.26805009443714678</v>
      </c>
      <c r="E71" s="46">
        <f t="shared" ca="1" si="56"/>
        <v>0.50053512609497086</v>
      </c>
      <c r="F71" s="46">
        <f t="shared" ref="F71:G71" ca="1" si="75">AVERAGE(D67:D75)</f>
        <v>0.57500086726279165</v>
      </c>
      <c r="G71" s="46">
        <f t="shared" ca="1" si="75"/>
        <v>0.51635666804147595</v>
      </c>
      <c r="H71" s="46">
        <f t="shared" ca="1" si="4"/>
        <v>0.63189703818907306</v>
      </c>
      <c r="I71" s="46">
        <f t="shared" ca="1" si="5"/>
        <v>0.55933106621984874</v>
      </c>
      <c r="J71" s="46">
        <f t="shared" ca="1" si="6"/>
        <v>-0.95540480430462293</v>
      </c>
      <c r="K71" s="46">
        <f t="shared" ca="1" si="7"/>
        <v>-0.86868198918657624</v>
      </c>
      <c r="L71" s="12">
        <f t="shared" ca="1" si="8"/>
        <v>7.5222975978476887</v>
      </c>
      <c r="M71" s="12">
        <f t="shared" ca="1" si="9"/>
        <v>8.9596130378469834</v>
      </c>
      <c r="N71" s="12">
        <f t="shared" ca="1" si="10"/>
        <v>8.9596130378469834</v>
      </c>
      <c r="O71" s="12">
        <f t="shared" ca="1" si="54"/>
        <v>1848.8102403236028</v>
      </c>
      <c r="P71" s="12">
        <f t="shared" ca="1" si="12"/>
        <v>7.5222975978476887</v>
      </c>
      <c r="Q71" s="67">
        <f t="shared" ca="1" si="13"/>
        <v>-3.396232420251911</v>
      </c>
      <c r="R71" s="46">
        <f t="shared" ca="1" si="14"/>
        <v>-0.51924785358613601</v>
      </c>
      <c r="S71" s="46">
        <f t="shared" ca="1" si="15"/>
        <v>1.7634863944954526</v>
      </c>
      <c r="T71" s="46">
        <f t="shared" ca="1" si="16"/>
        <v>11.534394652370153</v>
      </c>
      <c r="U71" s="46">
        <f t="shared" ca="1" si="17"/>
        <v>1.0266227320240212E-2</v>
      </c>
      <c r="V71" s="46">
        <f t="shared" ca="1" si="55"/>
        <v>0.26961833345380931</v>
      </c>
      <c r="W71" s="46">
        <f ca="1">$AC$95+$AA$95*N71</f>
        <v>7.6236199908328537</v>
      </c>
      <c r="X71" s="68">
        <f t="shared" ca="1" si="18"/>
        <v>0.10132239298516499</v>
      </c>
      <c r="Y71" s="46"/>
      <c r="Z71" s="12"/>
      <c r="AA71" s="12"/>
      <c r="AB71" s="12"/>
      <c r="AC71" s="12"/>
      <c r="AD71" s="12"/>
      <c r="AE71" s="38" t="s">
        <v>96</v>
      </c>
      <c r="AF71" s="38"/>
      <c r="AG71" s="38"/>
      <c r="AH71" s="38"/>
      <c r="AI71" s="38"/>
      <c r="AJ71" s="38"/>
      <c r="AK71" s="38"/>
      <c r="AL71" s="45" t="s">
        <v>70</v>
      </c>
      <c r="AM71" s="38"/>
      <c r="AN71" s="38"/>
      <c r="AO71" s="112" t="s">
        <v>26</v>
      </c>
      <c r="AP71" s="13">
        <f ca="1">AM73</f>
        <v>-0.38781310899317489</v>
      </c>
      <c r="AQ71" s="14">
        <f ca="1">AP71+($AM$74-$AM$73)/10</f>
        <v>-0.30011960890661449</v>
      </c>
      <c r="AR71" s="14">
        <f ca="1">AQ71+($AM$74-$AM$73)/10</f>
        <v>-0.21242610882005408</v>
      </c>
      <c r="AS71" s="14">
        <f ca="1">AR71+($AM$74-$AM$73)/10</f>
        <v>-0.12473260873349368</v>
      </c>
      <c r="AT71" s="14">
        <f t="shared" ref="AT71:AY71" ca="1" si="76">AS71+($AM$74-$AM$73)/10</f>
        <v>-3.7039108646933272E-2</v>
      </c>
      <c r="AU71" s="14">
        <f t="shared" ca="1" si="76"/>
        <v>5.0654391439627133E-2</v>
      </c>
      <c r="AV71" s="14">
        <f t="shared" ca="1" si="76"/>
        <v>0.13834789152618754</v>
      </c>
      <c r="AW71" s="14">
        <f t="shared" ca="1" si="76"/>
        <v>0.22604139161274794</v>
      </c>
      <c r="AX71" s="14">
        <f t="shared" ca="1" si="76"/>
        <v>0.31373489169930835</v>
      </c>
      <c r="AY71" s="15">
        <f t="shared" ca="1" si="76"/>
        <v>0.40142839178586875</v>
      </c>
      <c r="AZ71" s="38"/>
      <c r="BA71" s="38"/>
      <c r="BB71" s="39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</row>
    <row r="72" spans="1:137" s="9" customFormat="1" ht="15.75" thickBot="1" x14ac:dyDescent="0.3">
      <c r="A72" s="1"/>
      <c r="B72" s="37"/>
      <c r="C72" s="46">
        <f t="shared" si="20"/>
        <v>13.25</v>
      </c>
      <c r="D72" s="46">
        <f t="shared" ca="1" si="56"/>
        <v>0.11200968949964729</v>
      </c>
      <c r="E72" s="46">
        <f t="shared" ca="1" si="56"/>
        <v>0.19534443746092733</v>
      </c>
      <c r="F72" s="46">
        <f t="shared" ref="F72:G72" ca="1" si="77">AVERAGE(D68:D76)</f>
        <v>0.55317602174248337</v>
      </c>
      <c r="G72" s="46">
        <f t="shared" ca="1" si="77"/>
        <v>0.48741829444852197</v>
      </c>
      <c r="H72" s="46">
        <f t="shared" ca="1" si="4"/>
        <v>0.57513653883569271</v>
      </c>
      <c r="I72" s="46">
        <f t="shared" ca="1" si="5"/>
        <v>0.50385532292660196</v>
      </c>
      <c r="J72" s="46">
        <f t="shared" ca="1" si="6"/>
        <v>-0.97803467264986665</v>
      </c>
      <c r="K72" s="46">
        <f t="shared" ca="1" si="7"/>
        <v>-0.35208531800461129</v>
      </c>
      <c r="L72" s="12">
        <f t="shared" ca="1" si="8"/>
        <v>7.5109826636750663</v>
      </c>
      <c r="M72" s="12">
        <f t="shared" ca="1" si="9"/>
        <v>10.767701386983861</v>
      </c>
      <c r="N72" s="12">
        <f t="shared" ca="1" si="10"/>
        <v>10.767701386983861</v>
      </c>
      <c r="O72" s="12">
        <f t="shared" ca="1" si="54"/>
        <v>1828.0089785383047</v>
      </c>
      <c r="P72" s="12">
        <f t="shared" ca="1" si="12"/>
        <v>7.5109826636750663</v>
      </c>
      <c r="Q72" s="67">
        <f t="shared" ca="1" si="13"/>
        <v>-1.5881440711150336</v>
      </c>
      <c r="R72" s="46">
        <f t="shared" ca="1" si="14"/>
        <v>-0.53056278775875843</v>
      </c>
      <c r="S72" s="46">
        <f t="shared" ca="1" si="15"/>
        <v>0.84261014573333615</v>
      </c>
      <c r="T72" s="46">
        <f t="shared" ca="1" si="16"/>
        <v>2.5222015906178332</v>
      </c>
      <c r="U72" s="46">
        <f t="shared" ca="1" si="17"/>
        <v>0.11231395769625276</v>
      </c>
      <c r="V72" s="46">
        <f t="shared" ca="1" si="55"/>
        <v>0.28149687175434535</v>
      </c>
      <c r="W72" s="46">
        <f ca="1">$AC$95+$AA$95*N72</f>
        <v>7.8461154100551429</v>
      </c>
      <c r="X72" s="68">
        <f t="shared" ca="1" si="18"/>
        <v>0.33513274638007662</v>
      </c>
      <c r="Y72" s="46"/>
      <c r="Z72" s="12"/>
      <c r="AA72" s="12"/>
      <c r="AB72" s="12"/>
      <c r="AC72" s="12"/>
      <c r="AD72" s="12"/>
      <c r="AE72" s="38" t="s">
        <v>98</v>
      </c>
      <c r="AF72" s="38"/>
      <c r="AG72" s="38"/>
      <c r="AH72" s="38"/>
      <c r="AI72" s="38"/>
      <c r="AJ72" s="38"/>
      <c r="AK72" s="38"/>
      <c r="AL72" s="38"/>
      <c r="AM72" s="38"/>
      <c r="AN72" s="38"/>
      <c r="AO72" s="113"/>
      <c r="AP72" s="16">
        <f ca="1">AP71+($AM$74-$AM$73)/10</f>
        <v>-0.30011960890661449</v>
      </c>
      <c r="AQ72" s="17">
        <f ca="1">AQ71+($AM$74-$AM$73)/10</f>
        <v>-0.21242610882005408</v>
      </c>
      <c r="AR72" s="17">
        <f ca="1">AR71+($AM$74-$AM$73)/10</f>
        <v>-0.12473260873349368</v>
      </c>
      <c r="AS72" s="17">
        <f t="shared" ref="AS72:AY72" ca="1" si="78">AS71+($AM$74-$AM$73)/10</f>
        <v>-3.7039108646933272E-2</v>
      </c>
      <c r="AT72" s="17">
        <f t="shared" ca="1" si="78"/>
        <v>5.0654391439627133E-2</v>
      </c>
      <c r="AU72" s="17">
        <f t="shared" ca="1" si="78"/>
        <v>0.13834789152618754</v>
      </c>
      <c r="AV72" s="17">
        <f t="shared" ca="1" si="78"/>
        <v>0.22604139161274794</v>
      </c>
      <c r="AW72" s="17">
        <f t="shared" ca="1" si="78"/>
        <v>0.31373489169930835</v>
      </c>
      <c r="AX72" s="17">
        <f t="shared" ca="1" si="78"/>
        <v>0.40142839178586875</v>
      </c>
      <c r="AY72" s="18">
        <f t="shared" ca="1" si="78"/>
        <v>0.48912189187242916</v>
      </c>
      <c r="AZ72" s="94" t="s">
        <v>72</v>
      </c>
      <c r="BA72" s="38"/>
      <c r="BB72" s="39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</row>
    <row r="73" spans="1:137" s="9" customFormat="1" ht="17.25" x14ac:dyDescent="0.25">
      <c r="A73" s="1"/>
      <c r="B73" s="37"/>
      <c r="C73" s="46">
        <f t="shared" si="20"/>
        <v>13.5</v>
      </c>
      <c r="D73" s="46">
        <f t="shared" ca="1" si="56"/>
        <v>0.40438068302018715</v>
      </c>
      <c r="E73" s="46">
        <f t="shared" ca="1" si="56"/>
        <v>0.86332673476284982</v>
      </c>
      <c r="F73" s="46">
        <f t="shared" ref="F73:G73" ca="1" si="79">AVERAGE(D69:D77)</f>
        <v>0.56376849981966304</v>
      </c>
      <c r="G73" s="46">
        <f t="shared" ca="1" si="79"/>
        <v>0.4180836190774036</v>
      </c>
      <c r="H73" s="46">
        <f t="shared" ca="1" si="4"/>
        <v>0.60268469923348322</v>
      </c>
      <c r="I73" s="46">
        <f t="shared" ca="1" si="5"/>
        <v>0.37093863913808045</v>
      </c>
      <c r="J73" s="46">
        <f t="shared" ca="1" si="6"/>
        <v>-8.7674231103463424E-2</v>
      </c>
      <c r="K73" s="46">
        <f t="shared" ca="1" si="7"/>
        <v>-0.10379585590984977</v>
      </c>
      <c r="L73" s="12">
        <f t="shared" ca="1" si="8"/>
        <v>7.9561628844482684</v>
      </c>
      <c r="M73" s="12">
        <f t="shared" ca="1" si="9"/>
        <v>11.636714504315526</v>
      </c>
      <c r="N73" s="12">
        <f t="shared" ca="1" si="10"/>
        <v>11.636714504315526</v>
      </c>
      <c r="O73" s="12">
        <f t="shared" ca="1" si="54"/>
        <v>2853.1042312227346</v>
      </c>
      <c r="P73" s="12">
        <f t="shared" ca="1" si="12"/>
        <v>7.9561628844482684</v>
      </c>
      <c r="Q73" s="67">
        <f t="shared" ca="1" si="13"/>
        <v>-0.71913095378336855</v>
      </c>
      <c r="R73" s="46">
        <f t="shared" ca="1" si="14"/>
        <v>-8.5382566985556352E-2</v>
      </c>
      <c r="S73" s="46">
        <f t="shared" ca="1" si="15"/>
        <v>6.1401246832795492E-2</v>
      </c>
      <c r="T73" s="46">
        <f t="shared" ca="1" si="16"/>
        <v>0.51714932868937735</v>
      </c>
      <c r="U73" s="46">
        <f t="shared" ca="1" si="17"/>
        <v>9.6754154576112149E-6</v>
      </c>
      <c r="V73" s="46">
        <f t="shared" ca="1" si="55"/>
        <v>7.2901827450430178E-3</v>
      </c>
      <c r="W73" s="46">
        <f ca="1">$AC$95+$AA$95*N73</f>
        <v>7.9530523514621692</v>
      </c>
      <c r="X73" s="68">
        <f t="shared" ca="1" si="18"/>
        <v>-3.1105329860992015E-3</v>
      </c>
      <c r="Y73" s="46"/>
      <c r="Z73" s="12"/>
      <c r="AA73" s="12"/>
      <c r="AB73" s="12"/>
      <c r="AC73" s="12"/>
      <c r="AD73" s="12"/>
      <c r="AE73" s="38" t="s">
        <v>97</v>
      </c>
      <c r="AF73" s="38"/>
      <c r="AG73" s="38"/>
      <c r="AH73" s="38"/>
      <c r="AI73" s="38"/>
      <c r="AJ73" s="38"/>
      <c r="AK73" s="38"/>
      <c r="AL73" s="23" t="s">
        <v>13</v>
      </c>
      <c r="AM73" s="19">
        <f ca="1">MIN(X20:X124)</f>
        <v>-0.38781310899317489</v>
      </c>
      <c r="AN73" s="38"/>
      <c r="AO73" s="38"/>
      <c r="AP73" s="47">
        <f ca="1">AVERAGE(AP71:AP72)</f>
        <v>-0.34396635894989469</v>
      </c>
      <c r="AQ73" s="47">
        <f t="shared" ref="AQ73:AY73" ca="1" si="80">AVERAGE(AQ71:AQ72)</f>
        <v>-0.25627285886333429</v>
      </c>
      <c r="AR73" s="47">
        <f t="shared" ca="1" si="80"/>
        <v>-0.16857935877677388</v>
      </c>
      <c r="AS73" s="47">
        <f t="shared" ca="1" si="80"/>
        <v>-8.0885858690213475E-2</v>
      </c>
      <c r="AT73" s="47">
        <f t="shared" ca="1" si="80"/>
        <v>6.8076413963469307E-3</v>
      </c>
      <c r="AU73" s="47">
        <f t="shared" ca="1" si="80"/>
        <v>9.4501141482907336E-2</v>
      </c>
      <c r="AV73" s="47">
        <f t="shared" ca="1" si="80"/>
        <v>0.18219464156946774</v>
      </c>
      <c r="AW73" s="47">
        <f t="shared" ca="1" si="80"/>
        <v>0.26988814165602815</v>
      </c>
      <c r="AX73" s="47">
        <f t="shared" ca="1" si="80"/>
        <v>0.35758164174258855</v>
      </c>
      <c r="AY73" s="47">
        <f t="shared" ca="1" si="80"/>
        <v>0.44527514182914896</v>
      </c>
      <c r="AZ73" s="38"/>
      <c r="BA73" s="38"/>
      <c r="BB73" s="39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</row>
    <row r="74" spans="1:137" s="9" customFormat="1" ht="15.75" thickBot="1" x14ac:dyDescent="0.3">
      <c r="A74" s="1"/>
      <c r="B74" s="37"/>
      <c r="C74" s="46">
        <f t="shared" si="20"/>
        <v>13.75</v>
      </c>
      <c r="D74" s="46">
        <f t="shared" ca="1" si="56"/>
        <v>0.68144507942731558</v>
      </c>
      <c r="E74" s="46">
        <f t="shared" ca="1" si="56"/>
        <v>0.75258939260540791</v>
      </c>
      <c r="F74" s="46">
        <f t="shared" ref="F74:G74" ca="1" si="81">AVERAGE(D70:D78)</f>
        <v>0.53893264179338707</v>
      </c>
      <c r="G74" s="46">
        <f t="shared" ca="1" si="81"/>
        <v>0.41770856004370743</v>
      </c>
      <c r="H74" s="46">
        <f t="shared" ca="1" si="4"/>
        <v>0.53809337362115095</v>
      </c>
      <c r="I74" s="46">
        <f t="shared" ca="1" si="5"/>
        <v>0.37021963955068798</v>
      </c>
      <c r="J74" s="46">
        <f t="shared" ca="1" si="6"/>
        <v>1.2058148318450923</v>
      </c>
      <c r="K74" s="46">
        <f t="shared" ca="1" si="7"/>
        <v>1.2477527659156993</v>
      </c>
      <c r="L74" s="12">
        <f t="shared" ca="1" si="8"/>
        <v>8.6029074159225463</v>
      </c>
      <c r="M74" s="12">
        <f t="shared" ca="1" si="9"/>
        <v>16.367134680704947</v>
      </c>
      <c r="N74" s="12">
        <f t="shared" ca="1" si="10"/>
        <v>16.367134680704947</v>
      </c>
      <c r="O74" s="12">
        <f t="shared" ca="1" si="54"/>
        <v>5447.4746643017115</v>
      </c>
      <c r="P74" s="12">
        <f t="shared" ca="1" si="12"/>
        <v>8.6029074159225463</v>
      </c>
      <c r="Q74" s="67">
        <f t="shared" ca="1" si="13"/>
        <v>4.0112892226060524</v>
      </c>
      <c r="R74" s="46">
        <f t="shared" ca="1" si="14"/>
        <v>0.56136196448872155</v>
      </c>
      <c r="S74" s="46">
        <f t="shared" ca="1" si="15"/>
        <v>2.2517851981345705</v>
      </c>
      <c r="T74" s="46">
        <f t="shared" ca="1" si="16"/>
        <v>16.090441227395466</v>
      </c>
      <c r="U74" s="46">
        <f t="shared" ca="1" si="17"/>
        <v>4.5901048253694727E-3</v>
      </c>
      <c r="V74" s="46">
        <f t="shared" ca="1" si="55"/>
        <v>0.31512725517463669</v>
      </c>
      <c r="W74" s="46">
        <f ca="1">$AC$95+$AA$95*N74</f>
        <v>8.535157103558916</v>
      </c>
      <c r="X74" s="68">
        <f t="shared" ca="1" si="18"/>
        <v>-6.7750312363630272E-2</v>
      </c>
      <c r="Y74" s="46"/>
      <c r="Z74" s="12"/>
      <c r="AA74" s="12"/>
      <c r="AB74" s="12"/>
      <c r="AC74" s="12"/>
      <c r="AD74" s="12"/>
      <c r="AE74" s="38"/>
      <c r="AF74" s="38"/>
      <c r="AG74" s="38"/>
      <c r="AH74" s="38"/>
      <c r="AI74" s="38"/>
      <c r="AJ74" s="38"/>
      <c r="AK74" s="38"/>
      <c r="AL74" s="24" t="s">
        <v>14</v>
      </c>
      <c r="AM74" s="20">
        <f ca="1">MAX(X20:X124)</f>
        <v>0.48912189187242916</v>
      </c>
      <c r="AN74" s="38"/>
      <c r="AO74" s="42" t="s">
        <v>71</v>
      </c>
      <c r="AP74" s="88">
        <f ca="1">COUNTIF($X$20:$X$124,"&lt;"&amp;AP72)</f>
        <v>8</v>
      </c>
      <c r="AQ74" s="89">
        <f ca="1">(COUNTIF($X$20:$X$124,"&lt;"&amp;AQ72))-AP74</f>
        <v>14</v>
      </c>
      <c r="AR74" s="89">
        <f ca="1">COUNTIF($X$20:$X$124,"&lt;"&amp;AR72)-SUM($AP$74:AQ74)</f>
        <v>8</v>
      </c>
      <c r="AS74" s="89">
        <f ca="1">COUNTIF($X$20:$X$124,"&lt;"&amp;AS72)-SUM($AP$74:AR74)</f>
        <v>18</v>
      </c>
      <c r="AT74" s="89">
        <f ca="1">COUNTIF($X$20:$X$124,"&lt;"&amp;AT72)-SUM($AP$74:AS74)</f>
        <v>17</v>
      </c>
      <c r="AU74" s="89">
        <f ca="1">COUNTIF($X$20:$X$124,"&lt;"&amp;AU72)-SUM($AP$74:AT74)</f>
        <v>14</v>
      </c>
      <c r="AV74" s="89">
        <f ca="1">COUNTIF($X$20:$X$124,"&lt;"&amp;AV72)-SUM($AP$74:AU74)</f>
        <v>7</v>
      </c>
      <c r="AW74" s="89">
        <f ca="1">COUNTIF($X$20:$X$124,"&lt;"&amp;AW72)-SUM($AP$74:AV74)</f>
        <v>10</v>
      </c>
      <c r="AX74" s="89">
        <f ca="1">COUNTIF($X$20:$X$124,"&lt;"&amp;AX72)-SUM($AP$74:AW74)</f>
        <v>4</v>
      </c>
      <c r="AY74" s="91">
        <f ca="1">COUNTIF($X$20:$X$124,"&lt;="&amp;AY72)-SUM($AP$74:AX74)</f>
        <v>5</v>
      </c>
      <c r="AZ74" s="90">
        <f ca="1">SUM(AP74:AY74)</f>
        <v>105</v>
      </c>
      <c r="BA74" s="38"/>
      <c r="BB74" s="39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</row>
    <row r="75" spans="1:137" s="9" customFormat="1" ht="15.75" thickBot="1" x14ac:dyDescent="0.3">
      <c r="A75" s="1"/>
      <c r="B75" s="37"/>
      <c r="C75" s="46">
        <f t="shared" si="20"/>
        <v>14</v>
      </c>
      <c r="D75" s="46">
        <f t="shared" ca="1" si="56"/>
        <v>0.30013989230101745</v>
      </c>
      <c r="E75" s="46">
        <f t="shared" ca="1" si="56"/>
        <v>0.27664550971207058</v>
      </c>
      <c r="F75" s="46">
        <f t="shared" ref="F75:G75" ca="1" si="82">AVERAGE(D71:D79)</f>
        <v>0.45512788706216356</v>
      </c>
      <c r="G75" s="46">
        <f t="shared" ca="1" si="82"/>
        <v>0.36893790953472327</v>
      </c>
      <c r="H75" s="46">
        <f t="shared" ca="1" si="4"/>
        <v>0.32013995340997226</v>
      </c>
      <c r="I75" s="46">
        <f t="shared" ca="1" si="5"/>
        <v>0.27672481755627476</v>
      </c>
      <c r="J75" s="46">
        <f t="shared" ca="1" si="6"/>
        <v>0.20665124580652994</v>
      </c>
      <c r="K75" s="46">
        <f t="shared" ca="1" si="7"/>
        <v>-0.19644861320852561</v>
      </c>
      <c r="L75" s="12">
        <f t="shared" ca="1" si="8"/>
        <v>8.1033256229032649</v>
      </c>
      <c r="M75" s="12">
        <f t="shared" ca="1" si="9"/>
        <v>11.31242985377016</v>
      </c>
      <c r="N75" s="12">
        <f t="shared" ca="1" si="10"/>
        <v>11.31242985377016</v>
      </c>
      <c r="O75" s="12">
        <f t="shared" ca="1" si="54"/>
        <v>3305.4424720071052</v>
      </c>
      <c r="P75" s="12">
        <f t="shared" ca="1" si="12"/>
        <v>8.1033256229032649</v>
      </c>
      <c r="Q75" s="67">
        <f t="shared" ca="1" si="13"/>
        <v>-1.0434156043287341</v>
      </c>
      <c r="R75" s="46">
        <f t="shared" ca="1" si="14"/>
        <v>6.1780171469440148E-2</v>
      </c>
      <c r="S75" s="46">
        <f t="shared" ca="1" si="15"/>
        <v>-6.4462394949318713E-2</v>
      </c>
      <c r="T75" s="46">
        <f t="shared" ca="1" si="16"/>
        <v>1.0887161233566975</v>
      </c>
      <c r="U75" s="46">
        <f t="shared" ca="1" si="17"/>
        <v>3.6167792535393227E-2</v>
      </c>
      <c r="V75" s="46">
        <f t="shared" ca="1" si="55"/>
        <v>3.8167895867934265E-3</v>
      </c>
      <c r="W75" s="46">
        <f ca="1">$AC$95+$AA$95*N75</f>
        <v>7.9131473051712131</v>
      </c>
      <c r="X75" s="68">
        <f t="shared" ca="1" si="18"/>
        <v>-0.19017831773205174</v>
      </c>
      <c r="Y75" s="46"/>
      <c r="Z75" s="12"/>
      <c r="AA75" s="12"/>
      <c r="AB75" s="12"/>
      <c r="AC75" s="12"/>
      <c r="AD75" s="12"/>
      <c r="AE75" s="76"/>
      <c r="AF75" s="122">
        <f ca="1">CORREL(P20:P124,N20:N124)</f>
        <v>0.88881317318436315</v>
      </c>
      <c r="AG75" s="38"/>
      <c r="AH75" s="122">
        <f ca="1">AF75^2</f>
        <v>0.78998885682605668</v>
      </c>
      <c r="AI75" s="38"/>
      <c r="AJ75" s="38"/>
      <c r="AK75" s="38"/>
      <c r="AL75" s="38"/>
      <c r="AM75" s="38"/>
      <c r="AN75" s="42"/>
      <c r="AO75" s="79" t="s">
        <v>77</v>
      </c>
      <c r="AP75" s="46">
        <f ca="1">AP74/$AZ$74</f>
        <v>7.6190476190476197E-2</v>
      </c>
      <c r="AQ75" s="46">
        <f t="shared" ref="AQ75:AY75" ca="1" si="83">AQ74/$AZ$74</f>
        <v>0.13333333333333333</v>
      </c>
      <c r="AR75" s="46">
        <f t="shared" ca="1" si="83"/>
        <v>7.6190476190476197E-2</v>
      </c>
      <c r="AS75" s="46">
        <f t="shared" ca="1" si="83"/>
        <v>0.17142857142857143</v>
      </c>
      <c r="AT75" s="46">
        <f t="shared" ca="1" si="83"/>
        <v>0.16190476190476191</v>
      </c>
      <c r="AU75" s="46">
        <f t="shared" ca="1" si="83"/>
        <v>0.13333333333333333</v>
      </c>
      <c r="AV75" s="46">
        <f t="shared" ca="1" si="83"/>
        <v>6.6666666666666666E-2</v>
      </c>
      <c r="AW75" s="46">
        <f t="shared" ca="1" si="83"/>
        <v>9.5238095238095233E-2</v>
      </c>
      <c r="AX75" s="46">
        <f t="shared" ca="1" si="83"/>
        <v>3.8095238095238099E-2</v>
      </c>
      <c r="AY75" s="46">
        <f t="shared" ca="1" si="83"/>
        <v>4.7619047619047616E-2</v>
      </c>
      <c r="AZ75" s="147">
        <f ca="1">SUM(AP75:AY75)</f>
        <v>1</v>
      </c>
      <c r="BA75" s="38"/>
      <c r="BB75" s="39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</row>
    <row r="76" spans="1:137" s="9" customFormat="1" x14ac:dyDescent="0.25">
      <c r="A76" s="1"/>
      <c r="B76" s="37"/>
      <c r="C76" s="46">
        <f t="shared" si="20"/>
        <v>14.25</v>
      </c>
      <c r="D76" s="46">
        <f t="shared" ca="1" si="56"/>
        <v>0.75559279869738616</v>
      </c>
      <c r="E76" s="46">
        <f t="shared" ca="1" si="56"/>
        <v>2.3293593056744055E-2</v>
      </c>
      <c r="F76" s="46">
        <f t="shared" ref="F76:G76" ca="1" si="84">AVERAGE(D72:D80)</f>
        <v>0.45925949702105395</v>
      </c>
      <c r="G76" s="46">
        <f t="shared" ca="1" si="84"/>
        <v>0.31847672754387713</v>
      </c>
      <c r="H76" s="46">
        <f t="shared" ca="1" si="4"/>
        <v>0.33088514948395142</v>
      </c>
      <c r="I76" s="46">
        <f t="shared" ca="1" si="5"/>
        <v>0.17998919523783211</v>
      </c>
      <c r="J76" s="46">
        <f t="shared" ca="1" si="6"/>
        <v>-0.74770866603073216</v>
      </c>
      <c r="K76" s="46">
        <f t="shared" ca="1" si="7"/>
        <v>-0.98923358649743898</v>
      </c>
      <c r="L76" s="12">
        <f t="shared" ca="1" si="8"/>
        <v>7.6261456669846339</v>
      </c>
      <c r="M76" s="12">
        <f t="shared" ca="1" si="9"/>
        <v>8.5376824472589625</v>
      </c>
      <c r="N76" s="12">
        <f t="shared" ca="1" si="10"/>
        <v>8.5376824472589625</v>
      </c>
      <c r="O76" s="12">
        <f t="shared" ca="1" si="54"/>
        <v>2051.1290302375651</v>
      </c>
      <c r="P76" s="12">
        <f t="shared" ca="1" si="12"/>
        <v>7.6261456669846339</v>
      </c>
      <c r="Q76" s="67">
        <f t="shared" ca="1" si="13"/>
        <v>-3.8181630108399318</v>
      </c>
      <c r="R76" s="46">
        <f t="shared" ca="1" si="14"/>
        <v>-0.41539978444919079</v>
      </c>
      <c r="S76" s="46">
        <f t="shared" ca="1" si="15"/>
        <v>1.586064091694781</v>
      </c>
      <c r="T76" s="46">
        <f t="shared" ca="1" si="16"/>
        <v>14.578368777346252</v>
      </c>
      <c r="U76" s="46">
        <f t="shared" ca="1" si="17"/>
        <v>2.9644326218992859E-3</v>
      </c>
      <c r="V76" s="46">
        <f t="shared" ca="1" si="55"/>
        <v>0.17255698092043417</v>
      </c>
      <c r="W76" s="46">
        <f ca="1">$AC$95+$AA$95*N76</f>
        <v>7.5716990635836936</v>
      </c>
      <c r="X76" s="68">
        <f t="shared" ca="1" si="18"/>
        <v>-5.4446603400940319E-2</v>
      </c>
      <c r="Y76" s="46"/>
      <c r="Z76" s="12"/>
      <c r="AA76" s="12"/>
      <c r="AB76" s="12"/>
      <c r="AC76" s="12"/>
      <c r="AD76" s="12"/>
      <c r="AE76" s="38"/>
      <c r="AF76" s="38"/>
      <c r="AG76" s="38"/>
      <c r="AH76" s="38"/>
      <c r="AI76" s="38"/>
      <c r="AJ76" s="38"/>
      <c r="AK76" s="38"/>
      <c r="AL76" s="86" t="s">
        <v>1</v>
      </c>
      <c r="AM76" s="84">
        <f ca="1">AVERAGE(X20:X124)</f>
        <v>-1.4972150503516397E-15</v>
      </c>
      <c r="AN76" s="38"/>
      <c r="AO76" s="79" t="s">
        <v>75</v>
      </c>
      <c r="AP76" s="58">
        <f ca="1">_xlfn.NORM.DIST(AP72,$AM$76,$AM$77,TRUE)</f>
        <v>8.2523644495191548E-2</v>
      </c>
      <c r="AQ76" s="58">
        <f ca="1">_xlfn.NORM.DIST(AQ72,$AM$76,$AM$77,TRUE)-AP76</f>
        <v>8.0368242708147922E-2</v>
      </c>
      <c r="AR76" s="58">
        <f ca="1">_xlfn.NORM.DIST(AR72,$AM$76,$AM$77,TRUE)-SUM($AP$76:AQ76)</f>
        <v>0.11908164429663193</v>
      </c>
      <c r="AS76" s="58">
        <f ca="1">_xlfn.NORM.DIST(AS72,$AM$76,$AM$77,TRUE)-SUM($AP$76:AR76)</f>
        <v>0.15000637477184309</v>
      </c>
      <c r="AT76" s="58">
        <f ca="1">_xlfn.NORM.DIST(AT72,$AM$76,$AM$77,TRUE)-SUM($AP$76:AS76)</f>
        <v>0.16065078214299378</v>
      </c>
      <c r="AU76" s="58">
        <f ca="1">_xlfn.NORM.DIST(AU72,$AM$76,$AM$77,TRUE)-SUM($AP$76:AT76)</f>
        <v>0.14627338451198946</v>
      </c>
      <c r="AV76" s="58">
        <f ca="1">_xlfn.NORM.DIST(AV72,$AM$76,$AM$77,TRUE)-SUM($AP$76:AU76)</f>
        <v>0.11322846196972591</v>
      </c>
      <c r="AW76" s="58">
        <f ca="1">_xlfn.NORM.DIST(AW72,$AM$76,$AM$77,TRUE)-SUM($AP$76:AV76)</f>
        <v>7.4516019001138467E-2</v>
      </c>
      <c r="AX76" s="58">
        <f ca="1">_xlfn.NORM.DIST(AX72,$AM$76,$AM$77,TRUE)-SUM($AP$76:AW76)</f>
        <v>4.1690854010728584E-2</v>
      </c>
      <c r="AY76" s="58">
        <f ca="1">_xlfn.NORM.DIST(AY72,$AM$76,$AM$77,TRUE)-SUM($AP$76:AX76)</f>
        <v>1.9829874545767345E-2</v>
      </c>
      <c r="AZ76" s="90"/>
      <c r="BA76" s="38"/>
      <c r="BB76" s="39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</row>
    <row r="77" spans="1:137" s="9" customFormat="1" ht="18" thickBot="1" x14ac:dyDescent="0.3">
      <c r="A77" s="1"/>
      <c r="B77" s="37"/>
      <c r="C77" s="46">
        <f t="shared" si="20"/>
        <v>14.5</v>
      </c>
      <c r="D77" s="46">
        <f t="shared" ca="1" si="56"/>
        <v>0.97361792606243713</v>
      </c>
      <c r="E77" s="46">
        <f t="shared" ca="1" si="56"/>
        <v>8.2274055425228809E-3</v>
      </c>
      <c r="F77" s="46">
        <f t="shared" ref="F77:G77" ca="1" si="85">AVERAGE(D73:D81)</f>
        <v>0.49996436387495774</v>
      </c>
      <c r="G77" s="46">
        <f t="shared" ca="1" si="85"/>
        <v>0.34648195277136201</v>
      </c>
      <c r="H77" s="46">
        <f t="shared" ca="1" si="4"/>
        <v>0.43674745978486779</v>
      </c>
      <c r="I77" s="46">
        <f t="shared" ca="1" si="5"/>
        <v>0.23367606470197469</v>
      </c>
      <c r="J77" s="46">
        <f t="shared" ca="1" si="6"/>
        <v>-0.71012236896948033</v>
      </c>
      <c r="K77" s="46">
        <f t="shared" ca="1" si="7"/>
        <v>-0.70175874839501717</v>
      </c>
      <c r="L77" s="12">
        <f t="shared" ca="1" si="8"/>
        <v>7.6449388155152596</v>
      </c>
      <c r="M77" s="12">
        <f t="shared" ca="1" si="9"/>
        <v>9.5438443806174398</v>
      </c>
      <c r="N77" s="12">
        <f t="shared" ca="1" si="10"/>
        <v>9.5438443806174398</v>
      </c>
      <c r="O77" s="12">
        <f t="shared" ca="1" si="54"/>
        <v>2090.0406938590468</v>
      </c>
      <c r="P77" s="12">
        <f t="shared" ca="1" si="12"/>
        <v>7.6449388155152596</v>
      </c>
      <c r="Q77" s="67">
        <f t="shared" ca="1" si="13"/>
        <v>-2.8120010774814546</v>
      </c>
      <c r="R77" s="46">
        <f t="shared" ca="1" si="14"/>
        <v>-0.39660663591856515</v>
      </c>
      <c r="S77" s="46">
        <f t="shared" ca="1" si="15"/>
        <v>1.1152582875393002</v>
      </c>
      <c r="T77" s="46">
        <f t="shared" ca="1" si="16"/>
        <v>7.9073500597568618</v>
      </c>
      <c r="U77" s="46">
        <f t="shared" ca="1" si="17"/>
        <v>2.5577417182246617E-3</v>
      </c>
      <c r="V77" s="46">
        <f t="shared" ca="1" si="55"/>
        <v>0.15729682365464129</v>
      </c>
      <c r="W77" s="46">
        <f ca="1">$AC$95+$AA$95*N77</f>
        <v>7.6955129365479049</v>
      </c>
      <c r="X77" s="68">
        <f t="shared" ca="1" si="18"/>
        <v>5.0574121032645358E-2</v>
      </c>
      <c r="Y77" s="46"/>
      <c r="Z77" s="12"/>
      <c r="AA77" s="12"/>
      <c r="AB77" s="12"/>
      <c r="AC77" s="12"/>
      <c r="AD77" s="12"/>
      <c r="AE77" s="38" t="s">
        <v>100</v>
      </c>
      <c r="AF77" s="38"/>
      <c r="AG77" s="38"/>
      <c r="AH77" s="38"/>
      <c r="AI77" s="38"/>
      <c r="AJ77" s="38"/>
      <c r="AK77" s="38"/>
      <c r="AL77" s="87" t="s">
        <v>2</v>
      </c>
      <c r="AM77" s="85">
        <f ca="1">_xlfn.STDEV.S(X20:X124)</f>
        <v>0.21617858442834004</v>
      </c>
      <c r="AN77" s="38"/>
      <c r="AO77" s="79" t="s">
        <v>76</v>
      </c>
      <c r="AP77" s="12">
        <f t="shared" ref="AP77:AY77" ca="1" si="86">AP76/SUM($AP$76:$AY$76)*105</f>
        <v>8.7687229565315779</v>
      </c>
      <c r="AQ77" s="12">
        <f t="shared" ca="1" si="86"/>
        <v>8.5396962182408345</v>
      </c>
      <c r="AR77" s="12">
        <f t="shared" ca="1" si="86"/>
        <v>12.653269913524563</v>
      </c>
      <c r="AS77" s="12">
        <f t="shared" ca="1" si="86"/>
        <v>15.939242021292248</v>
      </c>
      <c r="AT77" s="12">
        <f t="shared" ca="1" si="86"/>
        <v>17.070285855396321</v>
      </c>
      <c r="AU77" s="12">
        <f t="shared" ca="1" si="86"/>
        <v>15.542585310499566</v>
      </c>
      <c r="AV77" s="12">
        <f t="shared" ca="1" si="86"/>
        <v>12.031327747098596</v>
      </c>
      <c r="AW77" s="12">
        <f t="shared" ca="1" si="86"/>
        <v>7.9178559119828842</v>
      </c>
      <c r="AX77" s="12">
        <f t="shared" ca="1" si="86"/>
        <v>4.4299491482417936</v>
      </c>
      <c r="AY77" s="12">
        <f t="shared" ca="1" si="86"/>
        <v>2.107064917191618</v>
      </c>
      <c r="AZ77" s="90">
        <f ca="1">SUM(AP77:AY77)</f>
        <v>105</v>
      </c>
      <c r="BA77" s="38"/>
      <c r="BB77" s="39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</row>
    <row r="78" spans="1:137" s="9" customFormat="1" x14ac:dyDescent="0.25">
      <c r="A78" s="1"/>
      <c r="B78" s="37"/>
      <c r="C78" s="46">
        <f t="shared" si="20"/>
        <v>14.75</v>
      </c>
      <c r="D78" s="46">
        <f t="shared" ca="1" si="56"/>
        <v>0.55096432152236829</v>
      </c>
      <c r="E78" s="46">
        <f t="shared" ca="1" si="56"/>
        <v>0.608022481595203</v>
      </c>
      <c r="F78" s="46">
        <f t="shared" ref="F78:G78" ca="1" si="87">AVERAGE(D74:D82)</f>
        <v>0.48707148569846026</v>
      </c>
      <c r="G78" s="46">
        <f t="shared" ca="1" si="87"/>
        <v>0.27484794786304523</v>
      </c>
      <c r="H78" s="46">
        <f t="shared" ca="1" si="4"/>
        <v>0.40321658311866904</v>
      </c>
      <c r="I78" s="46">
        <f t="shared" ca="1" si="5"/>
        <v>9.6351496180661703E-2</v>
      </c>
      <c r="J78" s="46">
        <f t="shared" ca="1" si="6"/>
        <v>-1.3680811195883029</v>
      </c>
      <c r="K78" s="46">
        <f t="shared" ca="1" si="7"/>
        <v>-1.5039430997850713</v>
      </c>
      <c r="L78" s="12">
        <f t="shared" ca="1" si="8"/>
        <v>7.3159594402058481</v>
      </c>
      <c r="M78" s="12">
        <f t="shared" ca="1" si="9"/>
        <v>6.7361991507522507</v>
      </c>
      <c r="N78" s="12">
        <f t="shared" ca="1" si="10"/>
        <v>6.7361991507522507</v>
      </c>
      <c r="O78" s="12">
        <f t="shared" ca="1" si="54"/>
        <v>1504.1142116231933</v>
      </c>
      <c r="P78" s="12">
        <f t="shared" ca="1" si="12"/>
        <v>7.3159594402058481</v>
      </c>
      <c r="Q78" s="67">
        <f t="shared" ca="1" si="13"/>
        <v>-5.6196463073466436</v>
      </c>
      <c r="R78" s="46">
        <f t="shared" ca="1" si="14"/>
        <v>-0.72558601122797661</v>
      </c>
      <c r="S78" s="46">
        <f t="shared" ca="1" si="15"/>
        <v>4.0775367486596794</v>
      </c>
      <c r="T78" s="46">
        <f t="shared" ca="1" si="16"/>
        <v>31.580424619674766</v>
      </c>
      <c r="U78" s="46">
        <f t="shared" ca="1" si="17"/>
        <v>1.1598787689617554E-3</v>
      </c>
      <c r="V78" s="46">
        <f t="shared" ca="1" si="55"/>
        <v>0.52647505968972541</v>
      </c>
      <c r="W78" s="46">
        <f ca="1">$AC$95+$AA$95*N78</f>
        <v>7.3500164331582765</v>
      </c>
      <c r="X78" s="68">
        <f t="shared" ca="1" si="18"/>
        <v>3.4056992952428367E-2</v>
      </c>
      <c r="Y78" s="46"/>
      <c r="Z78" s="12"/>
      <c r="AA78" s="12"/>
      <c r="AB78" s="12"/>
      <c r="AC78" s="12"/>
      <c r="AD78" s="12"/>
      <c r="AE78" s="38" t="s">
        <v>99</v>
      </c>
      <c r="AF78" s="38"/>
      <c r="AG78" s="38"/>
      <c r="AH78" s="38"/>
      <c r="AI78" s="38"/>
      <c r="AJ78" s="38"/>
      <c r="AK78" s="38"/>
      <c r="AL78" s="38"/>
      <c r="AM78" s="38"/>
      <c r="AN78" s="38"/>
      <c r="AO78" s="38" t="s">
        <v>74</v>
      </c>
      <c r="AP78" s="38">
        <f t="shared" ref="AP78:AY78" ca="1" si="88">(AP74-AP77)^2/AP77</f>
        <v>6.739122524774023E-2</v>
      </c>
      <c r="AQ78" s="38">
        <f t="shared" ca="1" si="88"/>
        <v>3.4913323175839239</v>
      </c>
      <c r="AR78" s="38">
        <f t="shared" ca="1" si="88"/>
        <v>1.7112510075335521</v>
      </c>
      <c r="AS78" s="38">
        <f t="shared" ca="1" si="88"/>
        <v>0.26643195712410439</v>
      </c>
      <c r="AT78" s="38">
        <f t="shared" ca="1" si="88"/>
        <v>2.8939770022836893E-4</v>
      </c>
      <c r="AU78" s="38">
        <f t="shared" ca="1" si="88"/>
        <v>0.15309997613856172</v>
      </c>
      <c r="AV78" s="38">
        <f t="shared" ca="1" si="88"/>
        <v>2.1040287016392574</v>
      </c>
      <c r="AW78" s="38">
        <f t="shared" ca="1" si="88"/>
        <v>0.54753762274248341</v>
      </c>
      <c r="AX78" s="38">
        <f t="shared" ca="1" si="88"/>
        <v>4.1728756671442067E-2</v>
      </c>
      <c r="AY78" s="38">
        <f t="shared" ca="1" si="88"/>
        <v>3.971910559119451</v>
      </c>
      <c r="AZ78" s="38"/>
      <c r="BA78" s="38"/>
      <c r="BB78" s="39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</row>
    <row r="79" spans="1:137" s="9" customFormat="1" ht="15.75" thickBot="1" x14ac:dyDescent="0.3">
      <c r="A79" s="1"/>
      <c r="B79" s="37"/>
      <c r="C79" s="46">
        <f t="shared" si="20"/>
        <v>15</v>
      </c>
      <c r="D79" s="46">
        <f t="shared" ca="1" si="56"/>
        <v>4.9950498591965986E-2</v>
      </c>
      <c r="E79" s="46">
        <f t="shared" ca="1" si="56"/>
        <v>9.2456504981813015E-2</v>
      </c>
      <c r="F79" s="46">
        <f t="shared" ref="F79:G79" ca="1" si="89">AVERAGE(D75:D83)</f>
        <v>0.4890304250987198</v>
      </c>
      <c r="G79" s="46">
        <f t="shared" ca="1" si="89"/>
        <v>0.22874435383348379</v>
      </c>
      <c r="H79" s="46">
        <f t="shared" ca="1" si="4"/>
        <v>0.40831125279036401</v>
      </c>
      <c r="I79" s="46">
        <f t="shared" ca="1" si="5"/>
        <v>7.9695026638333232E-3</v>
      </c>
      <c r="J79" s="46">
        <f t="shared" ca="1" si="6"/>
        <v>-0.51858834283756461</v>
      </c>
      <c r="K79" s="46">
        <f t="shared" ca="1" si="7"/>
        <v>1.2062508104564773E-2</v>
      </c>
      <c r="L79" s="12">
        <f t="shared" ca="1" si="8"/>
        <v>7.740705828581218</v>
      </c>
      <c r="M79" s="12">
        <f t="shared" ca="1" si="9"/>
        <v>12.042218778365976</v>
      </c>
      <c r="N79" s="12">
        <f t="shared" ca="1" si="10"/>
        <v>12.042218778365976</v>
      </c>
      <c r="O79" s="12">
        <f t="shared" ca="1" si="54"/>
        <v>2300.0952833007682</v>
      </c>
      <c r="P79" s="12">
        <f t="shared" ca="1" si="12"/>
        <v>7.740705828581218</v>
      </c>
      <c r="Q79" s="67">
        <f t="shared" ca="1" si="13"/>
        <v>-0.31362667973291813</v>
      </c>
      <c r="R79" s="46">
        <f t="shared" ca="1" si="14"/>
        <v>-0.30083962285260668</v>
      </c>
      <c r="S79" s="46">
        <f t="shared" ca="1" si="15"/>
        <v>9.4351332047366357E-2</v>
      </c>
      <c r="T79" s="46">
        <f t="shared" ca="1" si="16"/>
        <v>9.8361694240294409E-2</v>
      </c>
      <c r="U79" s="46">
        <f t="shared" ca="1" si="17"/>
        <v>6.8773016801452591E-2</v>
      </c>
      <c r="V79" s="46">
        <f t="shared" ca="1" si="55"/>
        <v>9.0504478678098632E-2</v>
      </c>
      <c r="W79" s="46">
        <f ca="1">$AC$95+$AA$95*N79</f>
        <v>8.0029519282689972</v>
      </c>
      <c r="X79" s="68">
        <f t="shared" ca="1" si="18"/>
        <v>0.26224609968777912</v>
      </c>
      <c r="Y79" s="46"/>
      <c r="Z79" s="12"/>
      <c r="AA79" s="12"/>
      <c r="AB79" s="12"/>
      <c r="AC79" s="12"/>
      <c r="AD79" s="12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9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</row>
    <row r="80" spans="1:137" s="9" customFormat="1" ht="15.75" thickBot="1" x14ac:dyDescent="0.3">
      <c r="A80" s="1"/>
      <c r="B80" s="37"/>
      <c r="C80" s="46">
        <f t="shared" si="20"/>
        <v>15.25</v>
      </c>
      <c r="D80" s="46">
        <f t="shared" ca="1" si="56"/>
        <v>0.30523458406716064</v>
      </c>
      <c r="E80" s="46">
        <f t="shared" ca="1" si="56"/>
        <v>4.638448817735541E-2</v>
      </c>
      <c r="F80" s="46">
        <f t="shared" ref="F80:G80" ca="1" si="90">AVERAGE(D76:D84)</f>
        <v>0.56363592580797517</v>
      </c>
      <c r="G80" s="46">
        <f t="shared" ca="1" si="90"/>
        <v>0.22733701367859094</v>
      </c>
      <c r="H80" s="46">
        <f t="shared" ca="1" si="4"/>
        <v>0.60233991021320443</v>
      </c>
      <c r="I80" s="46">
        <f t="shared" ca="1" si="5"/>
        <v>5.2715887362128778E-3</v>
      </c>
      <c r="J80" s="46">
        <f t="shared" ca="1" si="6"/>
        <v>-0.30833155836795395</v>
      </c>
      <c r="K80" s="46">
        <f t="shared" ca="1" si="7"/>
        <v>-1.2531745326603145</v>
      </c>
      <c r="L80" s="12">
        <f t="shared" ca="1" si="8"/>
        <v>7.8458342208160232</v>
      </c>
      <c r="M80" s="12">
        <f t="shared" ca="1" si="9"/>
        <v>7.6138891356888987</v>
      </c>
      <c r="N80" s="12">
        <f t="shared" ca="1" si="10"/>
        <v>7.6138891356888987</v>
      </c>
      <c r="O80" s="12">
        <f t="shared" ca="1" si="54"/>
        <v>2555.0682658573137</v>
      </c>
      <c r="P80" s="12">
        <f t="shared" ca="1" si="12"/>
        <v>7.8458342208160232</v>
      </c>
      <c r="Q80" s="67">
        <f t="shared" ca="1" si="13"/>
        <v>-4.7419563224099956</v>
      </c>
      <c r="R80" s="46">
        <f t="shared" ca="1" si="14"/>
        <v>-0.19571123061780149</v>
      </c>
      <c r="S80" s="46">
        <f t="shared" ca="1" si="15"/>
        <v>0.92805410739472449</v>
      </c>
      <c r="T80" s="46">
        <f t="shared" ca="1" si="16"/>
        <v>22.486149763644132</v>
      </c>
      <c r="U80" s="46">
        <f t="shared" ca="1" si="17"/>
        <v>0.15039900750695215</v>
      </c>
      <c r="V80" s="46">
        <f t="shared" ca="1" si="55"/>
        <v>3.830288578993428E-2</v>
      </c>
      <c r="W80" s="46">
        <f ca="1">$AC$95+$AA$95*N80</f>
        <v>7.4580211118228483</v>
      </c>
      <c r="X80" s="68">
        <f t="shared" ca="1" si="18"/>
        <v>-0.38781310899317489</v>
      </c>
      <c r="Y80" s="46"/>
      <c r="Z80" s="12"/>
      <c r="AA80" s="12"/>
      <c r="AB80" s="12"/>
      <c r="AC80" s="12"/>
      <c r="AD80" s="1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 t="s">
        <v>73</v>
      </c>
      <c r="AP80" s="38">
        <f ca="1">SUM(AP78:AY78)</f>
        <v>12.355001521500744</v>
      </c>
      <c r="AQ80" s="95" t="s">
        <v>78</v>
      </c>
      <c r="AR80" s="38"/>
      <c r="AS80" s="47">
        <f>_xlfn.CHISQ.DIST.RT(0.05,10-3)</f>
        <v>0.99999979169224729</v>
      </c>
      <c r="AT80" s="38"/>
      <c r="AU80" s="96"/>
      <c r="AV80" s="97" t="str">
        <f ca="1">IF(AP80&gt;AS80,"Reject H0, Not Gaussian","Fail to Reject")</f>
        <v>Reject H0, Not Gaussian</v>
      </c>
      <c r="AW80" s="98"/>
      <c r="AX80" s="98"/>
      <c r="AY80" s="99"/>
      <c r="AZ80" s="38"/>
      <c r="BA80" s="38"/>
      <c r="BB80" s="39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</row>
    <row r="81" spans="1:137" s="9" customFormat="1" x14ac:dyDescent="0.25">
      <c r="A81" s="1"/>
      <c r="B81" s="37"/>
      <c r="C81" s="46">
        <f t="shared" si="20"/>
        <v>15.5</v>
      </c>
      <c r="D81" s="46">
        <f t="shared" ca="1" si="56"/>
        <v>0.47835349118478099</v>
      </c>
      <c r="E81" s="46">
        <f t="shared" ca="1" si="56"/>
        <v>0.44739146450829159</v>
      </c>
      <c r="F81" s="46">
        <f t="shared" ref="F81:G81" ca="1" si="91">AVERAGE(D77:D85)</f>
        <v>0.56001789592730067</v>
      </c>
      <c r="G81" s="46">
        <f t="shared" ca="1" si="91"/>
        <v>0.31618841146900745</v>
      </c>
      <c r="H81" s="46">
        <f t="shared" ca="1" si="4"/>
        <v>0.59293039652333912</v>
      </c>
      <c r="I81" s="46">
        <f t="shared" ca="1" si="5"/>
        <v>0.17560242364766265</v>
      </c>
      <c r="J81" s="46">
        <f t="shared" ca="1" si="6"/>
        <v>-0.84616831297529527</v>
      </c>
      <c r="K81" s="46">
        <f t="shared" ca="1" si="7"/>
        <v>-0.90458955117114437</v>
      </c>
      <c r="L81" s="12">
        <f t="shared" ca="1" si="8"/>
        <v>7.576915843512352</v>
      </c>
      <c r="M81" s="12">
        <f t="shared" ca="1" si="9"/>
        <v>8.8339365709009954</v>
      </c>
      <c r="N81" s="12">
        <f t="shared" ca="1" si="10"/>
        <v>8.8339365709009954</v>
      </c>
      <c r="O81" s="12">
        <f t="shared" ca="1" si="54"/>
        <v>1952.5975528485303</v>
      </c>
      <c r="P81" s="12">
        <f t="shared" ca="1" si="12"/>
        <v>7.576915843512352</v>
      </c>
      <c r="Q81" s="67">
        <f t="shared" ca="1" si="13"/>
        <v>-3.521908887197899</v>
      </c>
      <c r="R81" s="46">
        <f t="shared" ca="1" si="14"/>
        <v>-0.46462960792147268</v>
      </c>
      <c r="S81" s="46">
        <f t="shared" ca="1" si="15"/>
        <v>1.6363831453939099</v>
      </c>
      <c r="T81" s="46">
        <f t="shared" ca="1" si="16"/>
        <v>12.403842209723543</v>
      </c>
      <c r="U81" s="46">
        <f t="shared" ca="1" si="17"/>
        <v>9.7587216617083796E-4</v>
      </c>
      <c r="V81" s="46">
        <f t="shared" ca="1" si="55"/>
        <v>0.21588067255726143</v>
      </c>
      <c r="W81" s="46">
        <f ca="1">$AC$95+$AA$95*N81</f>
        <v>7.6081547962184022</v>
      </c>
      <c r="X81" s="68">
        <f t="shared" ca="1" si="18"/>
        <v>3.1238952706050149E-2</v>
      </c>
      <c r="Y81" s="46"/>
      <c r="Z81" s="12"/>
      <c r="AA81" s="12"/>
      <c r="AB81" s="12"/>
      <c r="AC81" s="12"/>
      <c r="AD81" s="1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9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</row>
    <row r="82" spans="1:137" s="9" customFormat="1" x14ac:dyDescent="0.25">
      <c r="A82" s="1"/>
      <c r="B82" s="37"/>
      <c r="C82" s="46">
        <f t="shared" si="20"/>
        <v>15.75</v>
      </c>
      <c r="D82" s="46">
        <f t="shared" ca="1" si="56"/>
        <v>0.28834477943171111</v>
      </c>
      <c r="E82" s="46">
        <f t="shared" ca="1" si="56"/>
        <v>0.21862069058799849</v>
      </c>
      <c r="F82" s="46">
        <f t="shared" ref="F82:G82" ca="1" si="92">AVERAGE(D78:D86)</f>
        <v>0.47172187833628765</v>
      </c>
      <c r="G82" s="46">
        <f t="shared" ca="1" si="92"/>
        <v>0.36947327510175687</v>
      </c>
      <c r="H82" s="46">
        <f t="shared" ca="1" si="4"/>
        <v>0.36329642066232859</v>
      </c>
      <c r="I82" s="46">
        <f t="shared" ca="1" si="5"/>
        <v>0.2777511296490881</v>
      </c>
      <c r="J82" s="46">
        <f t="shared" ca="1" si="6"/>
        <v>-0.23717132242911945</v>
      </c>
      <c r="K82" s="46">
        <f t="shared" ca="1" si="7"/>
        <v>-1.0139053206320829</v>
      </c>
      <c r="L82" s="12">
        <f t="shared" ca="1" si="8"/>
        <v>7.8814143387854401</v>
      </c>
      <c r="M82" s="12">
        <f t="shared" ca="1" si="9"/>
        <v>8.4513313777877102</v>
      </c>
      <c r="N82" s="12">
        <f t="shared" ca="1" si="10"/>
        <v>8.4513313777877102</v>
      </c>
      <c r="O82" s="12">
        <f t="shared" ca="1" si="54"/>
        <v>2647.6145367953914</v>
      </c>
      <c r="P82" s="12">
        <f t="shared" ca="1" si="12"/>
        <v>7.8814143387854401</v>
      </c>
      <c r="Q82" s="67">
        <f t="shared" ca="1" si="13"/>
        <v>-3.9045140803111842</v>
      </c>
      <c r="R82" s="46">
        <f t="shared" ca="1" si="14"/>
        <v>-0.16013111264838464</v>
      </c>
      <c r="S82" s="46">
        <f t="shared" ca="1" si="15"/>
        <v>0.62523418403151421</v>
      </c>
      <c r="T82" s="46">
        <f t="shared" ca="1" si="16"/>
        <v>15.245230203348292</v>
      </c>
      <c r="U82" s="46">
        <f t="shared" ca="1" si="17"/>
        <v>0.10261852218176057</v>
      </c>
      <c r="V82" s="46">
        <f t="shared" ca="1" si="55"/>
        <v>2.5641973238009652E-2</v>
      </c>
      <c r="W82" s="46">
        <f ca="1">$AC$95+$AA$95*N82</f>
        <v>7.5610730798415435</v>
      </c>
      <c r="X82" s="68">
        <f t="shared" ca="1" si="18"/>
        <v>-0.32034125894389653</v>
      </c>
      <c r="Y82" s="46"/>
      <c r="Z82" s="12"/>
      <c r="AA82" s="12"/>
      <c r="AB82" s="12"/>
      <c r="AC82" s="12"/>
      <c r="AD82" s="1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9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</row>
    <row r="83" spans="1:137" s="9" customFormat="1" x14ac:dyDescent="0.25">
      <c r="A83" s="1"/>
      <c r="B83" s="37"/>
      <c r="C83" s="46">
        <f t="shared" si="20"/>
        <v>16</v>
      </c>
      <c r="D83" s="46">
        <f t="shared" ca="1" si="56"/>
        <v>0.69907553402965061</v>
      </c>
      <c r="E83" s="46">
        <f t="shared" ca="1" si="56"/>
        <v>0.33765704633935512</v>
      </c>
      <c r="F83" s="46">
        <f t="shared" ref="F83:G83" ca="1" si="93">AVERAGE(D79:D87)</f>
        <v>0.43221051390766629</v>
      </c>
      <c r="G83" s="46">
        <f t="shared" ca="1" si="93"/>
        <v>0.38501803439633064</v>
      </c>
      <c r="H83" s="46">
        <f t="shared" ca="1" si="4"/>
        <v>0.2605380862211939</v>
      </c>
      <c r="I83" s="46">
        <f t="shared" ca="1" si="5"/>
        <v>0.30755090652359279</v>
      </c>
      <c r="J83" s="46">
        <f t="shared" ca="1" si="6"/>
        <v>-0.48000102619685842</v>
      </c>
      <c r="K83" s="46">
        <f t="shared" ca="1" si="7"/>
        <v>-0.34349732659098159</v>
      </c>
      <c r="L83" s="12">
        <f t="shared" ca="1" si="8"/>
        <v>7.7599994869015712</v>
      </c>
      <c r="M83" s="12">
        <f t="shared" ca="1" si="9"/>
        <v>10.797759356931564</v>
      </c>
      <c r="N83" s="12">
        <f t="shared" ca="1" si="10"/>
        <v>10.797759356931564</v>
      </c>
      <c r="O83" s="12">
        <f t="shared" ca="1" si="54"/>
        <v>2344.9034021093335</v>
      </c>
      <c r="P83" s="12">
        <f t="shared" ca="1" si="12"/>
        <v>7.7599994869015712</v>
      </c>
      <c r="Q83" s="67">
        <f t="shared" ca="1" si="13"/>
        <v>-1.5580861011673299</v>
      </c>
      <c r="R83" s="46">
        <f t="shared" ca="1" si="14"/>
        <v>-0.28154596453225356</v>
      </c>
      <c r="S83" s="46">
        <f t="shared" ca="1" si="15"/>
        <v>0.43867285417745427</v>
      </c>
      <c r="T83" s="46">
        <f t="shared" ca="1" si="16"/>
        <v>2.4276322986508112</v>
      </c>
      <c r="U83" s="46">
        <f t="shared" ca="1" si="17"/>
        <v>8.0666848367795304E-3</v>
      </c>
      <c r="V83" s="46">
        <f t="shared" ca="1" si="55"/>
        <v>7.9268130144396973E-2</v>
      </c>
      <c r="W83" s="46">
        <f ca="1">$AC$95+$AA$95*N83</f>
        <v>7.8498142119569847</v>
      </c>
      <c r="X83" s="68">
        <f t="shared" ca="1" si="18"/>
        <v>8.9814725055413547E-2</v>
      </c>
      <c r="Y83" s="46"/>
      <c r="Z83" s="12"/>
      <c r="AA83" s="12"/>
      <c r="AB83" s="12"/>
      <c r="AC83" s="12"/>
      <c r="AD83" s="1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9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</row>
    <row r="84" spans="1:137" s="9" customFormat="1" x14ac:dyDescent="0.25">
      <c r="A84" s="1"/>
      <c r="B84" s="37"/>
      <c r="C84" s="46">
        <f t="shared" si="20"/>
        <v>16.25</v>
      </c>
      <c r="D84" s="46">
        <f t="shared" ca="1" si="56"/>
        <v>0.97158939868431438</v>
      </c>
      <c r="E84" s="46">
        <f t="shared" ca="1" si="56"/>
        <v>0.26397944831803533</v>
      </c>
      <c r="F84" s="46">
        <f t="shared" ref="F84:G84" ca="1" si="94">AVERAGE(D80:D88)</f>
        <v>0.44299639220861597</v>
      </c>
      <c r="G84" s="46">
        <f t="shared" ca="1" si="94"/>
        <v>0.41309612100243498</v>
      </c>
      <c r="H84" s="46">
        <f t="shared" ca="1" si="4"/>
        <v>0.2885892281070333</v>
      </c>
      <c r="I84" s="46">
        <f t="shared" ca="1" si="5"/>
        <v>0.361377453469032</v>
      </c>
      <c r="J84" s="46">
        <f t="shared" ca="1" si="6"/>
        <v>0.72818609053014449</v>
      </c>
      <c r="K84" s="46">
        <f t="shared" ca="1" si="7"/>
        <v>0.59297880802033665</v>
      </c>
      <c r="L84" s="12">
        <f t="shared" ca="1" si="8"/>
        <v>8.3640930452650721</v>
      </c>
      <c r="M84" s="12">
        <f t="shared" ca="1" si="9"/>
        <v>14.075425828071179</v>
      </c>
      <c r="N84" s="12">
        <f t="shared" ca="1" si="10"/>
        <v>14.075425828071179</v>
      </c>
      <c r="O84" s="12">
        <f t="shared" ca="1" si="54"/>
        <v>4290.2189386280479</v>
      </c>
      <c r="P84" s="12">
        <f t="shared" ca="1" si="12"/>
        <v>8.3640930452650721</v>
      </c>
      <c r="Q84" s="67">
        <f t="shared" ca="1" si="13"/>
        <v>1.7195803699722845</v>
      </c>
      <c r="R84" s="46">
        <f t="shared" ca="1" si="14"/>
        <v>0.32254759383124743</v>
      </c>
      <c r="S84" s="46">
        <f t="shared" ca="1" si="15"/>
        <v>0.55464651073400661</v>
      </c>
      <c r="T84" s="46">
        <f t="shared" ca="1" si="16"/>
        <v>2.9569566487940189</v>
      </c>
      <c r="U84" s="46">
        <f t="shared" ca="1" si="17"/>
        <v>1.2308477542596589E-2</v>
      </c>
      <c r="V84" s="46">
        <f t="shared" ca="1" si="55"/>
        <v>0.10403695028632737</v>
      </c>
      <c r="W84" s="46">
        <f ca="1">$AC$95+$AA$95*N84</f>
        <v>8.2531494670705836</v>
      </c>
      <c r="X84" s="68">
        <f t="shared" ca="1" si="18"/>
        <v>-0.11094357819448852</v>
      </c>
      <c r="Y84" s="46"/>
      <c r="Z84" s="12"/>
      <c r="AA84" s="12"/>
      <c r="AB84" s="12"/>
      <c r="AC84" s="12"/>
      <c r="AD84" s="12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9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</row>
    <row r="85" spans="1:137" s="9" customFormat="1" x14ac:dyDescent="0.25">
      <c r="A85" s="1"/>
      <c r="B85" s="37"/>
      <c r="C85" s="46">
        <f t="shared" si="20"/>
        <v>16.5</v>
      </c>
      <c r="D85" s="46">
        <f t="shared" ref="D85:E124" ca="1" si="95">RAND()</f>
        <v>0.72303052977131599</v>
      </c>
      <c r="E85" s="46">
        <f t="shared" ca="1" si="95"/>
        <v>0.82295617317049208</v>
      </c>
      <c r="F85" s="46">
        <f t="shared" ref="F85:G85" ca="1" si="96">AVERAGE(D81:D89)</f>
        <v>0.45032957349049724</v>
      </c>
      <c r="G85" s="46">
        <f t="shared" ca="1" si="96"/>
        <v>0.41250541893905429</v>
      </c>
      <c r="H85" s="46">
        <f t="shared" ref="H85:H124" ca="1" si="97">(F85-$G$11)/($G$12-$G$11)</f>
        <v>0.30766084220029827</v>
      </c>
      <c r="I85" s="46">
        <f t="shared" ref="I85:I124" ca="1" si="98">(G85-$G$14)/($G$15-$G$14)</f>
        <v>0.36024505962783571</v>
      </c>
      <c r="J85" s="46">
        <f t="shared" ref="J85:J124" ca="1" si="99">_xlfn.NORM.INV(RAND(),$K$11,$K$12)</f>
        <v>0.59148919590145244</v>
      </c>
      <c r="K85" s="46">
        <f t="shared" ref="K85:K124" ca="1" si="100">_xlfn.NORM.INV(RAND(),$K$14+$K$16*($K$15/$K$12)*(J85-$K$11),SQRT((1-$K$16^2)*$K$12))</f>
        <v>0.39422420028697802</v>
      </c>
      <c r="L85" s="12">
        <f t="shared" ref="L85:L124" ca="1" si="101">J85*$M$12+$M$11</f>
        <v>8.2957445979507263</v>
      </c>
      <c r="M85" s="12">
        <f t="shared" ref="M85:M124" ca="1" si="102">K85*$M$15+$M$14</f>
        <v>13.379784701004423</v>
      </c>
      <c r="N85" s="12">
        <f t="shared" ref="N85:N124" ca="1" si="103">IF(M85&lt;0,0,M85)</f>
        <v>13.379784701004423</v>
      </c>
      <c r="O85" s="12">
        <f t="shared" ref="O85:O124" ca="1" si="104">EXP(L85)</f>
        <v>4006.7855804066644</v>
      </c>
      <c r="P85" s="12">
        <f t="shared" ref="P85:P124" ca="1" si="105">LN(O85)</f>
        <v>8.2957445979507263</v>
      </c>
      <c r="Q85" s="67">
        <f t="shared" ref="Q85:Q124" ca="1" si="106">N85-$O$11</f>
        <v>1.023939242905529</v>
      </c>
      <c r="R85" s="46">
        <f t="shared" ref="R85:R124" ca="1" si="107">P85-$P$14</f>
        <v>0.25419914651690156</v>
      </c>
      <c r="S85" s="46">
        <f t="shared" ref="S85:S124" ca="1" si="108">Q85*R85</f>
        <v>0.26028448163174783</v>
      </c>
      <c r="T85" s="46">
        <f t="shared" ref="T85:T124" ca="1" si="109">Q85^2</f>
        <v>1.0484515731619479</v>
      </c>
      <c r="U85" s="46">
        <f t="shared" ref="U85:U124" ca="1" si="110">(P85-W85)^2</f>
        <v>1.643464409029519E-2</v>
      </c>
      <c r="V85" s="46">
        <f t="shared" ref="V85:V124" ca="1" si="111">(P85-$P$14)^2</f>
        <v>6.4617206089921192E-2</v>
      </c>
      <c r="W85" s="46">
        <f ca="1">$AC$95+$AA$95*N85</f>
        <v>8.1675469221126082</v>
      </c>
      <c r="X85" s="68">
        <f t="shared" ref="X85:X124" ca="1" si="112">W85-P85</f>
        <v>-0.12819767583811803</v>
      </c>
      <c r="Y85" s="46"/>
      <c r="Z85" s="12"/>
      <c r="AA85" s="12"/>
      <c r="AB85" s="12"/>
      <c r="AC85" s="12"/>
      <c r="AD85" s="12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9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</row>
    <row r="86" spans="1:137" s="9" customFormat="1" x14ac:dyDescent="0.25">
      <c r="A86" s="1"/>
      <c r="B86" s="37"/>
      <c r="C86" s="46">
        <f t="shared" ref="C86:C124" si="113">C85+0.25</f>
        <v>16.75</v>
      </c>
      <c r="D86" s="46">
        <f t="shared" ca="1" si="95"/>
        <v>0.17895376774332117</v>
      </c>
      <c r="E86" s="46">
        <f t="shared" ca="1" si="95"/>
        <v>0.48779117823726803</v>
      </c>
      <c r="F86" s="46">
        <f t="shared" ref="F86:G86" ca="1" si="114">AVERAGE(D82:D90)</f>
        <v>0.40934407190342909</v>
      </c>
      <c r="G86" s="46">
        <f t="shared" ca="1" si="114"/>
        <v>0.38029945134463511</v>
      </c>
      <c r="H86" s="46">
        <f t="shared" ca="1" si="97"/>
        <v>0.2010686771301699</v>
      </c>
      <c r="I86" s="46">
        <f t="shared" ca="1" si="98"/>
        <v>0.29850523914208305</v>
      </c>
      <c r="J86" s="46">
        <f t="shared" ca="1" si="99"/>
        <v>1.0033084355463775</v>
      </c>
      <c r="K86" s="46">
        <f t="shared" ca="1" si="100"/>
        <v>0.33732769830481291</v>
      </c>
      <c r="L86" s="12">
        <f t="shared" ca="1" si="101"/>
        <v>8.5016542177731882</v>
      </c>
      <c r="M86" s="12">
        <f t="shared" ca="1" si="102"/>
        <v>13.180646944066845</v>
      </c>
      <c r="N86" s="12">
        <f t="shared" ca="1" si="103"/>
        <v>13.180646944066845</v>
      </c>
      <c r="O86" s="12">
        <f t="shared" ca="1" si="104"/>
        <v>4922.9056664515956</v>
      </c>
      <c r="P86" s="12">
        <f t="shared" ca="1" si="105"/>
        <v>8.5016542177731882</v>
      </c>
      <c r="Q86" s="67">
        <f t="shared" ca="1" si="106"/>
        <v>0.82480148596795111</v>
      </c>
      <c r="R86" s="46">
        <f t="shared" ca="1" si="107"/>
        <v>0.46010876633936348</v>
      </c>
      <c r="S86" s="46">
        <f t="shared" ca="1" si="108"/>
        <v>0.37949839418358783</v>
      </c>
      <c r="T86" s="46">
        <f t="shared" ca="1" si="109"/>
        <v>0.68029749125494021</v>
      </c>
      <c r="U86" s="46">
        <f t="shared" ca="1" si="110"/>
        <v>0.12860279197374938</v>
      </c>
      <c r="V86" s="46">
        <f t="shared" ca="1" si="111"/>
        <v>0.21170007686233097</v>
      </c>
      <c r="W86" s="46">
        <f ca="1">$AC$95+$AA$95*N86</f>
        <v>8.1430419034646171</v>
      </c>
      <c r="X86" s="68">
        <f t="shared" ca="1" si="112"/>
        <v>-0.3586123143085711</v>
      </c>
      <c r="Y86" s="46"/>
      <c r="Z86" s="12"/>
      <c r="AA86" s="12"/>
      <c r="AB86" s="12"/>
      <c r="AC86" s="12"/>
      <c r="AD86" s="12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9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</row>
    <row r="87" spans="1:137" s="9" customFormat="1" x14ac:dyDescent="0.25">
      <c r="A87" s="1"/>
      <c r="B87" s="37"/>
      <c r="C87" s="46">
        <f t="shared" si="113"/>
        <v>17</v>
      </c>
      <c r="D87" s="46">
        <f t="shared" ca="1" si="95"/>
        <v>0.19536204166477567</v>
      </c>
      <c r="E87" s="46">
        <f t="shared" ca="1" si="95"/>
        <v>0.74792531524636652</v>
      </c>
      <c r="F87" s="46">
        <f t="shared" ref="F87:G87" ca="1" si="115">AVERAGE(D83:D91)</f>
        <v>0.41725465577008886</v>
      </c>
      <c r="G87" s="46">
        <f t="shared" ca="1" si="115"/>
        <v>0.45629547402942816</v>
      </c>
      <c r="H87" s="46">
        <f t="shared" ca="1" si="97"/>
        <v>0.22164195862398828</v>
      </c>
      <c r="I87" s="46">
        <f t="shared" ca="1" si="98"/>
        <v>0.44419192855561151</v>
      </c>
      <c r="J87" s="46">
        <f t="shared" ca="1" si="99"/>
        <v>0.53014483808746438</v>
      </c>
      <c r="K87" s="46">
        <f t="shared" ca="1" si="100"/>
        <v>0.65306610706382395</v>
      </c>
      <c r="L87" s="12">
        <f t="shared" ca="1" si="101"/>
        <v>8.265072419043733</v>
      </c>
      <c r="M87" s="12">
        <f t="shared" ca="1" si="102"/>
        <v>14.285731374723383</v>
      </c>
      <c r="N87" s="12">
        <f t="shared" ca="1" si="103"/>
        <v>14.285731374723383</v>
      </c>
      <c r="O87" s="12">
        <f t="shared" ca="1" si="104"/>
        <v>3885.7543702305875</v>
      </c>
      <c r="P87" s="12">
        <f t="shared" ca="1" si="105"/>
        <v>8.265072419043733</v>
      </c>
      <c r="Q87" s="67">
        <f t="shared" ca="1" si="106"/>
        <v>1.9298859166244888</v>
      </c>
      <c r="R87" s="46">
        <f t="shared" ca="1" si="107"/>
        <v>0.22352696760990831</v>
      </c>
      <c r="S87" s="46">
        <f t="shared" ca="1" si="108"/>
        <v>0.43138154677614032</v>
      </c>
      <c r="T87" s="46">
        <f t="shared" ca="1" si="109"/>
        <v>3.7244596511855432</v>
      </c>
      <c r="U87" s="46">
        <f t="shared" ca="1" si="110"/>
        <v>1.9477903201939057E-4</v>
      </c>
      <c r="V87" s="46">
        <f t="shared" ca="1" si="111"/>
        <v>4.9964305248881E-2</v>
      </c>
      <c r="W87" s="46">
        <f ca="1">$AC$95+$AA$95*N87</f>
        <v>8.2790287449219644</v>
      </c>
      <c r="X87" s="68">
        <f t="shared" ca="1" si="112"/>
        <v>1.3956325878231368E-2</v>
      </c>
      <c r="Y87" s="46"/>
      <c r="Z87" s="12"/>
      <c r="AA87" s="12"/>
      <c r="AB87" s="12"/>
      <c r="AC87" s="12"/>
      <c r="AD87" s="1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9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</row>
    <row r="88" spans="1:137" s="9" customFormat="1" x14ac:dyDescent="0.25">
      <c r="A88" s="1"/>
      <c r="B88" s="37"/>
      <c r="C88" s="46">
        <f t="shared" si="113"/>
        <v>17.25</v>
      </c>
      <c r="D88" s="46">
        <f t="shared" ca="1" si="95"/>
        <v>0.14702340330051322</v>
      </c>
      <c r="E88" s="46">
        <f t="shared" ca="1" si="95"/>
        <v>0.34515928443675215</v>
      </c>
      <c r="F88" s="46">
        <f t="shared" ref="F88:G88" ca="1" si="116">AVERAGE(D84:D92)</f>
        <v>0.41830967193625973</v>
      </c>
      <c r="G88" s="46">
        <f t="shared" ca="1" si="116"/>
        <v>0.48680981980451843</v>
      </c>
      <c r="H88" s="46">
        <f t="shared" ca="1" si="97"/>
        <v>0.22438576931268367</v>
      </c>
      <c r="I88" s="46">
        <f t="shared" ca="1" si="98"/>
        <v>0.50268885850721212</v>
      </c>
      <c r="J88" s="46">
        <f t="shared" ca="1" si="99"/>
        <v>-1.1152567684005421</v>
      </c>
      <c r="K88" s="46">
        <f t="shared" ca="1" si="100"/>
        <v>-0.44546997357676676</v>
      </c>
      <c r="L88" s="12">
        <f t="shared" ca="1" si="101"/>
        <v>7.4423716157997291</v>
      </c>
      <c r="M88" s="12">
        <f t="shared" ca="1" si="102"/>
        <v>10.440855092481316</v>
      </c>
      <c r="N88" s="12">
        <f t="shared" ca="1" si="103"/>
        <v>10.440855092481316</v>
      </c>
      <c r="O88" s="12">
        <f t="shared" ca="1" si="104"/>
        <v>1706.7932828777248</v>
      </c>
      <c r="P88" s="12">
        <f t="shared" ca="1" si="105"/>
        <v>7.4423716157997291</v>
      </c>
      <c r="Q88" s="67">
        <f t="shared" ca="1" si="106"/>
        <v>-1.9149903656175784</v>
      </c>
      <c r="R88" s="46">
        <f t="shared" ca="1" si="107"/>
        <v>-0.59917383563409565</v>
      </c>
      <c r="S88" s="46">
        <f t="shared" ca="1" si="108"/>
        <v>1.1474121225694236</v>
      </c>
      <c r="T88" s="46">
        <f t="shared" ca="1" si="109"/>
        <v>3.6671881004081466</v>
      </c>
      <c r="U88" s="46">
        <f t="shared" ca="1" si="110"/>
        <v>0.13214935199124556</v>
      </c>
      <c r="V88" s="46">
        <f t="shared" ca="1" si="111"/>
        <v>0.35900928530847426</v>
      </c>
      <c r="W88" s="46">
        <f ca="1">$AC$95+$AA$95*N88</f>
        <v>7.8058951390980784</v>
      </c>
      <c r="X88" s="68">
        <f t="shared" ca="1" si="112"/>
        <v>0.36352352329834936</v>
      </c>
      <c r="Y88" s="46"/>
      <c r="Z88" s="12"/>
      <c r="AA88" s="12"/>
      <c r="AB88" s="12"/>
      <c r="AC88" s="12"/>
      <c r="AD88" s="1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9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</row>
    <row r="89" spans="1:137" s="9" customFormat="1" ht="15.75" thickBot="1" x14ac:dyDescent="0.3">
      <c r="A89" s="1"/>
      <c r="B89" s="37"/>
      <c r="C89" s="46">
        <f t="shared" si="113"/>
        <v>17.5</v>
      </c>
      <c r="D89" s="46">
        <f t="shared" ca="1" si="95"/>
        <v>0.37123321560409139</v>
      </c>
      <c r="E89" s="46">
        <f t="shared" ca="1" si="95"/>
        <v>4.106816960692905E-2</v>
      </c>
      <c r="F89" s="46">
        <f t="shared" ref="F89:G89" ca="1" si="117">AVERAGE(D85:D93)</f>
        <v>0.33203162984723783</v>
      </c>
      <c r="G89" s="46">
        <f t="shared" ca="1" si="117"/>
        <v>0.48492653408731734</v>
      </c>
      <c r="H89" s="46">
        <f t="shared" ca="1" si="97"/>
        <v>0</v>
      </c>
      <c r="I89" s="46">
        <f t="shared" ca="1" si="98"/>
        <v>0.49907854244505706</v>
      </c>
      <c r="J89" s="46">
        <f t="shared" ca="1" si="99"/>
        <v>-0.38689771845991783</v>
      </c>
      <c r="K89" s="46">
        <f t="shared" ca="1" si="100"/>
        <v>-0.58950233419275644</v>
      </c>
      <c r="L89" s="12">
        <f t="shared" ca="1" si="101"/>
        <v>7.8065511407700408</v>
      </c>
      <c r="M89" s="12">
        <f t="shared" ca="1" si="102"/>
        <v>9.936741830325353</v>
      </c>
      <c r="N89" s="12">
        <f t="shared" ca="1" si="103"/>
        <v>9.936741830325353</v>
      </c>
      <c r="O89" s="12">
        <f t="shared" ca="1" si="104"/>
        <v>2456.6431914980421</v>
      </c>
      <c r="P89" s="12">
        <f t="shared" ca="1" si="105"/>
        <v>7.8065511407700408</v>
      </c>
      <c r="Q89" s="67">
        <f t="shared" ca="1" si="106"/>
        <v>-2.4191036277735414</v>
      </c>
      <c r="R89" s="46">
        <f t="shared" ca="1" si="107"/>
        <v>-0.23499431066378396</v>
      </c>
      <c r="S89" s="46">
        <f t="shared" ca="1" si="108"/>
        <v>0.56847558943290233</v>
      </c>
      <c r="T89" s="46">
        <f t="shared" ca="1" si="109"/>
        <v>5.8520623619071088</v>
      </c>
      <c r="U89" s="46">
        <f t="shared" ca="1" si="110"/>
        <v>3.9300320760825387E-3</v>
      </c>
      <c r="V89" s="46">
        <f t="shared" ca="1" si="111"/>
        <v>5.5222326044347007E-2</v>
      </c>
      <c r="W89" s="46">
        <f ca="1">$AC$95+$AA$95*N89</f>
        <v>7.7438611728638236</v>
      </c>
      <c r="X89" s="68">
        <f t="shared" ca="1" si="112"/>
        <v>-6.268996790621717E-2</v>
      </c>
      <c r="Y89" s="46"/>
      <c r="Z89" s="12"/>
      <c r="AA89" s="12"/>
      <c r="AB89" s="12"/>
      <c r="AC89" s="12"/>
      <c r="AD89" s="1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9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</row>
    <row r="90" spans="1:137" s="9" customFormat="1" ht="19.5" thickBot="1" x14ac:dyDescent="0.35">
      <c r="A90" s="1"/>
      <c r="B90" s="37"/>
      <c r="C90" s="46">
        <f t="shared" si="113"/>
        <v>17.75</v>
      </c>
      <c r="D90" s="46">
        <f t="shared" ca="1" si="95"/>
        <v>0.10948397690116762</v>
      </c>
      <c r="E90" s="46">
        <f t="shared" ca="1" si="95"/>
        <v>0.15753775615851917</v>
      </c>
      <c r="F90" s="46">
        <f t="shared" ref="F90:G90" ca="1" si="118">AVERAGE(D86:D94)</f>
        <v>0.36160546270937721</v>
      </c>
      <c r="G90" s="46">
        <f t="shared" ca="1" si="118"/>
        <v>0.4845977938261537</v>
      </c>
      <c r="H90" s="46">
        <f t="shared" ca="1" si="97"/>
        <v>7.6913512147724489E-2</v>
      </c>
      <c r="I90" s="46">
        <f t="shared" ca="1" si="98"/>
        <v>0.49844833735492339</v>
      </c>
      <c r="J90" s="46">
        <f t="shared" ca="1" si="99"/>
        <v>-0.27342382675309179</v>
      </c>
      <c r="K90" s="46">
        <f t="shared" ca="1" si="100"/>
        <v>-0.91018713381692729</v>
      </c>
      <c r="L90" s="12">
        <f t="shared" ca="1" si="101"/>
        <v>7.863288086623454</v>
      </c>
      <c r="M90" s="12">
        <f t="shared" ca="1" si="102"/>
        <v>8.8143450316407552</v>
      </c>
      <c r="N90" s="12">
        <f t="shared" ca="1" si="103"/>
        <v>8.8143450316407552</v>
      </c>
      <c r="O90" s="12">
        <f t="shared" ca="1" si="104"/>
        <v>2600.0555433893633</v>
      </c>
      <c r="P90" s="12">
        <f t="shared" ca="1" si="105"/>
        <v>7.863288086623454</v>
      </c>
      <c r="Q90" s="67">
        <f t="shared" ca="1" si="106"/>
        <v>-3.5415004264581391</v>
      </c>
      <c r="R90" s="46">
        <f t="shared" ca="1" si="107"/>
        <v>-0.17825736481037069</v>
      </c>
      <c r="S90" s="46">
        <f t="shared" ca="1" si="108"/>
        <v>0.63129853349523191</v>
      </c>
      <c r="T90" s="46">
        <f t="shared" ca="1" si="109"/>
        <v>12.542225270603181</v>
      </c>
      <c r="U90" s="46">
        <f t="shared" ca="1" si="110"/>
        <v>6.6328983671377795E-2</v>
      </c>
      <c r="V90" s="46">
        <f t="shared" ca="1" si="111"/>
        <v>3.1775688109137584E-2</v>
      </c>
      <c r="W90" s="46">
        <f ca="1">$AC$95+$AA$95*N90</f>
        <v>7.6057439473552932</v>
      </c>
      <c r="X90" s="68">
        <f t="shared" ca="1" si="112"/>
        <v>-0.25754413926816078</v>
      </c>
      <c r="Y90" s="46"/>
      <c r="Z90" s="156" t="s">
        <v>44</v>
      </c>
      <c r="AA90" s="157"/>
      <c r="AB90" s="157"/>
      <c r="AC90" s="157"/>
      <c r="AD90" s="157"/>
      <c r="AE90" s="152"/>
      <c r="AF90" s="152"/>
      <c r="AG90" s="153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9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</row>
    <row r="91" spans="1:137" s="9" customFormat="1" x14ac:dyDescent="0.25">
      <c r="A91" s="1"/>
      <c r="B91" s="37"/>
      <c r="C91" s="46">
        <f t="shared" si="113"/>
        <v>18</v>
      </c>
      <c r="D91" s="46">
        <f t="shared" ca="1" si="95"/>
        <v>0.35954003423164849</v>
      </c>
      <c r="E91" s="46">
        <f t="shared" ca="1" si="95"/>
        <v>0.90258489475113601</v>
      </c>
      <c r="F91" s="46">
        <f t="shared" ref="F91:G91" ca="1" si="119">AVERAGE(D87:D95)</f>
        <v>0.358866282853746</v>
      </c>
      <c r="G91" s="46">
        <f t="shared" ca="1" si="119"/>
        <v>0.53400539554689308</v>
      </c>
      <c r="H91" s="46">
        <f t="shared" ca="1" si="97"/>
        <v>6.9789648829669176E-2</v>
      </c>
      <c r="I91" s="46">
        <f t="shared" ca="1" si="98"/>
        <v>0.59316421421616095</v>
      </c>
      <c r="J91" s="46">
        <f t="shared" ca="1" si="99"/>
        <v>0.11842780037325565</v>
      </c>
      <c r="K91" s="46">
        <f t="shared" ca="1" si="100"/>
        <v>6.8229784227860635E-4</v>
      </c>
      <c r="L91" s="12">
        <f t="shared" ca="1" si="101"/>
        <v>8.0592139001866272</v>
      </c>
      <c r="M91" s="12">
        <f t="shared" ca="1" si="102"/>
        <v>12.002388042447976</v>
      </c>
      <c r="N91" s="12">
        <f t="shared" ca="1" si="103"/>
        <v>12.002388042447976</v>
      </c>
      <c r="O91" s="12">
        <f t="shared" ca="1" si="104"/>
        <v>3162.8028781172238</v>
      </c>
      <c r="P91" s="12">
        <f t="shared" ca="1" si="105"/>
        <v>8.0592139001866272</v>
      </c>
      <c r="Q91" s="67">
        <f t="shared" ca="1" si="106"/>
        <v>-0.3534574156509187</v>
      </c>
      <c r="R91" s="46">
        <f t="shared" ca="1" si="107"/>
        <v>1.766844875280249E-2</v>
      </c>
      <c r="S91" s="46">
        <f t="shared" ca="1" si="108"/>
        <v>-6.2450442347262661E-3</v>
      </c>
      <c r="T91" s="46">
        <f t="shared" ca="1" si="109"/>
        <v>0.12493214467862632</v>
      </c>
      <c r="U91" s="46">
        <f t="shared" ca="1" si="110"/>
        <v>3.7409575265796393E-3</v>
      </c>
      <c r="V91" s="46">
        <f t="shared" ca="1" si="111"/>
        <v>3.1217408133040787E-4</v>
      </c>
      <c r="W91" s="46">
        <f ca="1">$AC$95+$AA$95*N91</f>
        <v>7.9980505326650491</v>
      </c>
      <c r="X91" s="68">
        <f t="shared" ca="1" si="112"/>
        <v>-6.1163367521578138E-2</v>
      </c>
      <c r="Y91" s="46"/>
      <c r="Z91" s="12"/>
      <c r="AA91" s="12"/>
      <c r="AB91" s="12"/>
      <c r="AC91" s="12"/>
      <c r="AD91" s="1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9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</row>
    <row r="92" spans="1:137" s="9" customFormat="1" ht="18" x14ac:dyDescent="0.35">
      <c r="A92" s="1"/>
      <c r="B92" s="37"/>
      <c r="C92" s="46">
        <f t="shared" si="113"/>
        <v>18.25</v>
      </c>
      <c r="D92" s="46">
        <f t="shared" ca="1" si="95"/>
        <v>0.70857067952518915</v>
      </c>
      <c r="E92" s="46">
        <f t="shared" ca="1" si="95"/>
        <v>0.61228615831516753</v>
      </c>
      <c r="F92" s="46">
        <f t="shared" ref="F92:G92" ca="1" si="120">AVERAGE(D88:D96)</f>
        <v>0.41428045435354277</v>
      </c>
      <c r="G92" s="46">
        <f t="shared" ca="1" si="120"/>
        <v>0.51303557272179201</v>
      </c>
      <c r="H92" s="46">
        <f t="shared" ca="1" si="97"/>
        <v>0.21390686801711087</v>
      </c>
      <c r="I92" s="46">
        <f t="shared" ca="1" si="98"/>
        <v>0.55296442537130952</v>
      </c>
      <c r="J92" s="46">
        <f t="shared" ca="1" si="99"/>
        <v>1.8037494381572248</v>
      </c>
      <c r="K92" s="46">
        <f t="shared" ca="1" si="100"/>
        <v>1.3647602011194753</v>
      </c>
      <c r="L92" s="12">
        <f t="shared" ca="1" si="101"/>
        <v>8.9018747190786129</v>
      </c>
      <c r="M92" s="12">
        <f t="shared" ca="1" si="102"/>
        <v>16.776660703918164</v>
      </c>
      <c r="N92" s="12">
        <f t="shared" ca="1" si="103"/>
        <v>16.776660703918164</v>
      </c>
      <c r="O92" s="12">
        <f t="shared" ca="1" si="104"/>
        <v>7345.7318222621088</v>
      </c>
      <c r="P92" s="12">
        <f t="shared" ca="1" si="105"/>
        <v>8.9018747190786129</v>
      </c>
      <c r="Q92" s="67">
        <f t="shared" ca="1" si="106"/>
        <v>4.42081524581927</v>
      </c>
      <c r="R92" s="46">
        <f t="shared" ca="1" si="107"/>
        <v>0.86032926764478823</v>
      </c>
      <c r="S92" s="46">
        <f t="shared" ca="1" si="108"/>
        <v>3.803356742828607</v>
      </c>
      <c r="T92" s="46">
        <f t="shared" ca="1" si="109"/>
        <v>19.543607437668093</v>
      </c>
      <c r="U92" s="46">
        <f t="shared" ca="1" si="110"/>
        <v>0.10006032884024499</v>
      </c>
      <c r="V92" s="46">
        <f t="shared" ca="1" si="111"/>
        <v>0.74016644876621762</v>
      </c>
      <c r="W92" s="46">
        <f ca="1">$AC$95+$AA$95*N92</f>
        <v>8.5855515791722112</v>
      </c>
      <c r="X92" s="68">
        <f t="shared" ca="1" si="112"/>
        <v>-0.31632313990640171</v>
      </c>
      <c r="Y92" s="46"/>
      <c r="Z92" s="57" t="s">
        <v>91</v>
      </c>
      <c r="AA92" s="12"/>
      <c r="AB92" s="12"/>
      <c r="AC92" s="12"/>
      <c r="AD92" s="12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9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</row>
    <row r="93" spans="1:137" s="9" customFormat="1" x14ac:dyDescent="0.25">
      <c r="A93" s="1"/>
      <c r="B93" s="37"/>
      <c r="C93" s="46">
        <f t="shared" si="113"/>
        <v>18.5</v>
      </c>
      <c r="D93" s="46">
        <f t="shared" ca="1" si="95"/>
        <v>0.1950870198831175</v>
      </c>
      <c r="E93" s="46">
        <f t="shared" ca="1" si="95"/>
        <v>0.24702987686322553</v>
      </c>
      <c r="F93" s="46">
        <f t="shared" ref="F93:G93" ca="1" si="121">AVERAGE(D89:D97)</f>
        <v>0.46802914768861409</v>
      </c>
      <c r="G93" s="46">
        <f t="shared" ca="1" si="121"/>
        <v>0.48532514554126255</v>
      </c>
      <c r="H93" s="46">
        <f t="shared" ca="1" si="97"/>
        <v>0.35369263055327849</v>
      </c>
      <c r="I93" s="46">
        <f t="shared" ca="1" si="98"/>
        <v>0.49984269273919091</v>
      </c>
      <c r="J93" s="46">
        <f t="shared" ca="1" si="99"/>
        <v>-0.14153772786696689</v>
      </c>
      <c r="K93" s="46">
        <f t="shared" ca="1" si="100"/>
        <v>-0.26211266062941702</v>
      </c>
      <c r="L93" s="12">
        <f t="shared" ca="1" si="101"/>
        <v>7.9292311360665169</v>
      </c>
      <c r="M93" s="12">
        <f t="shared" ca="1" si="102"/>
        <v>11.08260568779704</v>
      </c>
      <c r="N93" s="12">
        <f t="shared" ca="1" si="103"/>
        <v>11.08260568779704</v>
      </c>
      <c r="O93" s="12">
        <f t="shared" ca="1" si="104"/>
        <v>2777.2906248122326</v>
      </c>
      <c r="P93" s="12">
        <f t="shared" ca="1" si="105"/>
        <v>7.9292311360665169</v>
      </c>
      <c r="Q93" s="67">
        <f t="shared" ca="1" si="106"/>
        <v>-1.2732397703018545</v>
      </c>
      <c r="R93" s="46">
        <f t="shared" ca="1" si="107"/>
        <v>-0.11231431536730785</v>
      </c>
      <c r="S93" s="46">
        <f t="shared" ca="1" si="108"/>
        <v>0.14300305309988109</v>
      </c>
      <c r="T93" s="46">
        <f t="shared" ca="1" si="109"/>
        <v>1.6211395126783192</v>
      </c>
      <c r="U93" s="46">
        <f t="shared" ca="1" si="110"/>
        <v>1.968251840989367E-3</v>
      </c>
      <c r="V93" s="46">
        <f t="shared" ca="1" si="111"/>
        <v>1.2614505436427084E-2</v>
      </c>
      <c r="W93" s="46">
        <f ca="1">$AC$95+$AA$95*N93</f>
        <v>7.8848661516645207</v>
      </c>
      <c r="X93" s="68">
        <f t="shared" ca="1" si="112"/>
        <v>-4.436498440199621E-2</v>
      </c>
      <c r="Y93" s="46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9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</row>
    <row r="94" spans="1:137" s="9" customFormat="1" ht="15.75" thickBot="1" x14ac:dyDescent="0.3">
      <c r="A94" s="1"/>
      <c r="B94" s="37"/>
      <c r="C94" s="46">
        <f t="shared" si="113"/>
        <v>18.75</v>
      </c>
      <c r="D94" s="46">
        <f t="shared" ca="1" si="95"/>
        <v>0.98919502553057093</v>
      </c>
      <c r="E94" s="46">
        <f t="shared" ca="1" si="95"/>
        <v>0.8199975108200197</v>
      </c>
      <c r="F94" s="46">
        <f t="shared" ref="F94:G94" ca="1" si="122">AVERAGE(D90:D98)</f>
        <v>0.43025550840357168</v>
      </c>
      <c r="G94" s="46">
        <f t="shared" ca="1" si="122"/>
        <v>0.51813617404124279</v>
      </c>
      <c r="H94" s="46">
        <f t="shared" ca="1" si="97"/>
        <v>0.25545364754565958</v>
      </c>
      <c r="I94" s="46">
        <f t="shared" ca="1" si="98"/>
        <v>0.56274243340379759</v>
      </c>
      <c r="J94" s="46">
        <f t="shared" ca="1" si="99"/>
        <v>-0.30816857085297172</v>
      </c>
      <c r="K94" s="46">
        <f t="shared" ca="1" si="100"/>
        <v>-0.91372421614421195</v>
      </c>
      <c r="L94" s="12">
        <f t="shared" ca="1" si="101"/>
        <v>7.8459157145735139</v>
      </c>
      <c r="M94" s="12">
        <f t="shared" ca="1" si="102"/>
        <v>8.8019652434952587</v>
      </c>
      <c r="N94" s="12">
        <f t="shared" ca="1" si="103"/>
        <v>8.8019652434952587</v>
      </c>
      <c r="O94" s="12">
        <f t="shared" ca="1" si="104"/>
        <v>2555.2764964555754</v>
      </c>
      <c r="P94" s="12">
        <f t="shared" ca="1" si="105"/>
        <v>7.8459157145735139</v>
      </c>
      <c r="Q94" s="67">
        <f t="shared" ca="1" si="106"/>
        <v>-3.5538802146036357</v>
      </c>
      <c r="R94" s="46">
        <f t="shared" ca="1" si="107"/>
        <v>-0.19562973686031082</v>
      </c>
      <c r="S94" s="46">
        <f t="shared" ca="1" si="108"/>
        <v>0.69524465121597423</v>
      </c>
      <c r="T94" s="46">
        <f t="shared" ca="1" si="109"/>
        <v>12.630064579751183</v>
      </c>
      <c r="U94" s="46">
        <f t="shared" ca="1" si="110"/>
        <v>5.8416555022883544E-2</v>
      </c>
      <c r="V94" s="46">
        <f t="shared" ca="1" si="111"/>
        <v>3.8270993944034451E-2</v>
      </c>
      <c r="W94" s="46">
        <f ca="1">$AC$95+$AA$95*N94</f>
        <v>7.6042205449426676</v>
      </c>
      <c r="X94" s="68">
        <f t="shared" ca="1" si="112"/>
        <v>-0.24169516963084625</v>
      </c>
      <c r="Y94" s="46"/>
      <c r="Z94" s="12"/>
      <c r="AA94" s="12"/>
      <c r="AB94" s="12"/>
      <c r="AC94" s="12"/>
      <c r="AD94" s="12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9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</row>
    <row r="95" spans="1:137" s="9" customFormat="1" ht="15.75" thickBot="1" x14ac:dyDescent="0.3">
      <c r="A95" s="1"/>
      <c r="B95" s="37"/>
      <c r="C95" s="46">
        <f t="shared" si="113"/>
        <v>19</v>
      </c>
      <c r="D95" s="46">
        <f t="shared" ca="1" si="95"/>
        <v>0.15430114904263981</v>
      </c>
      <c r="E95" s="46">
        <f t="shared" ca="1" si="95"/>
        <v>0.9324595937239234</v>
      </c>
      <c r="F95" s="46">
        <f t="shared" ref="F95:G95" ca="1" si="123">AVERAGE(D91:D99)</f>
        <v>0.47559143217775252</v>
      </c>
      <c r="G95" s="46">
        <f t="shared" ca="1" si="123"/>
        <v>0.544541004073266</v>
      </c>
      <c r="H95" s="46">
        <f t="shared" ca="1" si="97"/>
        <v>0.3733600799039008</v>
      </c>
      <c r="I95" s="46">
        <f t="shared" ca="1" si="98"/>
        <v>0.61336129654940974</v>
      </c>
      <c r="J95" s="46">
        <f t="shared" ca="1" si="99"/>
        <v>0.98653116182474232</v>
      </c>
      <c r="K95" s="46">
        <f t="shared" ca="1" si="100"/>
        <v>1.530814879529701</v>
      </c>
      <c r="L95" s="12">
        <f t="shared" ca="1" si="101"/>
        <v>8.4932655809123716</v>
      </c>
      <c r="M95" s="12">
        <f t="shared" ca="1" si="102"/>
        <v>17.357852078353954</v>
      </c>
      <c r="N95" s="12">
        <f t="shared" ca="1" si="103"/>
        <v>17.357852078353954</v>
      </c>
      <c r="O95" s="12">
        <f t="shared" ca="1" si="104"/>
        <v>4881.7819257328438</v>
      </c>
      <c r="P95" s="12">
        <f t="shared" ca="1" si="105"/>
        <v>8.4932655809123716</v>
      </c>
      <c r="Q95" s="67">
        <f t="shared" ca="1" si="106"/>
        <v>5.0020066202550595</v>
      </c>
      <c r="R95" s="46">
        <f t="shared" ca="1" si="107"/>
        <v>0.45172012947854689</v>
      </c>
      <c r="S95" s="46">
        <f t="shared" ca="1" si="108"/>
        <v>2.2595070781541642</v>
      </c>
      <c r="T95" s="46">
        <f t="shared" ca="1" si="109"/>
        <v>25.020070229075444</v>
      </c>
      <c r="U95" s="46">
        <f t="shared" ca="1" si="110"/>
        <v>2.6832031769615586E-2</v>
      </c>
      <c r="V95" s="46">
        <f t="shared" ca="1" si="111"/>
        <v>0.20405107537611517</v>
      </c>
      <c r="W95" s="46">
        <f ca="1">$AC$95+$AA$95*N95</f>
        <v>8.6570704397219185</v>
      </c>
      <c r="X95" s="68">
        <f t="shared" ca="1" si="112"/>
        <v>0.16380485880954687</v>
      </c>
      <c r="Y95" s="46"/>
      <c r="Z95" s="59" t="s">
        <v>47</v>
      </c>
      <c r="AA95" s="120">
        <f ca="1">SUM(S20:S124)/SUM(T20:T124)</f>
        <v>0.12305561248071829</v>
      </c>
      <c r="AB95" s="59" t="s">
        <v>48</v>
      </c>
      <c r="AC95" s="120">
        <f ca="1">P14-AA95*O11</f>
        <v>6.521089320870364</v>
      </c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9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</row>
    <row r="96" spans="1:137" s="9" customFormat="1" x14ac:dyDescent="0.25">
      <c r="A96" s="1"/>
      <c r="B96" s="37"/>
      <c r="C96" s="46">
        <f t="shared" si="113"/>
        <v>19.25</v>
      </c>
      <c r="D96" s="46">
        <f t="shared" ca="1" si="95"/>
        <v>0.69408958516294639</v>
      </c>
      <c r="E96" s="46">
        <f t="shared" ca="1" si="95"/>
        <v>0.55919690982045611</v>
      </c>
      <c r="F96" s="46">
        <f t="shared" ref="F96:G96" ca="1" si="124">AVERAGE(D92:D100)</f>
        <v>0.46126454053020094</v>
      </c>
      <c r="G96" s="46">
        <f t="shared" ca="1" si="124"/>
        <v>0.47151258671223278</v>
      </c>
      <c r="H96" s="46">
        <f t="shared" ca="1" si="97"/>
        <v>0.33609972342897831</v>
      </c>
      <c r="I96" s="46">
        <f t="shared" ca="1" si="98"/>
        <v>0.47336359689917118</v>
      </c>
      <c r="J96" s="46">
        <f t="shared" ca="1" si="99"/>
        <v>0.97188039463099252</v>
      </c>
      <c r="K96" s="46">
        <f t="shared" ca="1" si="100"/>
        <v>1.2953929879102912</v>
      </c>
      <c r="L96" s="12">
        <f t="shared" ca="1" si="101"/>
        <v>8.4859401973154966</v>
      </c>
      <c r="M96" s="12">
        <f t="shared" ca="1" si="102"/>
        <v>16.533875457686019</v>
      </c>
      <c r="N96" s="12">
        <f t="shared" ca="1" si="103"/>
        <v>16.533875457686019</v>
      </c>
      <c r="O96" s="12">
        <f t="shared" ca="1" si="104"/>
        <v>4846.1516624937158</v>
      </c>
      <c r="P96" s="12">
        <f t="shared" ca="1" si="105"/>
        <v>8.4859401973154966</v>
      </c>
      <c r="Q96" s="67">
        <f t="shared" ca="1" si="106"/>
        <v>4.1780299995871246</v>
      </c>
      <c r="R96" s="46">
        <f t="shared" ca="1" si="107"/>
        <v>0.44439474588167194</v>
      </c>
      <c r="S96" s="46">
        <f t="shared" ca="1" si="108"/>
        <v>1.8566945799525221</v>
      </c>
      <c r="T96" s="46">
        <f t="shared" ca="1" si="109"/>
        <v>17.455934677449989</v>
      </c>
      <c r="U96" s="46">
        <f t="shared" ca="1" si="110"/>
        <v>4.8630113241533929E-3</v>
      </c>
      <c r="V96" s="46">
        <f t="shared" ca="1" si="111"/>
        <v>0.19748669016723577</v>
      </c>
      <c r="W96" s="46">
        <f ca="1">$AC$95+$AA$95*N96</f>
        <v>8.5556754919958333</v>
      </c>
      <c r="X96" s="68">
        <f t="shared" ca="1" si="112"/>
        <v>6.9735294680336679E-2</v>
      </c>
      <c r="Y96" s="46"/>
      <c r="Z96" s="12"/>
      <c r="AA96" s="12"/>
      <c r="AB96" s="12"/>
      <c r="AC96" s="12"/>
      <c r="AD96" s="12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9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</row>
    <row r="97" spans="1:137" s="9" customFormat="1" x14ac:dyDescent="0.25">
      <c r="A97" s="1"/>
      <c r="B97" s="37"/>
      <c r="C97" s="46">
        <f t="shared" si="113"/>
        <v>19.5</v>
      </c>
      <c r="D97" s="46">
        <f t="shared" ca="1" si="95"/>
        <v>0.63076164331615603</v>
      </c>
      <c r="E97" s="46">
        <f t="shared" ca="1" si="95"/>
        <v>9.5765439811985598E-2</v>
      </c>
      <c r="F97" s="46">
        <f t="shared" ref="F97:G97" ca="1" si="125">AVERAGE(D93:D101)</f>
        <v>0.4805887219983061</v>
      </c>
      <c r="G97" s="46">
        <f t="shared" ca="1" si="125"/>
        <v>0.50778715723932244</v>
      </c>
      <c r="H97" s="46">
        <f t="shared" ca="1" si="97"/>
        <v>0.38635667432947179</v>
      </c>
      <c r="I97" s="46">
        <f t="shared" ca="1" si="98"/>
        <v>0.54290305308766884</v>
      </c>
      <c r="J97" s="46">
        <f t="shared" ca="1" si="99"/>
        <v>1.0419713639093457</v>
      </c>
      <c r="K97" s="46">
        <f t="shared" ca="1" si="100"/>
        <v>0.42835823872441992</v>
      </c>
      <c r="L97" s="12">
        <f t="shared" ca="1" si="101"/>
        <v>8.5209856819546737</v>
      </c>
      <c r="M97" s="12">
        <f t="shared" ca="1" si="102"/>
        <v>13.49925383553547</v>
      </c>
      <c r="N97" s="12">
        <f t="shared" ca="1" si="103"/>
        <v>13.49925383553547</v>
      </c>
      <c r="O97" s="12">
        <f t="shared" ca="1" si="104"/>
        <v>5018.9984556526324</v>
      </c>
      <c r="P97" s="12">
        <f t="shared" ca="1" si="105"/>
        <v>8.5209856819546737</v>
      </c>
      <c r="Q97" s="67">
        <f t="shared" ca="1" si="106"/>
        <v>1.1434083774365753</v>
      </c>
      <c r="R97" s="46">
        <f t="shared" ca="1" si="107"/>
        <v>0.47944023052084894</v>
      </c>
      <c r="S97" s="46">
        <f t="shared" ca="1" si="108"/>
        <v>0.54819597605766157</v>
      </c>
      <c r="T97" s="46">
        <f t="shared" ca="1" si="109"/>
        <v>1.3073827175921418</v>
      </c>
      <c r="U97" s="46">
        <f t="shared" ca="1" si="110"/>
        <v>0.1147430345051188</v>
      </c>
      <c r="V97" s="46">
        <f t="shared" ca="1" si="111"/>
        <v>0.22986293464188479</v>
      </c>
      <c r="W97" s="46">
        <f ca="1">$AC$95+$AA$95*N97</f>
        <v>8.1822482696348668</v>
      </c>
      <c r="X97" s="68">
        <f t="shared" ca="1" si="112"/>
        <v>-0.33873741231980681</v>
      </c>
      <c r="Y97" s="46"/>
      <c r="Z97" s="59" t="s">
        <v>52</v>
      </c>
      <c r="AA97" s="12" t="s">
        <v>0</v>
      </c>
      <c r="AB97" s="12" t="s">
        <v>51</v>
      </c>
      <c r="AC97" s="12"/>
      <c r="AD97" s="12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9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</row>
    <row r="98" spans="1:137" s="9" customFormat="1" x14ac:dyDescent="0.25">
      <c r="A98" s="1"/>
      <c r="B98" s="37"/>
      <c r="C98" s="46">
        <f t="shared" si="113"/>
        <v>19.75</v>
      </c>
      <c r="D98" s="46">
        <f t="shared" ca="1" si="95"/>
        <v>3.1270462038708757E-2</v>
      </c>
      <c r="E98" s="46">
        <f t="shared" ca="1" si="95"/>
        <v>0.33636742610675274</v>
      </c>
      <c r="F98" s="46">
        <f t="shared" ref="F98:G98" ca="1" si="126">AVERAGE(D94:D102)</f>
        <v>0.51047724968920383</v>
      </c>
      <c r="G98" s="46">
        <f t="shared" ca="1" si="126"/>
        <v>0.50637310397386004</v>
      </c>
      <c r="H98" s="46">
        <f t="shared" ca="1" si="97"/>
        <v>0.46408862231023018</v>
      </c>
      <c r="I98" s="46">
        <f t="shared" ca="1" si="98"/>
        <v>0.54019226992268587</v>
      </c>
      <c r="J98" s="46">
        <f t="shared" ca="1" si="99"/>
        <v>0.37390013290716118</v>
      </c>
      <c r="K98" s="46">
        <f t="shared" ca="1" si="100"/>
        <v>0.29926593670192497</v>
      </c>
      <c r="L98" s="12">
        <f t="shared" ca="1" si="101"/>
        <v>8.1869500664535799</v>
      </c>
      <c r="M98" s="12">
        <f t="shared" ca="1" si="102"/>
        <v>13.047430778456738</v>
      </c>
      <c r="N98" s="12">
        <f t="shared" ca="1" si="103"/>
        <v>13.047430778456738</v>
      </c>
      <c r="O98" s="12">
        <f t="shared" ca="1" si="104"/>
        <v>3593.7448318603015</v>
      </c>
      <c r="P98" s="12">
        <f t="shared" ca="1" si="105"/>
        <v>8.1869500664535799</v>
      </c>
      <c r="Q98" s="67">
        <f t="shared" ca="1" si="106"/>
        <v>0.69158532035784326</v>
      </c>
      <c r="R98" s="46">
        <f t="shared" ca="1" si="107"/>
        <v>0.14540461501975521</v>
      </c>
      <c r="S98" s="46">
        <f t="shared" ca="1" si="108"/>
        <v>0.10055969725994628</v>
      </c>
      <c r="T98" s="46">
        <f t="shared" ca="1" si="109"/>
        <v>0.47829025533446068</v>
      </c>
      <c r="U98" s="46">
        <f t="shared" ca="1" si="110"/>
        <v>3.6362298781031964E-3</v>
      </c>
      <c r="V98" s="46">
        <f t="shared" ca="1" si="111"/>
        <v>2.1142502069043223E-2</v>
      </c>
      <c r="W98" s="46">
        <f ca="1">$AC$95+$AA$95*N98</f>
        <v>8.1266489066131324</v>
      </c>
      <c r="X98" s="68">
        <f t="shared" ca="1" si="112"/>
        <v>-6.0301159840447482E-2</v>
      </c>
      <c r="Y98" s="46"/>
      <c r="Z98" s="100" t="s">
        <v>92</v>
      </c>
      <c r="AA98" s="12">
        <v>0</v>
      </c>
      <c r="AB98" s="12">
        <f ca="1">AC95</f>
        <v>6.521089320870364</v>
      </c>
      <c r="AC98" s="12"/>
      <c r="AD98" s="1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9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</row>
    <row r="99" spans="1:137" s="9" customFormat="1" x14ac:dyDescent="0.25">
      <c r="A99" s="1"/>
      <c r="B99" s="37"/>
      <c r="C99" s="46">
        <f t="shared" si="113"/>
        <v>20</v>
      </c>
      <c r="D99" s="46">
        <f t="shared" ca="1" si="95"/>
        <v>0.51750729086879554</v>
      </c>
      <c r="E99" s="46">
        <f t="shared" ca="1" si="95"/>
        <v>0.39518122644672693</v>
      </c>
      <c r="F99" s="46">
        <f t="shared" ref="F99:G99" ca="1" si="127">AVERAGE(D95:D103)</f>
        <v>0.43489538730696042</v>
      </c>
      <c r="G99" s="46">
        <f t="shared" ca="1" si="127"/>
        <v>0.45099880953922067</v>
      </c>
      <c r="H99" s="46">
        <f t="shared" ca="1" si="97"/>
        <v>0.26752071318653659</v>
      </c>
      <c r="I99" s="46">
        <f t="shared" ca="1" si="98"/>
        <v>0.43403806145505158</v>
      </c>
      <c r="J99" s="46">
        <f t="shared" ca="1" si="99"/>
        <v>-1.6484007152453313</v>
      </c>
      <c r="K99" s="46">
        <f t="shared" ca="1" si="100"/>
        <v>-1.2151315794179078</v>
      </c>
      <c r="L99" s="12">
        <f t="shared" ca="1" si="101"/>
        <v>7.175799642377334</v>
      </c>
      <c r="M99" s="12">
        <f t="shared" ca="1" si="102"/>
        <v>7.7470394720373221</v>
      </c>
      <c r="N99" s="12">
        <f t="shared" ca="1" si="103"/>
        <v>7.7470394720373221</v>
      </c>
      <c r="O99" s="12">
        <f t="shared" ca="1" si="104"/>
        <v>1307.4051396592893</v>
      </c>
      <c r="P99" s="12">
        <f t="shared" ca="1" si="105"/>
        <v>7.175799642377334</v>
      </c>
      <c r="Q99" s="67">
        <f t="shared" ca="1" si="106"/>
        <v>-4.6088059860615722</v>
      </c>
      <c r="R99" s="46">
        <f t="shared" ca="1" si="107"/>
        <v>-0.86574580905649068</v>
      </c>
      <c r="S99" s="46">
        <f t="shared" ca="1" si="108"/>
        <v>3.9900544671872731</v>
      </c>
      <c r="T99" s="46">
        <f t="shared" ca="1" si="109"/>
        <v>21.24109261715698</v>
      </c>
      <c r="U99" s="46">
        <f t="shared" ca="1" si="110"/>
        <v>8.9165761598867813E-2</v>
      </c>
      <c r="V99" s="46">
        <f t="shared" ca="1" si="111"/>
        <v>0.74951580589887756</v>
      </c>
      <c r="W99" s="46">
        <f ca="1">$AC$95+$AA$95*N99</f>
        <v>7.474406008014217</v>
      </c>
      <c r="X99" s="68">
        <f t="shared" ca="1" si="112"/>
        <v>0.29860636563688292</v>
      </c>
      <c r="Y99" s="46"/>
      <c r="Z99" s="12"/>
      <c r="AA99" s="12">
        <v>30</v>
      </c>
      <c r="AB99" s="12">
        <f ca="1">AC95+AA95*AA99</f>
        <v>10.212757695291913</v>
      </c>
      <c r="AC99" s="12"/>
      <c r="AD99" s="12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9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</row>
    <row r="100" spans="1:137" s="9" customFormat="1" x14ac:dyDescent="0.25">
      <c r="A100" s="1"/>
      <c r="B100" s="37"/>
      <c r="C100" s="46">
        <f t="shared" si="113"/>
        <v>20.25</v>
      </c>
      <c r="D100" s="46">
        <f t="shared" ca="1" si="95"/>
        <v>0.2305980094036848</v>
      </c>
      <c r="E100" s="46">
        <f t="shared" ca="1" si="95"/>
        <v>0.24532913850183746</v>
      </c>
      <c r="F100" s="46">
        <f t="shared" ref="F100:G100" ca="1" si="128">AVERAGE(D96:D104)</f>
        <v>0.43589278160063699</v>
      </c>
      <c r="G100" s="46">
        <f t="shared" ca="1" si="128"/>
        <v>0.45754552476251514</v>
      </c>
      <c r="H100" s="46">
        <f t="shared" ca="1" si="97"/>
        <v>0.27011466502498671</v>
      </c>
      <c r="I100" s="46">
        <f t="shared" ca="1" si="98"/>
        <v>0.44658831387248199</v>
      </c>
      <c r="J100" s="46">
        <f t="shared" ca="1" si="99"/>
        <v>0.21151143537140318</v>
      </c>
      <c r="K100" s="46">
        <f t="shared" ca="1" si="100"/>
        <v>-0.51416627787136537</v>
      </c>
      <c r="L100" s="12">
        <f t="shared" ca="1" si="101"/>
        <v>8.1057557176857014</v>
      </c>
      <c r="M100" s="12">
        <f t="shared" ca="1" si="102"/>
        <v>10.200418027450221</v>
      </c>
      <c r="N100" s="12">
        <f t="shared" ca="1" si="103"/>
        <v>10.200418027450221</v>
      </c>
      <c r="O100" s="12">
        <f t="shared" ca="1" si="104"/>
        <v>3313.4847783375735</v>
      </c>
      <c r="P100" s="12">
        <f t="shared" ca="1" si="105"/>
        <v>8.1057557176857014</v>
      </c>
      <c r="Q100" s="67">
        <f t="shared" ca="1" si="106"/>
        <v>-2.1554274306486736</v>
      </c>
      <c r="R100" s="46">
        <f t="shared" ca="1" si="107"/>
        <v>6.4210266251876646E-2</v>
      </c>
      <c r="S100" s="46">
        <f t="shared" ca="1" si="108"/>
        <v>-0.13840056920854971</v>
      </c>
      <c r="T100" s="46">
        <f t="shared" ca="1" si="109"/>
        <v>4.6458674087927427</v>
      </c>
      <c r="U100" s="46">
        <f t="shared" ca="1" si="110"/>
        <v>0.10853579289161143</v>
      </c>
      <c r="V100" s="46">
        <f t="shared" ca="1" si="111"/>
        <v>4.1229582921368888E-3</v>
      </c>
      <c r="W100" s="46">
        <f ca="1">$AC$95+$AA$95*N100</f>
        <v>7.7763080087976117</v>
      </c>
      <c r="X100" s="68">
        <f t="shared" ca="1" si="112"/>
        <v>-0.32944770888808961</v>
      </c>
      <c r="Y100" s="46"/>
      <c r="Z100" s="12"/>
      <c r="AA100" s="12"/>
      <c r="AB100" s="12"/>
      <c r="AC100" s="12"/>
      <c r="AD100" s="12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45" t="s">
        <v>102</v>
      </c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9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</row>
    <row r="101" spans="1:137" s="9" customFormat="1" ht="15.75" thickBot="1" x14ac:dyDescent="0.3">
      <c r="A101" s="1"/>
      <c r="B101" s="37"/>
      <c r="C101" s="46">
        <f t="shared" si="113"/>
        <v>20.5</v>
      </c>
      <c r="D101" s="46">
        <f t="shared" ca="1" si="95"/>
        <v>0.88248831273813499</v>
      </c>
      <c r="E101" s="46">
        <f t="shared" ca="1" si="95"/>
        <v>0.93875729305897493</v>
      </c>
      <c r="F101" s="46">
        <f t="shared" ref="F101:G101" ca="1" si="129">AVERAGE(D97:D105)</f>
        <v>0.40680923068451075</v>
      </c>
      <c r="G101" s="46">
        <f t="shared" ca="1" si="129"/>
        <v>0.48041622230214936</v>
      </c>
      <c r="H101" s="46">
        <f t="shared" ca="1" si="97"/>
        <v>0.19447624314325093</v>
      </c>
      <c r="I101" s="46">
        <f t="shared" ca="1" si="98"/>
        <v>0.4904321374229238</v>
      </c>
      <c r="J101" s="46">
        <f t="shared" ca="1" si="99"/>
        <v>-0.44781483112179554</v>
      </c>
      <c r="K101" s="46">
        <f t="shared" ca="1" si="100"/>
        <v>-0.39465289908587348</v>
      </c>
      <c r="L101" s="12">
        <f t="shared" ca="1" si="101"/>
        <v>7.7760925844391018</v>
      </c>
      <c r="M101" s="12">
        <f t="shared" ca="1" si="102"/>
        <v>10.618714853199442</v>
      </c>
      <c r="N101" s="12">
        <f t="shared" ca="1" si="103"/>
        <v>10.618714853199442</v>
      </c>
      <c r="O101" s="12">
        <f t="shared" ca="1" si="104"/>
        <v>2382.9454474165063</v>
      </c>
      <c r="P101" s="12">
        <f t="shared" ca="1" si="105"/>
        <v>7.7760925844391018</v>
      </c>
      <c r="Q101" s="67">
        <f t="shared" ca="1" si="106"/>
        <v>-1.7371306048994519</v>
      </c>
      <c r="R101" s="46">
        <f t="shared" ca="1" si="107"/>
        <v>-0.26545286699472292</v>
      </c>
      <c r="S101" s="46">
        <f t="shared" ca="1" si="108"/>
        <v>0.46112629941483679</v>
      </c>
      <c r="T101" s="46">
        <f t="shared" ca="1" si="109"/>
        <v>3.0176227384783356</v>
      </c>
      <c r="U101" s="46">
        <f t="shared" ca="1" si="110"/>
        <v>2.6717730296281369E-3</v>
      </c>
      <c r="V101" s="46">
        <f t="shared" ca="1" si="111"/>
        <v>7.0465224595718065E-2</v>
      </c>
      <c r="W101" s="46">
        <f ca="1">$AC$95+$AA$95*N101</f>
        <v>7.8277817808889223</v>
      </c>
      <c r="X101" s="68">
        <f t="shared" ca="1" si="112"/>
        <v>5.1689196449820507E-2</v>
      </c>
      <c r="Y101" s="46"/>
      <c r="Z101" s="12"/>
      <c r="AA101" s="12"/>
      <c r="AB101" s="12"/>
      <c r="AC101" s="12"/>
      <c r="AD101" s="12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9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</row>
    <row r="102" spans="1:137" s="9" customFormat="1" x14ac:dyDescent="0.25">
      <c r="A102" s="1"/>
      <c r="B102" s="37"/>
      <c r="C102" s="46">
        <f t="shared" si="113"/>
        <v>20.75</v>
      </c>
      <c r="D102" s="46">
        <f t="shared" ca="1" si="95"/>
        <v>0.46408376910119653</v>
      </c>
      <c r="E102" s="46">
        <f t="shared" ca="1" si="95"/>
        <v>0.23430339747406281</v>
      </c>
      <c r="F102" s="46">
        <f t="shared" ref="F102:G102" ca="1" si="130">AVERAGE(D98:D106)</f>
        <v>0.40570946331081881</v>
      </c>
      <c r="G102" s="46">
        <f t="shared" ca="1" si="130"/>
        <v>0.49746764946579752</v>
      </c>
      <c r="H102" s="46">
        <f t="shared" ca="1" si="97"/>
        <v>0.19161604671046409</v>
      </c>
      <c r="I102" s="46">
        <f t="shared" ca="1" si="98"/>
        <v>0.52312024247746503</v>
      </c>
      <c r="J102" s="46">
        <f t="shared" ca="1" si="99"/>
        <v>1.9284174712768649</v>
      </c>
      <c r="K102" s="46">
        <f t="shared" ca="1" si="100"/>
        <v>1.6338150855752822</v>
      </c>
      <c r="L102" s="12">
        <f t="shared" ca="1" si="101"/>
        <v>8.964208735638433</v>
      </c>
      <c r="M102" s="12">
        <f t="shared" ca="1" si="102"/>
        <v>17.71835279951349</v>
      </c>
      <c r="N102" s="12">
        <f t="shared" ca="1" si="103"/>
        <v>17.71835279951349</v>
      </c>
      <c r="O102" s="12">
        <f t="shared" ca="1" si="104"/>
        <v>7818.1930232170889</v>
      </c>
      <c r="P102" s="12">
        <f t="shared" ca="1" si="105"/>
        <v>8.964208735638433</v>
      </c>
      <c r="Q102" s="67">
        <f t="shared" ca="1" si="106"/>
        <v>5.3625073414145952</v>
      </c>
      <c r="R102" s="46">
        <f t="shared" ca="1" si="107"/>
        <v>0.9226632842046083</v>
      </c>
      <c r="S102" s="46">
        <f t="shared" ca="1" si="108"/>
        <v>4.9477886352009133</v>
      </c>
      <c r="T102" s="46">
        <f t="shared" ca="1" si="109"/>
        <v>28.756484986725429</v>
      </c>
      <c r="U102" s="46">
        <f t="shared" ca="1" si="110"/>
        <v>6.9051572449238083E-2</v>
      </c>
      <c r="V102" s="46">
        <f t="shared" ca="1" si="111"/>
        <v>0.85130753601923381</v>
      </c>
      <c r="W102" s="46">
        <f ca="1">$AC$95+$AA$95*N102</f>
        <v>8.7014320767639468</v>
      </c>
      <c r="X102" s="68">
        <f t="shared" ca="1" si="112"/>
        <v>-0.2627766588744862</v>
      </c>
      <c r="Y102" s="46"/>
      <c r="Z102" s="12"/>
      <c r="AA102" s="12"/>
      <c r="AB102" s="12"/>
      <c r="AC102" s="12"/>
      <c r="AD102" s="12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 t="s">
        <v>103</v>
      </c>
      <c r="AR102" s="38"/>
      <c r="AS102" s="124">
        <f ca="1">AVERAGE(X20:X124)</f>
        <v>-1.4972150503516397E-15</v>
      </c>
      <c r="AT102" s="38"/>
      <c r="AU102" s="38" t="s">
        <v>107</v>
      </c>
      <c r="AV102" s="38"/>
      <c r="AW102" s="101">
        <f ca="1">MIN(X20:X124)</f>
        <v>-0.38781310899317489</v>
      </c>
      <c r="AX102" s="38"/>
      <c r="AY102" s="38"/>
      <c r="AZ102" s="38"/>
      <c r="BA102" s="38"/>
      <c r="BB102" s="39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</row>
    <row r="103" spans="1:137" s="9" customFormat="1" ht="15.75" thickBot="1" x14ac:dyDescent="0.3">
      <c r="A103" s="1"/>
      <c r="B103" s="37"/>
      <c r="C103" s="46">
        <f t="shared" si="113"/>
        <v>21</v>
      </c>
      <c r="D103" s="46">
        <f t="shared" ca="1" si="95"/>
        <v>0.3089582640903813</v>
      </c>
      <c r="E103" s="46">
        <f t="shared" ca="1" si="95"/>
        <v>0.32162886090826637</v>
      </c>
      <c r="F103" s="46">
        <f t="shared" ref="F103:G103" ca="1" si="131">AVERAGE(D99:D107)</f>
        <v>0.47179424793779723</v>
      </c>
      <c r="G103" s="46">
        <f t="shared" ca="1" si="131"/>
        <v>0.51214399081232675</v>
      </c>
      <c r="H103" s="46">
        <f t="shared" ca="1" si="97"/>
        <v>0.36348463435281569</v>
      </c>
      <c r="I103" s="46">
        <f t="shared" ca="1" si="98"/>
        <v>0.55125523570397994</v>
      </c>
      <c r="J103" s="46">
        <f t="shared" ca="1" si="99"/>
        <v>-1.3668545067127664</v>
      </c>
      <c r="K103" s="46">
        <f t="shared" ca="1" si="100"/>
        <v>-0.44775534576458664</v>
      </c>
      <c r="L103" s="12">
        <f t="shared" ca="1" si="101"/>
        <v>7.316572746643617</v>
      </c>
      <c r="M103" s="12">
        <f t="shared" ca="1" si="102"/>
        <v>10.432856289823947</v>
      </c>
      <c r="N103" s="12">
        <f t="shared" ca="1" si="103"/>
        <v>10.432856289823947</v>
      </c>
      <c r="O103" s="12">
        <f t="shared" ca="1" si="104"/>
        <v>1505.0369774925211</v>
      </c>
      <c r="P103" s="12">
        <f t="shared" ca="1" si="105"/>
        <v>7.316572746643617</v>
      </c>
      <c r="Q103" s="67">
        <f t="shared" ca="1" si="106"/>
        <v>-1.9229891682749471</v>
      </c>
      <c r="R103" s="46">
        <f t="shared" ca="1" si="107"/>
        <v>-0.7249727047902077</v>
      </c>
      <c r="S103" s="46">
        <f t="shared" ca="1" si="108"/>
        <v>1.3941146586065603</v>
      </c>
      <c r="T103" s="46">
        <f t="shared" ca="1" si="109"/>
        <v>3.6978873413027729</v>
      </c>
      <c r="U103" s="46">
        <f t="shared" ca="1" si="110"/>
        <v>0.23847409492504046</v>
      </c>
      <c r="V103" s="46">
        <f t="shared" ca="1" si="111"/>
        <v>0.52558542269082964</v>
      </c>
      <c r="W103" s="46">
        <f ca="1">$AC$95+$AA$95*N103</f>
        <v>7.8049108415379642</v>
      </c>
      <c r="X103" s="68">
        <f t="shared" ca="1" si="112"/>
        <v>0.48833809489434721</v>
      </c>
      <c r="Y103" s="46"/>
      <c r="Z103" s="12"/>
      <c r="AA103" s="12"/>
      <c r="AB103" s="12"/>
      <c r="AC103" s="12"/>
      <c r="AD103" s="1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 t="s">
        <v>104</v>
      </c>
      <c r="AR103" s="38"/>
      <c r="AS103" s="125">
        <f ca="1">_xlfn.VAR.S(X20:X124)</f>
        <v>4.6733180365440948E-2</v>
      </c>
      <c r="AT103" s="38"/>
      <c r="AU103" s="38" t="s">
        <v>106</v>
      </c>
      <c r="AV103" s="38"/>
      <c r="AW103" s="123">
        <f ca="1">MAX(X20:X124)</f>
        <v>0.48912189187242916</v>
      </c>
      <c r="AX103" s="38"/>
      <c r="AY103" s="38"/>
      <c r="AZ103" s="38"/>
      <c r="BA103" s="38"/>
      <c r="BB103" s="39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</row>
    <row r="104" spans="1:137" s="9" customFormat="1" ht="15.75" thickBot="1" x14ac:dyDescent="0.3">
      <c r="A104" s="1"/>
      <c r="B104" s="37"/>
      <c r="C104" s="46">
        <f t="shared" si="113"/>
        <v>21.25</v>
      </c>
      <c r="D104" s="46">
        <f t="shared" ca="1" si="95"/>
        <v>0.16327769768572931</v>
      </c>
      <c r="E104" s="46">
        <f t="shared" ca="1" si="95"/>
        <v>0.99138003073357361</v>
      </c>
      <c r="F104" s="46">
        <f t="shared" ref="F104:G104" ca="1" si="132">AVERAGE(D100:D108)</f>
        <v>0.41938327879159959</v>
      </c>
      <c r="G104" s="46">
        <f t="shared" ca="1" si="132"/>
        <v>0.48095666666220882</v>
      </c>
      <c r="H104" s="46">
        <f t="shared" ca="1" si="97"/>
        <v>0.2271779293378989</v>
      </c>
      <c r="I104" s="46">
        <f t="shared" ca="1" si="98"/>
        <v>0.49146818571660683</v>
      </c>
      <c r="J104" s="46">
        <f t="shared" ca="1" si="99"/>
        <v>0.16957048154408397</v>
      </c>
      <c r="K104" s="46">
        <f t="shared" ca="1" si="100"/>
        <v>-0.36286058293636325</v>
      </c>
      <c r="L104" s="12">
        <f t="shared" ca="1" si="101"/>
        <v>8.0847852407720424</v>
      </c>
      <c r="M104" s="12">
        <f t="shared" ca="1" si="102"/>
        <v>10.729987959722729</v>
      </c>
      <c r="N104" s="12">
        <f t="shared" ca="1" si="103"/>
        <v>10.729987959722729</v>
      </c>
      <c r="O104" s="12">
        <f t="shared" ca="1" si="104"/>
        <v>3244.7229265814417</v>
      </c>
      <c r="P104" s="12">
        <f t="shared" ca="1" si="105"/>
        <v>8.0847852407720424</v>
      </c>
      <c r="Q104" s="67">
        <f t="shared" ca="1" si="106"/>
        <v>-1.6258574983761651</v>
      </c>
      <c r="R104" s="46">
        <f t="shared" ca="1" si="107"/>
        <v>4.3239789338217705E-2</v>
      </c>
      <c r="S104" s="46">
        <f t="shared" ca="1" si="108"/>
        <v>-7.0301735723747011E-2</v>
      </c>
      <c r="T104" s="46">
        <f t="shared" ca="1" si="109"/>
        <v>2.6434126050260018</v>
      </c>
      <c r="U104" s="46">
        <f t="shared" ca="1" si="110"/>
        <v>5.9200086810949078E-2</v>
      </c>
      <c r="V104" s="46">
        <f t="shared" ca="1" si="111"/>
        <v>1.8696793820134456E-3</v>
      </c>
      <c r="W104" s="46">
        <f ca="1">$AC$95+$AA$95*N104</f>
        <v>7.8414745611647776</v>
      </c>
      <c r="X104" s="68">
        <f t="shared" ca="1" si="112"/>
        <v>-0.24331067960726482</v>
      </c>
      <c r="Y104" s="46"/>
      <c r="Z104" s="12"/>
      <c r="AA104" s="12"/>
      <c r="AB104" s="12"/>
      <c r="AC104" s="12"/>
      <c r="AD104" s="12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 t="s">
        <v>105</v>
      </c>
      <c r="AR104" s="38"/>
      <c r="AS104" s="126">
        <f ca="1">_xlfn.STDEV.S(X20:X124)</f>
        <v>0.21617858442834004</v>
      </c>
      <c r="AT104" s="38"/>
      <c r="AU104" s="38"/>
      <c r="AV104" s="38"/>
      <c r="AW104" s="38"/>
      <c r="AX104" s="38"/>
      <c r="AY104" s="38"/>
      <c r="AZ104" s="38"/>
      <c r="BA104" s="38"/>
      <c r="BB104" s="39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</row>
    <row r="105" spans="1:137" s="9" customFormat="1" x14ac:dyDescent="0.25">
      <c r="A105" s="1"/>
      <c r="B105" s="37"/>
      <c r="C105" s="46">
        <f t="shared" si="113"/>
        <v>21.5</v>
      </c>
      <c r="D105" s="46">
        <f t="shared" ca="1" si="95"/>
        <v>0.43233762691780908</v>
      </c>
      <c r="E105" s="46">
        <f t="shared" ca="1" si="95"/>
        <v>0.76503318767716422</v>
      </c>
      <c r="F105" s="46">
        <f t="shared" ref="F105:G105" ca="1" si="133">AVERAGE(D101:D109)</f>
        <v>0.48916743998391965</v>
      </c>
      <c r="G105" s="46">
        <f t="shared" ca="1" si="133"/>
        <v>0.51318663411125309</v>
      </c>
      <c r="H105" s="46">
        <f t="shared" ca="1" si="97"/>
        <v>0.40866759131727609</v>
      </c>
      <c r="I105" s="46">
        <f t="shared" ca="1" si="98"/>
        <v>0.55325401465442337</v>
      </c>
      <c r="J105" s="46">
        <f t="shared" ca="1" si="99"/>
        <v>2.0023092173339321</v>
      </c>
      <c r="K105" s="46">
        <f t="shared" ca="1" si="100"/>
        <v>2.2322013520421629</v>
      </c>
      <c r="L105" s="12">
        <f t="shared" ca="1" si="101"/>
        <v>9.0011546086669654</v>
      </c>
      <c r="M105" s="12">
        <f t="shared" ca="1" si="102"/>
        <v>19.812704732147569</v>
      </c>
      <c r="N105" s="12">
        <f t="shared" ca="1" si="103"/>
        <v>19.812704732147569</v>
      </c>
      <c r="O105" s="12">
        <f t="shared" ca="1" si="104"/>
        <v>8112.4452217830449</v>
      </c>
      <c r="P105" s="12">
        <f t="shared" ca="1" si="105"/>
        <v>9.0011546086669654</v>
      </c>
      <c r="Q105" s="67">
        <f t="shared" ca="1" si="106"/>
        <v>7.456859274048675</v>
      </c>
      <c r="R105" s="46">
        <f t="shared" ca="1" si="107"/>
        <v>0.95960915723314066</v>
      </c>
      <c r="S105" s="46">
        <f t="shared" ca="1" si="108"/>
        <v>7.1556704435759784</v>
      </c>
      <c r="T105" s="46">
        <f t="shared" ca="1" si="109"/>
        <v>55.604750232965735</v>
      </c>
      <c r="U105" s="46">
        <f t="shared" ca="1" si="110"/>
        <v>1.7640648555308093E-3</v>
      </c>
      <c r="V105" s="46">
        <f t="shared" ca="1" si="111"/>
        <v>0.92084973464569853</v>
      </c>
      <c r="W105" s="46">
        <f ca="1">$AC$95+$AA$95*N105</f>
        <v>8.9591538365844094</v>
      </c>
      <c r="X105" s="68">
        <f t="shared" ca="1" si="112"/>
        <v>-4.2000772082555926E-2</v>
      </c>
      <c r="Y105" s="46"/>
      <c r="Z105" s="12"/>
      <c r="AA105" s="12"/>
      <c r="AB105" s="12"/>
      <c r="AC105" s="12"/>
      <c r="AD105" s="12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9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</row>
    <row r="106" spans="1:137" s="9" customFormat="1" x14ac:dyDescent="0.25">
      <c r="A106" s="1"/>
      <c r="B106" s="37"/>
      <c r="C106" s="46">
        <f t="shared" si="113"/>
        <v>21.75</v>
      </c>
      <c r="D106" s="46">
        <f t="shared" ca="1" si="95"/>
        <v>0.62086373695292918</v>
      </c>
      <c r="E106" s="46">
        <f t="shared" ca="1" si="95"/>
        <v>0.24922828428481814</v>
      </c>
      <c r="F106" s="46">
        <f t="shared" ref="F106:G106" ca="1" si="134">AVERAGE(D102:D110)</f>
        <v>0.47813119854502845</v>
      </c>
      <c r="G106" s="46">
        <f t="shared" ca="1" si="134"/>
        <v>0.48431534890609407</v>
      </c>
      <c r="H106" s="46">
        <f t="shared" ca="1" si="97"/>
        <v>0.37996532286488133</v>
      </c>
      <c r="I106" s="46">
        <f t="shared" ca="1" si="98"/>
        <v>0.49790688184328658</v>
      </c>
      <c r="J106" s="46">
        <f t="shared" ca="1" si="99"/>
        <v>-6.7830357372510829E-3</v>
      </c>
      <c r="K106" s="46">
        <f t="shared" ca="1" si="100"/>
        <v>0.2395038024115751</v>
      </c>
      <c r="L106" s="12">
        <f t="shared" ca="1" si="101"/>
        <v>7.9966084821313741</v>
      </c>
      <c r="M106" s="12">
        <f t="shared" ca="1" si="102"/>
        <v>12.838263308440514</v>
      </c>
      <c r="N106" s="12">
        <f t="shared" ca="1" si="103"/>
        <v>12.838263308440514</v>
      </c>
      <c r="O106" s="12">
        <f t="shared" ca="1" si="104"/>
        <v>2970.8651394738126</v>
      </c>
      <c r="P106" s="12">
        <f t="shared" ca="1" si="105"/>
        <v>7.9966084821313741</v>
      </c>
      <c r="Q106" s="67">
        <f t="shared" ca="1" si="106"/>
        <v>0.48241785034161921</v>
      </c>
      <c r="R106" s="46">
        <f t="shared" ca="1" si="107"/>
        <v>-4.4936969302450613E-2</v>
      </c>
      <c r="S106" s="46">
        <f t="shared" ca="1" si="108"/>
        <v>-2.1678396131755557E-2</v>
      </c>
      <c r="T106" s="46">
        <f t="shared" ca="1" si="109"/>
        <v>0.23272698232822892</v>
      </c>
      <c r="U106" s="46">
        <f t="shared" ca="1" si="110"/>
        <v>1.0878738933789697E-2</v>
      </c>
      <c r="V106" s="46">
        <f t="shared" ca="1" si="111"/>
        <v>2.0193312100893887E-3</v>
      </c>
      <c r="W106" s="46">
        <f ca="1">$AC$95+$AA$95*N106</f>
        <v>8.1009096754792438</v>
      </c>
      <c r="X106" s="68">
        <f t="shared" ca="1" si="112"/>
        <v>0.10430119334786969</v>
      </c>
      <c r="Y106" s="46"/>
      <c r="Z106" s="12"/>
      <c r="AA106" s="12"/>
      <c r="AB106" s="12"/>
      <c r="AC106" s="12"/>
      <c r="AD106" s="12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9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</row>
    <row r="107" spans="1:137" s="9" customFormat="1" x14ac:dyDescent="0.25">
      <c r="A107" s="1"/>
      <c r="B107" s="37"/>
      <c r="C107" s="46">
        <f t="shared" si="113"/>
        <v>22</v>
      </c>
      <c r="D107" s="46">
        <f t="shared" ca="1" si="95"/>
        <v>0.62603352368151488</v>
      </c>
      <c r="E107" s="46">
        <f t="shared" ca="1" si="95"/>
        <v>0.46845449822551521</v>
      </c>
      <c r="F107" s="46">
        <f t="shared" ref="F107:G107" ca="1" si="135">AVERAGE(D103:D111)</f>
        <v>0.4329567098107055</v>
      </c>
      <c r="G107" s="46">
        <f t="shared" ca="1" si="135"/>
        <v>0.51129915431957462</v>
      </c>
      <c r="H107" s="46">
        <f t="shared" ca="1" si="97"/>
        <v>0.26247873922753662</v>
      </c>
      <c r="I107" s="46">
        <f t="shared" ca="1" si="98"/>
        <v>0.54963565842379392</v>
      </c>
      <c r="J107" s="46">
        <f t="shared" ca="1" si="99"/>
        <v>-0.44600285530237965</v>
      </c>
      <c r="K107" s="46">
        <f t="shared" ca="1" si="100"/>
        <v>-0.55282798675866895</v>
      </c>
      <c r="L107" s="12">
        <f t="shared" ca="1" si="101"/>
        <v>7.77699857234881</v>
      </c>
      <c r="M107" s="12">
        <f t="shared" ca="1" si="102"/>
        <v>10.065102046344659</v>
      </c>
      <c r="N107" s="12">
        <f t="shared" ca="1" si="103"/>
        <v>10.065102046344659</v>
      </c>
      <c r="O107" s="12">
        <f t="shared" ca="1" si="104"/>
        <v>2385.1053454543744</v>
      </c>
      <c r="P107" s="12">
        <f t="shared" ca="1" si="105"/>
        <v>7.77699857234881</v>
      </c>
      <c r="Q107" s="67">
        <f t="shared" ca="1" si="106"/>
        <v>-2.2907434117542351</v>
      </c>
      <c r="R107" s="46">
        <f t="shared" ca="1" si="107"/>
        <v>-0.26454687908501473</v>
      </c>
      <c r="S107" s="46">
        <f t="shared" ca="1" si="108"/>
        <v>0.60600902036414173</v>
      </c>
      <c r="T107" s="46">
        <f t="shared" ca="1" si="109"/>
        <v>5.2475053784954335</v>
      </c>
      <c r="U107" s="46">
        <f t="shared" ca="1" si="110"/>
        <v>3.0074338534500879E-4</v>
      </c>
      <c r="V107" s="46">
        <f t="shared" ca="1" si="111"/>
        <v>6.9985051233621406E-2</v>
      </c>
      <c r="W107" s="46">
        <f ca="1">$AC$95+$AA$95*N107</f>
        <v>7.7596566178642368</v>
      </c>
      <c r="X107" s="68">
        <f t="shared" ca="1" si="112"/>
        <v>-1.7341954484573208E-2</v>
      </c>
      <c r="Y107" s="46"/>
      <c r="Z107" s="12"/>
      <c r="AA107" s="12"/>
      <c r="AB107" s="12"/>
      <c r="AC107" s="12"/>
      <c r="AD107" s="12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9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</row>
    <row r="108" spans="1:137" s="9" customFormat="1" x14ac:dyDescent="0.25">
      <c r="A108" s="1"/>
      <c r="B108" s="37"/>
      <c r="C108" s="46">
        <f t="shared" si="113"/>
        <v>22.25</v>
      </c>
      <c r="D108" s="46">
        <f t="shared" ca="1" si="95"/>
        <v>4.5808568553015738E-2</v>
      </c>
      <c r="E108" s="46">
        <f t="shared" ca="1" si="95"/>
        <v>0.11449530909566608</v>
      </c>
      <c r="F108" s="46">
        <f t="shared" ref="F108:G108" ca="1" si="136">AVERAGE(D104:D112)</f>
        <v>0.43820647773377197</v>
      </c>
      <c r="G108" s="46">
        <f t="shared" ca="1" si="136"/>
        <v>0.47905233816530823</v>
      </c>
      <c r="H108" s="46">
        <f t="shared" ca="1" si="97"/>
        <v>0.2761319606684553</v>
      </c>
      <c r="I108" s="46">
        <f t="shared" ca="1" si="98"/>
        <v>0.48781753000505729</v>
      </c>
      <c r="J108" s="46">
        <f t="shared" ca="1" si="99"/>
        <v>-1.3794584993376533</v>
      </c>
      <c r="K108" s="46">
        <f t="shared" ca="1" si="100"/>
        <v>-0.74816718141992944</v>
      </c>
      <c r="L108" s="12">
        <f t="shared" ca="1" si="101"/>
        <v>7.3102707503311732</v>
      </c>
      <c r="M108" s="12">
        <f t="shared" ca="1" si="102"/>
        <v>9.3814148650302478</v>
      </c>
      <c r="N108" s="12">
        <f t="shared" ca="1" si="103"/>
        <v>9.3814148650302478</v>
      </c>
      <c r="O108" s="12">
        <f t="shared" ca="1" si="104"/>
        <v>1495.5820637180709</v>
      </c>
      <c r="P108" s="12">
        <f t="shared" ca="1" si="105"/>
        <v>7.3102707503311732</v>
      </c>
      <c r="Q108" s="67">
        <f t="shared" ca="1" si="106"/>
        <v>-2.9744305930686465</v>
      </c>
      <c r="R108" s="46">
        <f t="shared" ca="1" si="107"/>
        <v>-0.73127470110265147</v>
      </c>
      <c r="S108" s="46">
        <f t="shared" ca="1" si="108"/>
        <v>2.1751258428968567</v>
      </c>
      <c r="T108" s="46">
        <f t="shared" ca="1" si="109"/>
        <v>8.8472373529827006</v>
      </c>
      <c r="U108" s="46">
        <f t="shared" ca="1" si="110"/>
        <v>0.13341072024460934</v>
      </c>
      <c r="V108" s="46">
        <f t="shared" ca="1" si="111"/>
        <v>0.5347626884727722</v>
      </c>
      <c r="W108" s="46">
        <f ca="1">$AC$95+$AA$95*N108</f>
        <v>7.6755250730223761</v>
      </c>
      <c r="X108" s="68">
        <f t="shared" ca="1" si="112"/>
        <v>0.36525432269120284</v>
      </c>
      <c r="Y108" s="46"/>
      <c r="Z108" s="12"/>
      <c r="AA108" s="12"/>
      <c r="AB108" s="12"/>
      <c r="AC108" s="12"/>
      <c r="AD108" s="12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9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</row>
    <row r="109" spans="1:137" s="9" customFormat="1" x14ac:dyDescent="0.25">
      <c r="A109" s="1"/>
      <c r="B109" s="37"/>
      <c r="C109" s="46">
        <f t="shared" si="113"/>
        <v>22.5</v>
      </c>
      <c r="D109" s="46">
        <f t="shared" ca="1" si="95"/>
        <v>0.85865546013456584</v>
      </c>
      <c r="E109" s="46">
        <f t="shared" ca="1" si="95"/>
        <v>0.53539884554323625</v>
      </c>
      <c r="F109" s="46">
        <f t="shared" ref="F109:G109" ca="1" si="137">AVERAGE(D105:D113)</f>
        <v>0.44782523216722203</v>
      </c>
      <c r="G109" s="46">
        <f t="shared" ca="1" si="137"/>
        <v>0.39734398682002198</v>
      </c>
      <c r="H109" s="46">
        <f t="shared" ca="1" si="97"/>
        <v>0.30114773016346225</v>
      </c>
      <c r="I109" s="46">
        <f t="shared" ca="1" si="98"/>
        <v>0.33118013262038926</v>
      </c>
      <c r="J109" s="46">
        <f t="shared" ca="1" si="99"/>
        <v>-0.15900141920634006</v>
      </c>
      <c r="K109" s="46">
        <f t="shared" ca="1" si="100"/>
        <v>-0.21151138397290054</v>
      </c>
      <c r="L109" s="12">
        <f t="shared" ca="1" si="101"/>
        <v>7.9204992903968297</v>
      </c>
      <c r="M109" s="12">
        <f t="shared" ca="1" si="102"/>
        <v>11.259710156094847</v>
      </c>
      <c r="N109" s="12">
        <f t="shared" ca="1" si="103"/>
        <v>11.259710156094847</v>
      </c>
      <c r="O109" s="12">
        <f t="shared" ca="1" si="104"/>
        <v>2753.1453216402601</v>
      </c>
      <c r="P109" s="12">
        <f t="shared" ca="1" si="105"/>
        <v>7.9204992903968297</v>
      </c>
      <c r="Q109" s="67">
        <f t="shared" ca="1" si="106"/>
        <v>-1.096135302004047</v>
      </c>
      <c r="R109" s="46">
        <f t="shared" ca="1" si="107"/>
        <v>-0.12104616103699506</v>
      </c>
      <c r="S109" s="46">
        <f t="shared" ca="1" si="108"/>
        <v>0.13268297028471709</v>
      </c>
      <c r="T109" s="46">
        <f t="shared" ca="1" si="109"/>
        <v>1.2015126002995034</v>
      </c>
      <c r="U109" s="46">
        <f t="shared" ca="1" si="110"/>
        <v>1.9153009710138789E-4</v>
      </c>
      <c r="V109" s="46">
        <f t="shared" ca="1" si="111"/>
        <v>1.465217310179414E-2</v>
      </c>
      <c r="W109" s="46">
        <f ca="1">$AC$95+$AA$95*N109</f>
        <v>7.9066598504839796</v>
      </c>
      <c r="X109" s="68">
        <f t="shared" ca="1" si="112"/>
        <v>-1.3839439912850082E-2</v>
      </c>
      <c r="Y109" s="46"/>
      <c r="Z109" s="12"/>
      <c r="AA109" s="12"/>
      <c r="AB109" s="12"/>
      <c r="AC109" s="12"/>
      <c r="AD109" s="12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9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</row>
    <row r="110" spans="1:137" s="9" customFormat="1" x14ac:dyDescent="0.25">
      <c r="A110" s="1"/>
      <c r="B110" s="37"/>
      <c r="C110" s="46">
        <f t="shared" si="113"/>
        <v>22.75</v>
      </c>
      <c r="D110" s="46">
        <f t="shared" ca="1" si="95"/>
        <v>0.78316213978811411</v>
      </c>
      <c r="E110" s="46">
        <f t="shared" ca="1" si="95"/>
        <v>0.67891572621254359</v>
      </c>
      <c r="F110" s="46">
        <f t="shared" ref="F110:G110" ca="1" si="138">AVERAGE(D106:D114)</f>
        <v>0.41920052010891135</v>
      </c>
      <c r="G110" s="46">
        <f t="shared" ca="1" si="138"/>
        <v>0.34732115315943957</v>
      </c>
      <c r="H110" s="46">
        <f t="shared" ca="1" si="97"/>
        <v>0.22670262360980575</v>
      </c>
      <c r="I110" s="46">
        <f t="shared" ca="1" si="98"/>
        <v>0.23528483739789147</v>
      </c>
      <c r="J110" s="46">
        <f t="shared" ca="1" si="99"/>
        <v>0.23344831477243169</v>
      </c>
      <c r="K110" s="46">
        <f t="shared" ca="1" si="100"/>
        <v>0.39924172694361182</v>
      </c>
      <c r="L110" s="12">
        <f t="shared" ca="1" si="101"/>
        <v>8.1167241573862157</v>
      </c>
      <c r="M110" s="12">
        <f t="shared" ca="1" si="102"/>
        <v>13.39734604430264</v>
      </c>
      <c r="N110" s="12">
        <f t="shared" ca="1" si="103"/>
        <v>13.39734604430264</v>
      </c>
      <c r="O110" s="12">
        <f t="shared" ca="1" si="104"/>
        <v>3350.0285842217449</v>
      </c>
      <c r="P110" s="12">
        <f t="shared" ca="1" si="105"/>
        <v>8.1167241573862157</v>
      </c>
      <c r="Q110" s="67">
        <f t="shared" ca="1" si="106"/>
        <v>1.0415005862037461</v>
      </c>
      <c r="R110" s="46">
        <f t="shared" ca="1" si="107"/>
        <v>7.5178705952390956E-2</v>
      </c>
      <c r="S110" s="46">
        <f t="shared" ca="1" si="108"/>
        <v>7.829866631945423E-2</v>
      </c>
      <c r="T110" s="46">
        <f t="shared" ca="1" si="109"/>
        <v>1.0847234710627467</v>
      </c>
      <c r="U110" s="46">
        <f t="shared" ca="1" si="110"/>
        <v>2.8072816405604033E-3</v>
      </c>
      <c r="V110" s="46">
        <f t="shared" ca="1" si="111"/>
        <v>5.6518378286760634E-3</v>
      </c>
      <c r="W110" s="46">
        <f ca="1">$AC$95+$AA$95*N110</f>
        <v>8.1697079439681541</v>
      </c>
      <c r="X110" s="68">
        <f t="shared" ca="1" si="112"/>
        <v>5.2983786581938475E-2</v>
      </c>
      <c r="Y110" s="46"/>
      <c r="Z110" s="12"/>
      <c r="AA110" s="12"/>
      <c r="AB110" s="12"/>
      <c r="AC110" s="12"/>
      <c r="AD110" s="12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9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</row>
    <row r="111" spans="1:137" s="9" customFormat="1" x14ac:dyDescent="0.25">
      <c r="A111" s="1"/>
      <c r="B111" s="37"/>
      <c r="C111" s="46">
        <f t="shared" si="113"/>
        <v>23</v>
      </c>
      <c r="D111" s="46">
        <f t="shared" ca="1" si="95"/>
        <v>5.751337049229055E-2</v>
      </c>
      <c r="E111" s="46">
        <f t="shared" ca="1" si="95"/>
        <v>0.47715764619538847</v>
      </c>
      <c r="F111" s="46">
        <f t="shared" ref="F111:G111" ca="1" si="139">AVERAGE(D107:D115)</f>
        <v>0.44784573627189034</v>
      </c>
      <c r="G111" s="46">
        <f t="shared" ca="1" si="139"/>
        <v>0.42944574743286368</v>
      </c>
      <c r="H111" s="46">
        <f t="shared" ca="1" si="97"/>
        <v>0.30120105577434386</v>
      </c>
      <c r="I111" s="46">
        <f t="shared" ca="1" si="98"/>
        <v>0.39272018514956386</v>
      </c>
      <c r="J111" s="46">
        <f t="shared" ca="1" si="99"/>
        <v>-1.0278972391832226</v>
      </c>
      <c r="K111" s="46">
        <f t="shared" ca="1" si="100"/>
        <v>-0.5344272499150351</v>
      </c>
      <c r="L111" s="12">
        <f t="shared" ca="1" si="101"/>
        <v>7.486051380408389</v>
      </c>
      <c r="M111" s="12">
        <f t="shared" ca="1" si="102"/>
        <v>10.129504625297377</v>
      </c>
      <c r="N111" s="12">
        <f t="shared" ca="1" si="103"/>
        <v>10.129504625297377</v>
      </c>
      <c r="O111" s="12">
        <f t="shared" ca="1" si="104"/>
        <v>1782.9977936195435</v>
      </c>
      <c r="P111" s="12">
        <f t="shared" ca="1" si="105"/>
        <v>7.486051380408389</v>
      </c>
      <c r="Q111" s="67">
        <f t="shared" ca="1" si="106"/>
        <v>-2.2263408328015171</v>
      </c>
      <c r="R111" s="46">
        <f t="shared" ca="1" si="107"/>
        <v>-0.55549407102543569</v>
      </c>
      <c r="S111" s="46">
        <f t="shared" ca="1" si="108"/>
        <v>1.2367191327030735</v>
      </c>
      <c r="T111" s="46">
        <f t="shared" ca="1" si="109"/>
        <v>4.9565935037993523</v>
      </c>
      <c r="U111" s="46">
        <f t="shared" ca="1" si="110"/>
        <v>7.9259330231409728E-2</v>
      </c>
      <c r="V111" s="46">
        <f t="shared" ca="1" si="111"/>
        <v>0.3085736629444118</v>
      </c>
      <c r="W111" s="46">
        <f ca="1">$AC$95+$AA$95*N111</f>
        <v>7.7675817166626011</v>
      </c>
      <c r="X111" s="68">
        <f t="shared" ca="1" si="112"/>
        <v>0.28153033625421209</v>
      </c>
      <c r="Y111" s="46"/>
      <c r="Z111" s="12"/>
      <c r="AA111" s="12"/>
      <c r="AB111" s="12"/>
      <c r="AC111" s="12"/>
      <c r="AD111" s="12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9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</row>
    <row r="112" spans="1:137" s="9" customFormat="1" x14ac:dyDescent="0.25">
      <c r="A112" s="1"/>
      <c r="B112" s="37"/>
      <c r="C112" s="46">
        <f t="shared" si="113"/>
        <v>23.25</v>
      </c>
      <c r="D112" s="46">
        <f t="shared" ca="1" si="95"/>
        <v>0.35620617539797883</v>
      </c>
      <c r="E112" s="46">
        <f t="shared" ca="1" si="95"/>
        <v>3.1407515519868645E-2</v>
      </c>
      <c r="F112" s="46">
        <f t="shared" ref="F112:G112" ca="1" si="140">AVERAGE(D108:D116)</f>
        <v>0.38061745517222673</v>
      </c>
      <c r="G112" s="46">
        <f t="shared" ca="1" si="140"/>
        <v>0.45114035385265894</v>
      </c>
      <c r="H112" s="46">
        <f t="shared" ca="1" si="97"/>
        <v>0.12635854418196724</v>
      </c>
      <c r="I112" s="46">
        <f t="shared" ca="1" si="98"/>
        <v>0.43430940621365377</v>
      </c>
      <c r="J112" s="46">
        <f t="shared" ca="1" si="99"/>
        <v>0.63166595329692499</v>
      </c>
      <c r="K112" s="46">
        <f t="shared" ca="1" si="100"/>
        <v>0.52278729177050642</v>
      </c>
      <c r="L112" s="12">
        <f t="shared" ca="1" si="101"/>
        <v>8.315832976648462</v>
      </c>
      <c r="M112" s="12">
        <f t="shared" ca="1" si="102"/>
        <v>13.829755521196773</v>
      </c>
      <c r="N112" s="12">
        <f t="shared" ca="1" si="103"/>
        <v>13.829755521196773</v>
      </c>
      <c r="O112" s="12">
        <f t="shared" ca="1" si="104"/>
        <v>4088.0893023743906</v>
      </c>
      <c r="P112" s="12">
        <f t="shared" ca="1" si="105"/>
        <v>8.315832976648462</v>
      </c>
      <c r="Q112" s="67">
        <f t="shared" ca="1" si="106"/>
        <v>1.473910063097879</v>
      </c>
      <c r="R112" s="46">
        <f t="shared" ca="1" si="107"/>
        <v>0.27428752521463728</v>
      </c>
      <c r="S112" s="46">
        <f t="shared" ca="1" si="108"/>
        <v>0.40427514359606709</v>
      </c>
      <c r="T112" s="46">
        <f t="shared" ca="1" si="109"/>
        <v>2.1724108741011934</v>
      </c>
      <c r="U112" s="46">
        <f t="shared" ca="1" si="110"/>
        <v>8.6331265463086386E-3</v>
      </c>
      <c r="V112" s="46">
        <f t="shared" ca="1" si="111"/>
        <v>7.523364648837029E-2</v>
      </c>
      <c r="W112" s="46">
        <f ca="1">$AC$95+$AA$95*N112</f>
        <v>8.2229183569898279</v>
      </c>
      <c r="X112" s="68">
        <f t="shared" ca="1" si="112"/>
        <v>-9.2914619658634123E-2</v>
      </c>
      <c r="Y112" s="46"/>
      <c r="Z112" s="12"/>
      <c r="AA112" s="12"/>
      <c r="AB112" s="12"/>
      <c r="AC112" s="12"/>
      <c r="AD112" s="12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9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</row>
    <row r="113" spans="1:137" s="9" customFormat="1" x14ac:dyDescent="0.25">
      <c r="A113" s="1"/>
      <c r="B113" s="37"/>
      <c r="C113" s="46">
        <f t="shared" si="113"/>
        <v>23.5</v>
      </c>
      <c r="D113" s="46">
        <f t="shared" ca="1" si="95"/>
        <v>0.24984648758678019</v>
      </c>
      <c r="E113" s="46">
        <f t="shared" ca="1" si="95"/>
        <v>0.25600486862599758</v>
      </c>
      <c r="F113" s="46">
        <f t="shared" ref="F113:G113" ca="1" si="141">AVERAGE(D109:D117)</f>
        <v>0.44735055787532463</v>
      </c>
      <c r="G113" s="46">
        <f t="shared" ca="1" si="141"/>
        <v>0.51067803857317928</v>
      </c>
      <c r="H113" s="46">
        <f t="shared" ca="1" si="97"/>
        <v>0.29991323116949514</v>
      </c>
      <c r="I113" s="46">
        <f t="shared" ca="1" si="98"/>
        <v>0.54844496062622283</v>
      </c>
      <c r="J113" s="46">
        <f t="shared" ca="1" si="99"/>
        <v>7.6614876971950102E-2</v>
      </c>
      <c r="K113" s="46">
        <f t="shared" ca="1" si="100"/>
        <v>-0.39096647617233732</v>
      </c>
      <c r="L113" s="12">
        <f t="shared" ca="1" si="101"/>
        <v>8.0383074384859743</v>
      </c>
      <c r="M113" s="12">
        <f t="shared" ca="1" si="102"/>
        <v>10.63161733339682</v>
      </c>
      <c r="N113" s="12">
        <f t="shared" ca="1" si="103"/>
        <v>10.63161733339682</v>
      </c>
      <c r="O113" s="12">
        <f t="shared" ca="1" si="104"/>
        <v>3097.3662682707968</v>
      </c>
      <c r="P113" s="12">
        <f t="shared" ca="1" si="105"/>
        <v>8.0383074384859743</v>
      </c>
      <c r="Q113" s="67">
        <f t="shared" ca="1" si="106"/>
        <v>-1.7242281247020745</v>
      </c>
      <c r="R113" s="46">
        <f t="shared" ca="1" si="107"/>
        <v>-3.2380129478504216E-3</v>
      </c>
      <c r="S113" s="46">
        <f t="shared" ca="1" si="108"/>
        <v>5.5830729928331687E-3</v>
      </c>
      <c r="T113" s="46">
        <f t="shared" ca="1" si="109"/>
        <v>2.9729626260136328</v>
      </c>
      <c r="U113" s="46">
        <f t="shared" ca="1" si="110"/>
        <v>4.3655060679491708E-2</v>
      </c>
      <c r="V113" s="46">
        <f t="shared" ca="1" si="111"/>
        <v>1.0484727850446977E-5</v>
      </c>
      <c r="W113" s="46">
        <f ca="1">$AC$95+$AA$95*N113</f>
        <v>7.8293695034921305</v>
      </c>
      <c r="X113" s="68">
        <f t="shared" ca="1" si="112"/>
        <v>-0.20893793499384383</v>
      </c>
      <c r="Y113" s="46"/>
      <c r="Z113" s="12"/>
      <c r="AA113" s="12"/>
      <c r="AB113" s="12"/>
      <c r="AC113" s="12"/>
      <c r="AD113" s="12"/>
      <c r="AE113" s="38"/>
      <c r="AF113" s="38"/>
      <c r="AG113" s="38"/>
      <c r="AH113" s="38"/>
      <c r="AI113" s="38"/>
      <c r="AJ113" s="38"/>
      <c r="AK113" s="38"/>
      <c r="AL113" s="38"/>
      <c r="AM113" s="38">
        <v>0</v>
      </c>
      <c r="AN113" s="38">
        <v>0</v>
      </c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9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</row>
    <row r="114" spans="1:137" s="9" customFormat="1" x14ac:dyDescent="0.25">
      <c r="A114" s="1"/>
      <c r="B114" s="37"/>
      <c r="C114" s="46">
        <f t="shared" si="113"/>
        <v>23.75</v>
      </c>
      <c r="D114" s="46">
        <f t="shared" ca="1" si="95"/>
        <v>0.17471521839301307</v>
      </c>
      <c r="E114" s="46">
        <f t="shared" ca="1" si="95"/>
        <v>0.31482768473192169</v>
      </c>
      <c r="F114" s="46">
        <f t="shared" ref="F114:G114" ca="1" si="142">AVERAGE(D110:D118)</f>
        <v>0.42135289773792101</v>
      </c>
      <c r="G114" s="46">
        <f t="shared" ca="1" si="142"/>
        <v>0.54194358646148966</v>
      </c>
      <c r="H114" s="46">
        <f t="shared" ca="1" si="97"/>
        <v>0.23230037361018732</v>
      </c>
      <c r="I114" s="46">
        <f t="shared" ca="1" si="98"/>
        <v>0.60838196790146715</v>
      </c>
      <c r="J114" s="46">
        <f t="shared" ca="1" si="99"/>
        <v>0.99032970093013339</v>
      </c>
      <c r="K114" s="46">
        <f t="shared" ca="1" si="100"/>
        <v>0.50132897848318114</v>
      </c>
      <c r="L114" s="12">
        <f t="shared" ca="1" si="101"/>
        <v>8.4951648504650663</v>
      </c>
      <c r="M114" s="12">
        <f t="shared" ca="1" si="102"/>
        <v>13.754651424691135</v>
      </c>
      <c r="N114" s="12">
        <f t="shared" ca="1" si="103"/>
        <v>13.754651424691135</v>
      </c>
      <c r="O114" s="12">
        <f t="shared" ca="1" si="104"/>
        <v>4891.0625559266855</v>
      </c>
      <c r="P114" s="12">
        <f t="shared" ca="1" si="105"/>
        <v>8.4951648504650663</v>
      </c>
      <c r="Q114" s="67">
        <f t="shared" ca="1" si="106"/>
        <v>1.3988059665922403</v>
      </c>
      <c r="R114" s="46">
        <f t="shared" ca="1" si="107"/>
        <v>0.4536193990312416</v>
      </c>
      <c r="S114" s="46">
        <f t="shared" ca="1" si="108"/>
        <v>0.63452552192688705</v>
      </c>
      <c r="T114" s="46">
        <f t="shared" ca="1" si="109"/>
        <v>1.9566581321740517</v>
      </c>
      <c r="U114" s="46">
        <f t="shared" ca="1" si="110"/>
        <v>7.9235761034566393E-2</v>
      </c>
      <c r="V114" s="46">
        <f t="shared" ca="1" si="111"/>
        <v>0.20577055917746478</v>
      </c>
      <c r="W114" s="46">
        <f ca="1">$AC$95+$AA$95*N114</f>
        <v>8.2136763763945169</v>
      </c>
      <c r="X114" s="68">
        <f t="shared" ca="1" si="112"/>
        <v>-0.28148847407054944</v>
      </c>
      <c r="Y114" s="46"/>
      <c r="Z114" s="12"/>
      <c r="AA114" s="12"/>
      <c r="AB114" s="12"/>
      <c r="AC114" s="12"/>
      <c r="AD114" s="12"/>
      <c r="AE114" s="38"/>
      <c r="AF114" s="38"/>
      <c r="AG114" s="38"/>
      <c r="AH114" s="38"/>
      <c r="AI114" s="38"/>
      <c r="AJ114" s="38"/>
      <c r="AK114" s="38"/>
      <c r="AL114" s="38"/>
      <c r="AM114" s="38">
        <v>0</v>
      </c>
      <c r="AN114" s="38">
        <v>30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9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</row>
    <row r="115" spans="1:137" s="9" customFormat="1" x14ac:dyDescent="0.25">
      <c r="A115" s="1"/>
      <c r="B115" s="37"/>
      <c r="C115" s="46">
        <f t="shared" si="113"/>
        <v>24</v>
      </c>
      <c r="D115" s="46">
        <f t="shared" ca="1" si="95"/>
        <v>0.87867068241973967</v>
      </c>
      <c r="E115" s="46">
        <f t="shared" ca="1" si="95"/>
        <v>0.98834963274563548</v>
      </c>
      <c r="F115" s="46">
        <f t="shared" ref="F115:G115" ca="1" si="143">AVERAGE(D111:D119)</f>
        <v>0.41058428724939622</v>
      </c>
      <c r="G115" s="46">
        <f t="shared" ca="1" si="143"/>
        <v>0.51099943845773277</v>
      </c>
      <c r="H115" s="46">
        <f t="shared" ca="1" si="97"/>
        <v>0.20429414061752041</v>
      </c>
      <c r="I115" s="46">
        <f t="shared" ca="1" si="98"/>
        <v>0.54906109399089498</v>
      </c>
      <c r="J115" s="46">
        <f t="shared" ca="1" si="99"/>
        <v>-0.79344945605795758</v>
      </c>
      <c r="K115" s="46">
        <f t="shared" ca="1" si="100"/>
        <v>-0.19928675442168031</v>
      </c>
      <c r="L115" s="12">
        <f t="shared" ca="1" si="101"/>
        <v>7.6032752719710208</v>
      </c>
      <c r="M115" s="12">
        <f t="shared" ca="1" si="102"/>
        <v>11.302496359524119</v>
      </c>
      <c r="N115" s="12">
        <f t="shared" ca="1" si="103"/>
        <v>11.302496359524119</v>
      </c>
      <c r="O115" s="12">
        <f t="shared" ca="1" si="104"/>
        <v>2004.7512595525095</v>
      </c>
      <c r="P115" s="12">
        <f t="shared" ca="1" si="105"/>
        <v>7.6032752719710208</v>
      </c>
      <c r="Q115" s="67">
        <f t="shared" ca="1" si="106"/>
        <v>-1.0533490985747758</v>
      </c>
      <c r="R115" s="46">
        <f t="shared" ca="1" si="107"/>
        <v>-0.43827017946280389</v>
      </c>
      <c r="S115" s="46">
        <f t="shared" ca="1" si="108"/>
        <v>0.46165149846934966</v>
      </c>
      <c r="T115" s="46">
        <f t="shared" ca="1" si="109"/>
        <v>1.1095443234682927</v>
      </c>
      <c r="U115" s="46">
        <f t="shared" ca="1" si="110"/>
        <v>9.526461322410161E-2</v>
      </c>
      <c r="V115" s="46">
        <f t="shared" ca="1" si="111"/>
        <v>0.19208075020635831</v>
      </c>
      <c r="W115" s="46">
        <f ca="1">$AC$95+$AA$95*N115</f>
        <v>7.9119249329526937</v>
      </c>
      <c r="X115" s="68">
        <f t="shared" ca="1" si="112"/>
        <v>0.3086496609816729</v>
      </c>
      <c r="Y115" s="46"/>
      <c r="Z115" s="12"/>
      <c r="AA115" s="12"/>
      <c r="AB115" s="12"/>
      <c r="AC115" s="12"/>
      <c r="AD115" s="12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9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</row>
    <row r="116" spans="1:137" s="9" customFormat="1" x14ac:dyDescent="0.25">
      <c r="A116" s="1"/>
      <c r="B116" s="37"/>
      <c r="C116" s="46">
        <f t="shared" si="113"/>
        <v>24.25</v>
      </c>
      <c r="D116" s="46">
        <f t="shared" ca="1" si="95"/>
        <v>2.0978993784543043E-2</v>
      </c>
      <c r="E116" s="46">
        <f t="shared" ca="1" si="95"/>
        <v>0.6637059560036721</v>
      </c>
      <c r="F116" s="46">
        <f t="shared" ref="F116:G116" ca="1" si="144">AVERAGE(D112:D120)</f>
        <v>0.50774883814380778</v>
      </c>
      <c r="G116" s="46">
        <f t="shared" ca="1" si="144"/>
        <v>0.47494202953843856</v>
      </c>
      <c r="H116" s="46">
        <f t="shared" ca="1" si="97"/>
        <v>0.45699276444429004</v>
      </c>
      <c r="I116" s="46">
        <f t="shared" ca="1" si="98"/>
        <v>0.47993794321667749</v>
      </c>
      <c r="J116" s="46">
        <f t="shared" ca="1" si="99"/>
        <v>0.428975495264933</v>
      </c>
      <c r="K116" s="46">
        <f t="shared" ca="1" si="100"/>
        <v>0.51155580900363085</v>
      </c>
      <c r="L116" s="12">
        <f t="shared" ca="1" si="101"/>
        <v>8.2144877476324663</v>
      </c>
      <c r="M116" s="12">
        <f t="shared" ca="1" si="102"/>
        <v>13.790445331512707</v>
      </c>
      <c r="N116" s="12">
        <f t="shared" ca="1" si="103"/>
        <v>13.790445331512707</v>
      </c>
      <c r="O116" s="12">
        <f t="shared" ca="1" si="104"/>
        <v>3694.0834368521851</v>
      </c>
      <c r="P116" s="12">
        <f t="shared" ca="1" si="105"/>
        <v>8.2144877476324663</v>
      </c>
      <c r="Q116" s="67">
        <f t="shared" ca="1" si="106"/>
        <v>1.4345998734138128</v>
      </c>
      <c r="R116" s="46">
        <f t="shared" ca="1" si="107"/>
        <v>0.17294229619864154</v>
      </c>
      <c r="S116" s="46">
        <f t="shared" ca="1" si="108"/>
        <v>0.24810299623446527</v>
      </c>
      <c r="T116" s="46">
        <f t="shared" ca="1" si="109"/>
        <v>2.0580767967989275</v>
      </c>
      <c r="U116" s="46">
        <f t="shared" ca="1" si="110"/>
        <v>1.2911588495592968E-5</v>
      </c>
      <c r="V116" s="46">
        <f t="shared" ca="1" si="111"/>
        <v>2.9909037814458667E-2</v>
      </c>
      <c r="W116" s="46">
        <f t="shared" ref="W116:W124" ca="1" si="145">$AC$95+$AA$95*N116</f>
        <v>8.2180810175215218</v>
      </c>
      <c r="X116" s="68">
        <f t="shared" ca="1" si="112"/>
        <v>3.5932698890555059E-3</v>
      </c>
      <c r="Y116" s="46"/>
      <c r="Z116" s="12"/>
      <c r="AA116" s="12"/>
      <c r="AB116" s="12"/>
      <c r="AC116" s="12"/>
      <c r="AD116" s="12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9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</row>
    <row r="117" spans="1:137" s="9" customFormat="1" ht="15.75" thickBot="1" x14ac:dyDescent="0.3">
      <c r="A117" s="1"/>
      <c r="B117" s="37"/>
      <c r="C117" s="46">
        <f t="shared" si="113"/>
        <v>24.5</v>
      </c>
      <c r="D117" s="46">
        <f t="shared" ca="1" si="95"/>
        <v>0.64640649288089713</v>
      </c>
      <c r="E117" s="46">
        <f t="shared" ca="1" si="95"/>
        <v>0.65033447158034918</v>
      </c>
      <c r="F117" s="46">
        <f t="shared" ref="F117:G117" ca="1" si="146">AVERAGE(D113:D121)</f>
        <v>0.53069460826797987</v>
      </c>
      <c r="G117" s="46">
        <f t="shared" ca="1" si="146"/>
        <v>0.47926962957727209</v>
      </c>
      <c r="H117" s="46">
        <f t="shared" ca="1" si="97"/>
        <v>0.516668484443498</v>
      </c>
      <c r="I117" s="46">
        <f t="shared" ca="1" si="98"/>
        <v>0.48823408425788062</v>
      </c>
      <c r="J117" s="46">
        <f t="shared" ca="1" si="99"/>
        <v>-0.55497151570785708</v>
      </c>
      <c r="K117" s="46">
        <f t="shared" ca="1" si="100"/>
        <v>-0.96871541643679082</v>
      </c>
      <c r="L117" s="12">
        <f t="shared" ca="1" si="101"/>
        <v>7.7225142421460715</v>
      </c>
      <c r="M117" s="12">
        <f t="shared" ca="1" si="102"/>
        <v>8.6094960424712319</v>
      </c>
      <c r="N117" s="12">
        <f t="shared" ca="1" si="103"/>
        <v>8.6094960424712319</v>
      </c>
      <c r="O117" s="12">
        <f t="shared" ca="1" si="104"/>
        <v>2258.631193415898</v>
      </c>
      <c r="P117" s="12">
        <f t="shared" ca="1" si="105"/>
        <v>7.7225142421460715</v>
      </c>
      <c r="Q117" s="67">
        <f t="shared" ca="1" si="106"/>
        <v>-3.7463494156276624</v>
      </c>
      <c r="R117" s="46">
        <f t="shared" ca="1" si="107"/>
        <v>-0.31903120928775319</v>
      </c>
      <c r="S117" s="46">
        <f t="shared" ca="1" si="108"/>
        <v>1.1952023844821607</v>
      </c>
      <c r="T117" s="46">
        <f t="shared" ca="1" si="109"/>
        <v>14.035133943973728</v>
      </c>
      <c r="U117" s="46">
        <f t="shared" ca="1" si="110"/>
        <v>2.0157784462879001E-2</v>
      </c>
      <c r="V117" s="46">
        <f t="shared" ca="1" si="111"/>
        <v>0.10178091249960618</v>
      </c>
      <c r="W117" s="46">
        <f t="shared" ca="1" si="145"/>
        <v>7.5805361295269815</v>
      </c>
      <c r="X117" s="68">
        <f t="shared" ca="1" si="112"/>
        <v>-0.14197811261908999</v>
      </c>
      <c r="Y117" s="46"/>
      <c r="Z117" s="12"/>
      <c r="AA117" s="12"/>
      <c r="AB117" s="12"/>
      <c r="AC117" s="12"/>
      <c r="AD117" s="12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9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</row>
    <row r="118" spans="1:137" s="9" customFormat="1" ht="19.5" thickBot="1" x14ac:dyDescent="0.35">
      <c r="A118" s="1"/>
      <c r="B118" s="37"/>
      <c r="C118" s="46">
        <f t="shared" si="113"/>
        <v>24.75</v>
      </c>
      <c r="D118" s="46">
        <f t="shared" ca="1" si="95"/>
        <v>0.62467651889793274</v>
      </c>
      <c r="E118" s="46">
        <f t="shared" ca="1" si="95"/>
        <v>0.81678877653802984</v>
      </c>
      <c r="F118" s="46">
        <f t="shared" ref="F118:G118" ca="1" si="147">AVERAGE(D114:D122)</f>
        <v>0.51020239812003831</v>
      </c>
      <c r="G118" s="46">
        <f t="shared" ca="1" si="147"/>
        <v>0.49353668205876666</v>
      </c>
      <c r="H118" s="46">
        <f t="shared" ca="1" si="97"/>
        <v>0.46337380798087435</v>
      </c>
      <c r="I118" s="46">
        <f t="shared" ca="1" si="98"/>
        <v>0.5155844582680974</v>
      </c>
      <c r="J118" s="46">
        <f t="shared" ca="1" si="99"/>
        <v>0.82263905188673614</v>
      </c>
      <c r="K118" s="46">
        <f t="shared" ca="1" si="100"/>
        <v>1.9538251641473685</v>
      </c>
      <c r="L118" s="12">
        <f t="shared" ca="1" si="101"/>
        <v>8.4113195259433677</v>
      </c>
      <c r="M118" s="12">
        <f t="shared" ca="1" si="102"/>
        <v>18.838388074515791</v>
      </c>
      <c r="N118" s="12">
        <f t="shared" ca="1" si="103"/>
        <v>18.838388074515791</v>
      </c>
      <c r="O118" s="12">
        <f t="shared" ca="1" si="104"/>
        <v>4497.6914182071232</v>
      </c>
      <c r="P118" s="12">
        <f t="shared" ca="1" si="105"/>
        <v>8.4113195259433677</v>
      </c>
      <c r="Q118" s="67">
        <f t="shared" ca="1" si="106"/>
        <v>6.4825426164168967</v>
      </c>
      <c r="R118" s="46">
        <f t="shared" ca="1" si="107"/>
        <v>0.36977407450954303</v>
      </c>
      <c r="S118" s="46">
        <f t="shared" ca="1" si="108"/>
        <v>2.3970761964542295</v>
      </c>
      <c r="T118" s="46">
        <f t="shared" ca="1" si="109"/>
        <v>42.023358773661222</v>
      </c>
      <c r="U118" s="46">
        <f t="shared" ca="1" si="110"/>
        <v>0.18313193971297861</v>
      </c>
      <c r="V118" s="46">
        <f t="shared" ca="1" si="111"/>
        <v>0.13673286617938907</v>
      </c>
      <c r="W118" s="46">
        <f t="shared" ca="1" si="145"/>
        <v>8.8392587035293637</v>
      </c>
      <c r="X118" s="68">
        <f t="shared" ca="1" si="112"/>
        <v>0.42793917758599598</v>
      </c>
      <c r="Y118" s="46"/>
      <c r="Z118" s="161" t="s">
        <v>133</v>
      </c>
      <c r="AA118" s="158"/>
      <c r="AB118" s="158"/>
      <c r="AC118" s="158"/>
      <c r="AD118" s="158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60"/>
      <c r="BB118" s="39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</row>
    <row r="119" spans="1:137" s="9" customFormat="1" x14ac:dyDescent="0.25">
      <c r="A119" s="1"/>
      <c r="B119" s="37"/>
      <c r="C119" s="46">
        <f t="shared" si="113"/>
        <v>25</v>
      </c>
      <c r="D119" s="46">
        <f t="shared" ca="1" si="95"/>
        <v>0.68624464539139096</v>
      </c>
      <c r="E119" s="46">
        <f t="shared" ca="1" si="95"/>
        <v>0.4004183941787316</v>
      </c>
      <c r="F119" s="46">
        <f t="shared" ref="F119:G119" ca="1" si="148">AVERAGE(D115:D123)</f>
        <v>0.59781314590174484</v>
      </c>
      <c r="G119" s="46">
        <f t="shared" ca="1" si="148"/>
        <v>0.49813343562503853</v>
      </c>
      <c r="H119" s="46">
        <f t="shared" ca="1" si="97"/>
        <v>0.69122558306837478</v>
      </c>
      <c r="I119" s="46">
        <f t="shared" ca="1" si="98"/>
        <v>0.52439657481658597</v>
      </c>
      <c r="J119" s="46">
        <f t="shared" ca="1" si="99"/>
        <v>-1.2766105084747725</v>
      </c>
      <c r="K119" s="46">
        <f t="shared" ca="1" si="100"/>
        <v>-1.3275214287744854</v>
      </c>
      <c r="L119" s="12">
        <f t="shared" ca="1" si="101"/>
        <v>7.3616947457626134</v>
      </c>
      <c r="M119" s="12">
        <f t="shared" ca="1" si="102"/>
        <v>7.3536749992893009</v>
      </c>
      <c r="N119" s="12">
        <f t="shared" ca="1" si="103"/>
        <v>7.3536749992893009</v>
      </c>
      <c r="O119" s="12">
        <f t="shared" ca="1" si="104"/>
        <v>1574.5026848735945</v>
      </c>
      <c r="P119" s="12">
        <f t="shared" ca="1" si="105"/>
        <v>7.3616947457626134</v>
      </c>
      <c r="Q119" s="67">
        <f t="shared" ca="1" si="106"/>
        <v>-5.0021704588095934</v>
      </c>
      <c r="R119" s="46">
        <f t="shared" ca="1" si="107"/>
        <v>-0.67985070567121131</v>
      </c>
      <c r="S119" s="46">
        <f t="shared" ca="1" si="108"/>
        <v>3.4007291163093889</v>
      </c>
      <c r="T119" s="46">
        <f t="shared" ca="1" si="109"/>
        <v>25.021709298987378</v>
      </c>
      <c r="U119" s="46">
        <f t="shared" ca="1" si="110"/>
        <v>4.1352045491167156E-3</v>
      </c>
      <c r="V119" s="46">
        <f t="shared" ca="1" si="111"/>
        <v>0.462196982001644</v>
      </c>
      <c r="W119" s="46">
        <f t="shared" ca="1" si="145"/>
        <v>7.4260003018920546</v>
      </c>
      <c r="X119" s="68">
        <f t="shared" ca="1" si="112"/>
        <v>6.4305556129441221E-2</v>
      </c>
      <c r="Y119" s="46"/>
      <c r="Z119" s="127"/>
      <c r="AA119" s="128"/>
      <c r="AB119" s="128"/>
      <c r="AC119" s="128"/>
      <c r="AD119" s="128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9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</row>
    <row r="120" spans="1:137" s="9" customFormat="1" x14ac:dyDescent="0.25">
      <c r="A120" s="1"/>
      <c r="B120" s="37"/>
      <c r="C120" s="46">
        <f t="shared" si="113"/>
        <v>25.25</v>
      </c>
      <c r="D120" s="46">
        <f t="shared" ca="1" si="95"/>
        <v>0.93199432854199504</v>
      </c>
      <c r="E120" s="46">
        <f t="shared" ca="1" si="95"/>
        <v>0.15264096592174159</v>
      </c>
      <c r="F120" s="46">
        <f t="shared" ref="F120:G120" ca="1" si="149">AVERAGE(D116:D124)</f>
        <v>0.55273487972440272</v>
      </c>
      <c r="G120" s="46">
        <f t="shared" ca="1" si="149"/>
        <v>0.40602036729909885</v>
      </c>
      <c r="H120" s="46">
        <f t="shared" ca="1" si="97"/>
        <v>0.5739892481843698</v>
      </c>
      <c r="I120" s="46">
        <f t="shared" ca="1" si="98"/>
        <v>0.3478130181771989</v>
      </c>
      <c r="J120" s="46">
        <f t="shared" ca="1" si="99"/>
        <v>0.64370546130701778</v>
      </c>
      <c r="K120" s="46">
        <f t="shared" ca="1" si="100"/>
        <v>0.61767081957611747</v>
      </c>
      <c r="L120" s="12">
        <f t="shared" ca="1" si="101"/>
        <v>8.3218527306535091</v>
      </c>
      <c r="M120" s="12">
        <f t="shared" ca="1" si="102"/>
        <v>14.161847868516411</v>
      </c>
      <c r="N120" s="12">
        <f t="shared" ca="1" si="103"/>
        <v>14.161847868516411</v>
      </c>
      <c r="O120" s="12">
        <f t="shared" ca="1" si="104"/>
        <v>4112.7728141208054</v>
      </c>
      <c r="P120" s="12">
        <f t="shared" ca="1" si="105"/>
        <v>8.3218527306535091</v>
      </c>
      <c r="Q120" s="67">
        <f t="shared" ca="1" si="106"/>
        <v>1.8060024104175163</v>
      </c>
      <c r="R120" s="46">
        <f t="shared" ca="1" si="107"/>
        <v>0.28030727921968435</v>
      </c>
      <c r="S120" s="46">
        <f t="shared" ca="1" si="108"/>
        <v>0.50623562192832572</v>
      </c>
      <c r="T120" s="46">
        <f t="shared" ca="1" si="109"/>
        <v>3.2616447064338789</v>
      </c>
      <c r="U120" s="46">
        <f t="shared" ca="1" si="110"/>
        <v>3.3719560884536734E-3</v>
      </c>
      <c r="V120" s="46">
        <f t="shared" ca="1" si="111"/>
        <v>7.8572170783542089E-2</v>
      </c>
      <c r="W120" s="46">
        <f t="shared" ca="1" si="145"/>
        <v>8.2637841841894062</v>
      </c>
      <c r="X120" s="68">
        <f t="shared" ca="1" si="112"/>
        <v>-5.8068546464102866E-2</v>
      </c>
      <c r="Y120" s="46"/>
      <c r="Z120" s="127" t="s">
        <v>111</v>
      </c>
      <c r="AA120" s="128"/>
      <c r="AB120" s="128"/>
      <c r="AC120" s="128"/>
      <c r="AD120" s="128"/>
      <c r="AE120" s="40"/>
      <c r="AF120" s="40"/>
      <c r="AG120" s="40"/>
      <c r="AH120" s="40"/>
      <c r="AI120" s="40"/>
      <c r="AJ120" s="40"/>
      <c r="AK120" s="40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9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</row>
    <row r="121" spans="1:137" s="9" customFormat="1" x14ac:dyDescent="0.25">
      <c r="A121" s="1"/>
      <c r="B121" s="37"/>
      <c r="C121" s="46">
        <f t="shared" si="113"/>
        <v>25.5</v>
      </c>
      <c r="D121" s="46">
        <f t="shared" ca="1" si="95"/>
        <v>0.56271810651552612</v>
      </c>
      <c r="E121" s="46">
        <f t="shared" ca="1" si="95"/>
        <v>7.0355915869369512E-2</v>
      </c>
      <c r="F121" s="46">
        <f ca="1">AVERAGE(D117:D124)</f>
        <v>0.61920436546688518</v>
      </c>
      <c r="G121" s="46">
        <f ca="1">AVERAGE(E117:E124)</f>
        <v>0.37380966871102722</v>
      </c>
      <c r="H121" s="46">
        <f t="shared" ca="1" si="97"/>
        <v>0.74685833901000831</v>
      </c>
      <c r="I121" s="46">
        <f t="shared" ca="1" si="98"/>
        <v>0.28606412823256522</v>
      </c>
      <c r="J121" s="46">
        <f t="shared" ca="1" si="99"/>
        <v>0.71249927031200189</v>
      </c>
      <c r="K121" s="46">
        <f t="shared" ca="1" si="100"/>
        <v>0.63978320459167293</v>
      </c>
      <c r="L121" s="12">
        <f t="shared" ca="1" si="101"/>
        <v>8.3562496351560007</v>
      </c>
      <c r="M121" s="12">
        <f t="shared" ca="1" si="102"/>
        <v>14.239241216070855</v>
      </c>
      <c r="N121" s="12">
        <f t="shared" ca="1" si="103"/>
        <v>14.239241216070855</v>
      </c>
      <c r="O121" s="12">
        <f t="shared" ca="1" si="104"/>
        <v>4256.7006128568237</v>
      </c>
      <c r="P121" s="12">
        <f t="shared" ca="1" si="105"/>
        <v>8.3562496351560007</v>
      </c>
      <c r="Q121" s="67">
        <f t="shared" ca="1" si="106"/>
        <v>1.8833957579719609</v>
      </c>
      <c r="R121" s="46">
        <f t="shared" ca="1" si="107"/>
        <v>0.31470418372217601</v>
      </c>
      <c r="S121" s="46">
        <f t="shared" ca="1" si="108"/>
        <v>0.59271252463837498</v>
      </c>
      <c r="T121" s="46">
        <f t="shared" ca="1" si="109"/>
        <v>3.5471795811467772</v>
      </c>
      <c r="U121" s="46">
        <f t="shared" ca="1" si="110"/>
        <v>6.8793364113980916E-3</v>
      </c>
      <c r="V121" s="46">
        <f t="shared" ca="1" si="111"/>
        <v>9.9038723252241112E-2</v>
      </c>
      <c r="W121" s="46">
        <f t="shared" ca="1" si="145"/>
        <v>8.2733078699746514</v>
      </c>
      <c r="X121" s="68">
        <f t="shared" ca="1" si="112"/>
        <v>-8.2941765181349325E-2</v>
      </c>
      <c r="Y121" s="46"/>
      <c r="Z121" s="127" t="s">
        <v>110</v>
      </c>
      <c r="AA121" s="128"/>
      <c r="AB121" s="128"/>
      <c r="AC121" s="128"/>
      <c r="AD121" s="128"/>
      <c r="AE121" s="40"/>
      <c r="AF121" s="40"/>
      <c r="AG121" s="40"/>
      <c r="AH121" s="40"/>
      <c r="AI121" s="40"/>
      <c r="AJ121" s="40"/>
      <c r="AK121" s="40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9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</row>
    <row r="122" spans="1:137" s="9" customFormat="1" ht="15.75" thickBot="1" x14ac:dyDescent="0.3">
      <c r="A122" s="1"/>
      <c r="B122" s="37"/>
      <c r="C122" s="46">
        <f t="shared" si="113"/>
        <v>25.75</v>
      </c>
      <c r="D122" s="46">
        <f t="shared" ca="1" si="95"/>
        <v>6.5416596255307491E-2</v>
      </c>
      <c r="E122" s="46">
        <f t="shared" ca="1" si="95"/>
        <v>0.38440834095944876</v>
      </c>
      <c r="F122" s="46">
        <f ca="1">AVERAGE(D118:D124)</f>
        <v>0.61531834726488355</v>
      </c>
      <c r="G122" s="46">
        <f ca="1">AVERAGE(E118:E124)</f>
        <v>0.33430612544398119</v>
      </c>
      <c r="H122" s="46">
        <f t="shared" ca="1" si="97"/>
        <v>0.73675186043554641</v>
      </c>
      <c r="I122" s="46">
        <f t="shared" ca="1" si="98"/>
        <v>0.2103346329858142</v>
      </c>
      <c r="J122" s="46">
        <f t="shared" ca="1" si="99"/>
        <v>1.3745202937933207</v>
      </c>
      <c r="K122" s="46">
        <f t="shared" ca="1" si="100"/>
        <v>0.8837982229149508</v>
      </c>
      <c r="L122" s="12">
        <f t="shared" ca="1" si="101"/>
        <v>8.6872601468966604</v>
      </c>
      <c r="M122" s="12">
        <f t="shared" ca="1" si="102"/>
        <v>15.093293780202327</v>
      </c>
      <c r="N122" s="12">
        <f t="shared" ca="1" si="103"/>
        <v>15.093293780202327</v>
      </c>
      <c r="O122" s="12">
        <f t="shared" ca="1" si="104"/>
        <v>5926.9210831653745</v>
      </c>
      <c r="P122" s="12">
        <f t="shared" ca="1" si="105"/>
        <v>8.6872601468966604</v>
      </c>
      <c r="Q122" s="67">
        <f t="shared" ca="1" si="106"/>
        <v>2.7374483221034325</v>
      </c>
      <c r="R122" s="46">
        <f t="shared" ca="1" si="107"/>
        <v>0.64571469546283566</v>
      </c>
      <c r="S122" s="46">
        <f t="shared" ca="1" si="108"/>
        <v>1.7676106096522683</v>
      </c>
      <c r="T122" s="46">
        <f t="shared" ca="1" si="109"/>
        <v>7.4936233161868975</v>
      </c>
      <c r="U122" s="46">
        <f t="shared" ca="1" si="110"/>
        <v>9.539222365640769E-2</v>
      </c>
      <c r="V122" s="46">
        <f t="shared" ca="1" si="111"/>
        <v>0.4169474679366626</v>
      </c>
      <c r="W122" s="46">
        <f t="shared" ca="1" si="145"/>
        <v>8.3784038313445777</v>
      </c>
      <c r="X122" s="68">
        <f t="shared" ca="1" si="112"/>
        <v>-0.30885631555208271</v>
      </c>
      <c r="Y122" s="46"/>
      <c r="Z122" s="12"/>
      <c r="AA122" s="12"/>
      <c r="AB122" s="12"/>
      <c r="AC122" s="12"/>
      <c r="AD122" s="12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9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</row>
    <row r="123" spans="1:137" s="9" customFormat="1" x14ac:dyDescent="0.25">
      <c r="A123" s="1"/>
      <c r="B123" s="37"/>
      <c r="C123" s="46">
        <f t="shared" si="113"/>
        <v>26</v>
      </c>
      <c r="D123" s="46">
        <f t="shared" ca="1" si="95"/>
        <v>0.96321194842837188</v>
      </c>
      <c r="E123" s="46">
        <f t="shared" ca="1" si="95"/>
        <v>0.35619846682836842</v>
      </c>
      <c r="F123" s="46">
        <f ca="1">AVERAGE(D119:D124)</f>
        <v>0.61375865199270863</v>
      </c>
      <c r="G123" s="46">
        <f ca="1">AVERAGE(E119:E124)</f>
        <v>0.25389235026163975</v>
      </c>
      <c r="H123" s="46">
        <f t="shared" ca="1" si="97"/>
        <v>0.7326955163754989</v>
      </c>
      <c r="I123" s="46">
        <f t="shared" ca="1" si="98"/>
        <v>5.6178977522764323E-2</v>
      </c>
      <c r="J123" s="46">
        <f t="shared" ca="1" si="99"/>
        <v>0.17700032566982096</v>
      </c>
      <c r="K123" s="46">
        <f t="shared" ca="1" si="100"/>
        <v>-8.5619132369168488E-2</v>
      </c>
      <c r="L123" s="12">
        <f t="shared" ca="1" si="101"/>
        <v>8.0885001628349098</v>
      </c>
      <c r="M123" s="12">
        <f t="shared" ca="1" si="102"/>
        <v>11.70033303670791</v>
      </c>
      <c r="N123" s="12">
        <f t="shared" ca="1" si="103"/>
        <v>11.70033303670791</v>
      </c>
      <c r="O123" s="12">
        <f t="shared" ca="1" si="104"/>
        <v>3256.7992367564407</v>
      </c>
      <c r="P123" s="12">
        <f t="shared" ca="1" si="105"/>
        <v>8.0885001628349098</v>
      </c>
      <c r="Q123" s="67">
        <f t="shared" ca="1" si="106"/>
        <v>-0.6555124213909842</v>
      </c>
      <c r="R123" s="46">
        <f t="shared" ca="1" si="107"/>
        <v>4.6954711401085092E-2</v>
      </c>
      <c r="S123" s="46">
        <f t="shared" ca="1" si="108"/>
        <v>-3.0779396566240142E-2</v>
      </c>
      <c r="T123" s="46">
        <f t="shared" ca="1" si="109"/>
        <v>0.42969653459787122</v>
      </c>
      <c r="U123" s="46">
        <f t="shared" ca="1" si="110"/>
        <v>1.6286658652725029E-2</v>
      </c>
      <c r="V123" s="46">
        <f t="shared" ca="1" si="111"/>
        <v>2.2047449227591905E-3</v>
      </c>
      <c r="W123" s="46">
        <f t="shared" ca="1" si="145"/>
        <v>7.9608809689308382</v>
      </c>
      <c r="X123" s="68">
        <f t="shared" ca="1" si="112"/>
        <v>-0.12761919390407162</v>
      </c>
      <c r="Y123" s="46"/>
      <c r="Z123" s="73">
        <f t="array" aca="1" ref="Z123:AA127" ca="1">LINEST(P20:P124,N20:N124,TRUE,TRUE)</f>
        <v>0.12305561248071827</v>
      </c>
      <c r="AA123" s="74">
        <f ca="1"/>
        <v>6.5210893208703649</v>
      </c>
      <c r="AB123" s="12"/>
      <c r="AC123" s="38"/>
      <c r="AD123" s="38"/>
      <c r="AE123" s="137" t="s">
        <v>112</v>
      </c>
      <c r="AF123" s="129">
        <f ca="1">Z123</f>
        <v>0.12305561248071827</v>
      </c>
      <c r="AG123" s="136"/>
      <c r="AH123" s="38"/>
      <c r="AI123" s="38"/>
      <c r="AJ123" s="136" t="s">
        <v>120</v>
      </c>
      <c r="AK123" s="129">
        <f ca="1">AA123</f>
        <v>6.5210893208703649</v>
      </c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9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</row>
    <row r="124" spans="1:137" s="9" customFormat="1" x14ac:dyDescent="0.25">
      <c r="A124" s="1"/>
      <c r="B124" s="37"/>
      <c r="C124" s="46">
        <f t="shared" si="113"/>
        <v>26.25</v>
      </c>
      <c r="D124" s="46">
        <f t="shared" ca="1" si="95"/>
        <v>0.47296628682366038</v>
      </c>
      <c r="E124" s="46">
        <f t="shared" ca="1" si="95"/>
        <v>0.15933201781217887</v>
      </c>
      <c r="F124" s="46">
        <f ca="1">AVERAGE(D120:D124)</f>
        <v>0.59926145331297209</v>
      </c>
      <c r="G124" s="46">
        <f ca="1">AVERAGE(E120:E124)</f>
        <v>0.2245871414782214</v>
      </c>
      <c r="H124" s="46">
        <f t="shared" ca="1" si="97"/>
        <v>0.69499223753573247</v>
      </c>
      <c r="I124" s="46">
        <f t="shared" ca="1" si="98"/>
        <v>0</v>
      </c>
      <c r="J124" s="46">
        <f t="shared" ca="1" si="99"/>
        <v>0.98505927657495229</v>
      </c>
      <c r="K124" s="46">
        <f t="shared" ca="1" si="100"/>
        <v>1.2450932269516406</v>
      </c>
      <c r="L124" s="12">
        <f t="shared" ca="1" si="101"/>
        <v>8.4925296382874755</v>
      </c>
      <c r="M124" s="12">
        <f t="shared" ca="1" si="102"/>
        <v>16.357826294330742</v>
      </c>
      <c r="N124" s="12">
        <f t="shared" ca="1" si="103"/>
        <v>16.357826294330742</v>
      </c>
      <c r="O124" s="12">
        <f t="shared" ca="1" si="104"/>
        <v>4878.1905360187311</v>
      </c>
      <c r="P124" s="12">
        <f t="shared" ca="1" si="105"/>
        <v>8.4925296382874755</v>
      </c>
      <c r="Q124" s="67">
        <f t="shared" ca="1" si="106"/>
        <v>4.0019808362318479</v>
      </c>
      <c r="R124" s="46">
        <f t="shared" ca="1" si="107"/>
        <v>0.45098418685365083</v>
      </c>
      <c r="S124" s="46">
        <f t="shared" ca="1" si="108"/>
        <v>1.8048300732319134</v>
      </c>
      <c r="T124" s="46">
        <f t="shared" ca="1" si="109"/>
        <v>16.015850613566961</v>
      </c>
      <c r="U124" s="46">
        <f t="shared" ca="1" si="110"/>
        <v>1.7207576584725342E-3</v>
      </c>
      <c r="V124" s="46">
        <f t="shared" ca="1" si="111"/>
        <v>0.20338673679204863</v>
      </c>
      <c r="W124" s="46">
        <f t="shared" ca="1" si="145"/>
        <v>8.5340116543724314</v>
      </c>
      <c r="X124" s="68">
        <f t="shared" ca="1" si="112"/>
        <v>4.1482016084955831E-2</v>
      </c>
      <c r="Y124" s="46"/>
      <c r="Z124" s="67">
        <f ca="1"/>
        <v>6.2516333715163779E-3</v>
      </c>
      <c r="AA124" s="68">
        <f ca="1"/>
        <v>8.0100361593492125E-2</v>
      </c>
      <c r="AB124" s="12"/>
      <c r="AC124" s="38"/>
      <c r="AD124" s="38"/>
      <c r="AE124" s="137" t="s">
        <v>113</v>
      </c>
      <c r="AF124" s="130">
        <f ca="1">Z124</f>
        <v>6.2516333715163779E-3</v>
      </c>
      <c r="AG124" s="136"/>
      <c r="AH124" s="38"/>
      <c r="AI124" s="38"/>
      <c r="AJ124" s="136" t="s">
        <v>121</v>
      </c>
      <c r="AK124" s="131">
        <f ca="1">AA124</f>
        <v>8.0100361593492125E-2</v>
      </c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9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</row>
    <row r="125" spans="1:137" s="9" customFormat="1" x14ac:dyDescent="0.25">
      <c r="A125" s="1"/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67">
        <f ca="1"/>
        <v>0.78998885682605635</v>
      </c>
      <c r="AA125" s="68">
        <f ca="1"/>
        <v>0.21722546020934952</v>
      </c>
      <c r="AB125" s="12"/>
      <c r="AC125" s="38"/>
      <c r="AD125" s="38"/>
      <c r="AE125" s="137" t="s">
        <v>114</v>
      </c>
      <c r="AF125" s="131">
        <f ca="1">Z125</f>
        <v>0.78998885682605635</v>
      </c>
      <c r="AG125" s="136"/>
      <c r="AH125" s="38"/>
      <c r="AI125" s="38"/>
      <c r="AJ125" s="136" t="s">
        <v>119</v>
      </c>
      <c r="AK125" s="131">
        <f ca="1">AA125</f>
        <v>0.21722546020934952</v>
      </c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9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</row>
    <row r="126" spans="1:137" x14ac:dyDescent="0.25">
      <c r="A126" s="51"/>
      <c r="B126" s="37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67">
        <f ca="1"/>
        <v>387.4501658499583</v>
      </c>
      <c r="AA126" s="75">
        <f ca="1"/>
        <v>103</v>
      </c>
      <c r="AB126" s="12"/>
      <c r="AC126" s="38"/>
      <c r="AD126" s="38"/>
      <c r="AE126" s="137" t="s">
        <v>115</v>
      </c>
      <c r="AF126" s="132">
        <f ca="1">Z126</f>
        <v>387.4501658499583</v>
      </c>
      <c r="AG126" s="136"/>
      <c r="AH126" s="38"/>
      <c r="AI126" s="38"/>
      <c r="AJ126" s="136" t="s">
        <v>118</v>
      </c>
      <c r="AK126" s="134">
        <f ca="1">AA126</f>
        <v>103</v>
      </c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9"/>
    </row>
    <row r="127" spans="1:137" ht="15.75" thickBot="1" x14ac:dyDescent="0.3">
      <c r="A127" s="51"/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69">
        <f ca="1"/>
        <v>18.282572449143263</v>
      </c>
      <c r="AA127" s="70">
        <f ca="1"/>
        <v>4.8602507580058605</v>
      </c>
      <c r="AB127" s="12"/>
      <c r="AC127" s="38"/>
      <c r="AD127" s="43"/>
      <c r="AE127" s="137" t="s">
        <v>116</v>
      </c>
      <c r="AF127" s="133">
        <f ca="1">Z127</f>
        <v>18.282572449143263</v>
      </c>
      <c r="AG127" s="136"/>
      <c r="AH127" s="38"/>
      <c r="AI127" s="38"/>
      <c r="AJ127" s="136" t="s">
        <v>117</v>
      </c>
      <c r="AK127" s="135">
        <f ca="1">AA127</f>
        <v>4.8602507580058605</v>
      </c>
      <c r="AL127" s="38"/>
      <c r="AM127" s="38"/>
      <c r="AN127" s="38"/>
      <c r="AO127" s="38"/>
      <c r="AP127" s="38"/>
      <c r="AQ127" s="38"/>
      <c r="AR127" s="38"/>
      <c r="AS127" s="43" t="s">
        <v>128</v>
      </c>
      <c r="AT127" s="38"/>
      <c r="AU127" s="38"/>
      <c r="AV127" s="38"/>
      <c r="AW127" s="38"/>
      <c r="AX127" s="38"/>
      <c r="AY127" s="38"/>
      <c r="AZ127" s="38"/>
      <c r="BA127" s="38"/>
      <c r="BB127" s="39"/>
    </row>
    <row r="128" spans="1:137" ht="15.75" thickBot="1" x14ac:dyDescent="0.3">
      <c r="A128" s="51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12"/>
      <c r="AA128" s="12"/>
      <c r="AB128" s="12"/>
      <c r="AC128" s="57"/>
      <c r="AD128" s="12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9"/>
    </row>
    <row r="129" spans="1:54" ht="15.75" thickBot="1" x14ac:dyDescent="0.3">
      <c r="A129" s="51"/>
      <c r="B129" s="37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12"/>
      <c r="AA129" s="12"/>
      <c r="AB129" s="46"/>
      <c r="AC129" s="12"/>
      <c r="AD129" s="38"/>
      <c r="AE129" s="38"/>
      <c r="AF129" s="38"/>
      <c r="AG129" s="38"/>
      <c r="AH129" s="38"/>
      <c r="AI129" s="38"/>
      <c r="AJ129" s="79" t="s">
        <v>122</v>
      </c>
      <c r="AK129" s="138">
        <f ca="1">AK127/AK126</f>
        <v>4.7186900563163693E-2</v>
      </c>
      <c r="AL129" s="38"/>
      <c r="AM129" s="38" t="s">
        <v>127</v>
      </c>
      <c r="AN129" s="38"/>
      <c r="AO129" s="38"/>
      <c r="AP129" s="38"/>
      <c r="AQ129" s="38"/>
      <c r="AR129" s="38"/>
      <c r="AS129" s="45" t="s">
        <v>83</v>
      </c>
      <c r="AT129" s="38"/>
      <c r="AU129" s="38"/>
      <c r="AV129" s="38"/>
      <c r="AW129" s="38"/>
      <c r="AX129" s="38"/>
      <c r="AY129" s="38"/>
      <c r="AZ129" s="38"/>
      <c r="BA129" s="38"/>
      <c r="BB129" s="39"/>
    </row>
    <row r="130" spans="1:54" ht="15.75" thickBot="1" x14ac:dyDescent="0.3">
      <c r="A130" s="51"/>
      <c r="B130" s="37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9"/>
    </row>
    <row r="131" spans="1:54" ht="15.75" thickBot="1" x14ac:dyDescent="0.3">
      <c r="A131" s="51"/>
      <c r="B131" s="37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148" t="s">
        <v>125</v>
      </c>
      <c r="AA131" s="148"/>
      <c r="AB131" s="148"/>
      <c r="AC131" s="148"/>
      <c r="AD131" s="148"/>
      <c r="AE131" s="148"/>
      <c r="AF131" s="38"/>
      <c r="AG131" s="38"/>
      <c r="AH131" s="38"/>
      <c r="AI131" s="38"/>
      <c r="AJ131" s="38"/>
      <c r="AK131" s="38"/>
      <c r="AL131" s="38"/>
      <c r="AM131" s="100" t="s">
        <v>80</v>
      </c>
      <c r="AN131" s="38"/>
      <c r="AO131" s="38"/>
      <c r="AP131" s="38"/>
      <c r="AQ131" s="38"/>
      <c r="AR131" s="38"/>
      <c r="AS131" s="38"/>
      <c r="AT131" s="38" t="s">
        <v>59</v>
      </c>
      <c r="AU131" s="38"/>
      <c r="AV131" s="38"/>
      <c r="AW131" s="38"/>
      <c r="AX131" s="106">
        <f ca="1">AF123</f>
        <v>0.12305561248071827</v>
      </c>
      <c r="AY131" s="107" t="s">
        <v>60</v>
      </c>
      <c r="AZ131" s="146">
        <f ca="1">AF124*AG136</f>
        <v>1.4220219746572746E-2</v>
      </c>
      <c r="BA131" s="38"/>
      <c r="BB131" s="39"/>
    </row>
    <row r="132" spans="1:54" ht="18" x14ac:dyDescent="0.35">
      <c r="A132" s="51"/>
      <c r="B132" s="37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 t="s">
        <v>126</v>
      </c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47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9"/>
    </row>
    <row r="133" spans="1:54" x14ac:dyDescent="0.25">
      <c r="A133" s="51"/>
      <c r="B133" s="37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148"/>
      <c r="AA133" s="148"/>
      <c r="AB133" s="148"/>
      <c r="AC133" s="148"/>
      <c r="AD133" s="148"/>
      <c r="AE133" s="148"/>
      <c r="AF133" s="38"/>
      <c r="AG133" s="38"/>
      <c r="AH133" s="38"/>
      <c r="AI133" s="47"/>
      <c r="AJ133" s="38"/>
      <c r="AK133" s="47"/>
      <c r="AL133" s="38"/>
      <c r="AM133" s="38"/>
      <c r="AN133" s="38"/>
      <c r="AO133" s="38"/>
      <c r="AP133" s="38"/>
      <c r="AQ133" s="38"/>
      <c r="AR133" s="38"/>
      <c r="AS133" s="38" t="s">
        <v>129</v>
      </c>
      <c r="AT133" s="43"/>
      <c r="AU133" s="43"/>
      <c r="AV133" s="43"/>
      <c r="AW133" s="43"/>
      <c r="AX133" s="43"/>
      <c r="AY133" s="43"/>
      <c r="AZ133" s="43"/>
      <c r="BA133" s="38"/>
      <c r="BB133" s="39"/>
    </row>
    <row r="134" spans="1:54" x14ac:dyDescent="0.25">
      <c r="A134" s="51"/>
      <c r="B134" s="37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100" t="s">
        <v>79</v>
      </c>
      <c r="AA134" s="12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 t="s">
        <v>130</v>
      </c>
      <c r="AT134" s="38"/>
      <c r="AU134" s="38"/>
      <c r="AV134" s="38"/>
      <c r="AW134" s="38"/>
      <c r="AX134" s="38"/>
      <c r="AY134" s="38"/>
      <c r="AZ134" s="38"/>
      <c r="BA134" s="38"/>
      <c r="BB134" s="39"/>
    </row>
    <row r="135" spans="1:54" ht="15.75" thickBot="1" x14ac:dyDescent="0.3">
      <c r="A135" s="51"/>
      <c r="B135" s="37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12"/>
      <c r="AC135" s="57" t="s">
        <v>56</v>
      </c>
      <c r="AD135" s="12"/>
      <c r="AE135" s="12" t="s">
        <v>57</v>
      </c>
      <c r="AF135" s="38"/>
      <c r="AG135" s="38" t="s">
        <v>58</v>
      </c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9"/>
    </row>
    <row r="136" spans="1:54" ht="15.75" thickBot="1" x14ac:dyDescent="0.3">
      <c r="A136" s="51"/>
      <c r="B136" s="37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77" t="s">
        <v>61</v>
      </c>
      <c r="AC136" s="101">
        <f ca="1">AF123/AF124</f>
        <v>19.683753855653606</v>
      </c>
      <c r="AD136" s="78" t="s">
        <v>61</v>
      </c>
      <c r="AE136" s="101">
        <f ca="1">AK123/AK124</f>
        <v>81.411484182365797</v>
      </c>
      <c r="AF136" s="47"/>
      <c r="AG136" s="103">
        <f ca="1">_xlfn.T.INV.2T(0.025,AK126)</f>
        <v>2.2746407061173408</v>
      </c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45" t="s">
        <v>84</v>
      </c>
      <c r="AT136" s="38"/>
      <c r="AU136" s="38"/>
      <c r="AV136" s="38"/>
      <c r="AW136" s="38"/>
      <c r="AX136" s="38"/>
      <c r="AY136" s="38"/>
      <c r="AZ136" s="38"/>
      <c r="BA136" s="38"/>
      <c r="BB136" s="39"/>
    </row>
    <row r="137" spans="1:54" ht="15.75" thickBot="1" x14ac:dyDescent="0.3">
      <c r="A137" s="51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77" t="s">
        <v>62</v>
      </c>
      <c r="AC137" s="102">
        <f ca="1">_xlfn.T.DIST.2T(AC136,AK126)</f>
        <v>1.0965905455104648E-36</v>
      </c>
      <c r="AD137" s="77" t="s">
        <v>62</v>
      </c>
      <c r="AE137" s="102">
        <f ca="1">_xlfn.T.DIST.2T(AE136,AK126)</f>
        <v>2.5902136586271176E-95</v>
      </c>
      <c r="AF137" s="38"/>
      <c r="AG137" s="38"/>
      <c r="AH137" s="38"/>
      <c r="AI137" s="38"/>
      <c r="AJ137" s="38"/>
      <c r="AK137" s="38"/>
      <c r="AL137" s="38"/>
      <c r="AM137" s="79" t="s">
        <v>82</v>
      </c>
      <c r="AN137" s="104">
        <f ca="1">AF126</f>
        <v>387.4501658499583</v>
      </c>
      <c r="AO137" s="38"/>
      <c r="AP137" s="79" t="s">
        <v>81</v>
      </c>
      <c r="AQ137" s="105">
        <f ca="1">_xlfn.F.INV.RT(0.025,1,AA126)</f>
        <v>5.1739903419259923</v>
      </c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9"/>
    </row>
    <row r="138" spans="1:54" ht="15.75" thickBot="1" x14ac:dyDescent="0.3">
      <c r="A138" s="51"/>
      <c r="B138" s="37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 t="s">
        <v>66</v>
      </c>
      <c r="AY138" s="38" t="s">
        <v>67</v>
      </c>
      <c r="AZ138" s="38"/>
      <c r="BA138" s="38" t="s">
        <v>69</v>
      </c>
      <c r="BB138" s="39"/>
    </row>
    <row r="139" spans="1:54" ht="15.75" thickBot="1" x14ac:dyDescent="0.3">
      <c r="A139" s="51"/>
      <c r="B139" s="37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43"/>
      <c r="AB139" s="79" t="s">
        <v>123</v>
      </c>
      <c r="AC139" s="139" t="str">
        <f ca="1">IF(AC136&gt;AG136,"Reject H0: Slope = 0 ", "Fail to Reject")</f>
        <v xml:space="preserve">Reject H0: Slope = 0 </v>
      </c>
      <c r="AD139" s="140"/>
      <c r="AE139" s="141" t="str">
        <f ca="1">IF(AE136&gt;AG136,"Reject H0: Intercept = 0 ", "Fail to Reject")</f>
        <v xml:space="preserve">Reject H0: Intercept = 0 </v>
      </c>
      <c r="AF139" s="142"/>
      <c r="AG139" s="38"/>
      <c r="AH139" s="38"/>
      <c r="AI139" s="38"/>
      <c r="AJ139" s="38"/>
      <c r="AK139" s="38"/>
      <c r="AL139" s="79" t="s">
        <v>124</v>
      </c>
      <c r="AM139" s="143" t="str">
        <f ca="1">IF(AN137&gt;AQ137,"Reject H0: All Model Coefficients = 0 ", "Fail to Reject")</f>
        <v xml:space="preserve">Reject H0: All Model Coefficients = 0 </v>
      </c>
      <c r="AN139" s="144"/>
      <c r="AO139" s="144"/>
      <c r="AP139" s="145"/>
      <c r="AQ139" s="38"/>
      <c r="AR139" s="38"/>
      <c r="AS139" s="38"/>
      <c r="AT139" s="79" t="s">
        <v>68</v>
      </c>
      <c r="AU139" s="4">
        <v>10</v>
      </c>
      <c r="AV139" s="38" t="s">
        <v>65</v>
      </c>
      <c r="AW139" s="79"/>
      <c r="AX139" s="46">
        <f ca="1">_xlfn.T.INV.2T(0.05,AK126)</f>
        <v>1.9832641447734605</v>
      </c>
      <c r="AY139" s="58">
        <f ca="1">SQRT(AK129)</f>
        <v>0.21722546020934952</v>
      </c>
      <c r="AZ139" s="38">
        <f ca="1">SQRT(1+1/COUNT(X20:X124)+(AU139-O11)^2/SUM(T20:T124))</f>
        <v>1.007035573827</v>
      </c>
      <c r="BA139" s="80">
        <f ca="1">AX139*AY139*AZ139</f>
        <v>0.43384650058594926</v>
      </c>
      <c r="BB139" s="39"/>
    </row>
    <row r="140" spans="1:54" ht="15.75" thickBot="1" x14ac:dyDescent="0.3">
      <c r="A140" s="51"/>
      <c r="B140" s="37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9"/>
    </row>
    <row r="141" spans="1:54" ht="15.75" thickBot="1" x14ac:dyDescent="0.3">
      <c r="A141" s="51"/>
      <c r="B141" s="37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81">
        <f ca="1">AU139*AF123+AK123</f>
        <v>7.7516454456775472</v>
      </c>
      <c r="AX141" s="82" t="s">
        <v>60</v>
      </c>
      <c r="AY141" s="83">
        <f ca="1">BA139</f>
        <v>0.43384650058594926</v>
      </c>
      <c r="AZ141" s="38"/>
      <c r="BA141" s="38"/>
      <c r="BB141" s="39"/>
    </row>
    <row r="142" spans="1:54" ht="15.75" thickBot="1" x14ac:dyDescent="0.3">
      <c r="A142" s="51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50"/>
    </row>
    <row r="143" spans="1:5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</row>
    <row r="144" spans="1:54" s="1" customFormat="1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</row>
    <row r="145" spans="1:54" s="1" customFormat="1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</row>
    <row r="146" spans="1:54" s="1" customForma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</row>
    <row r="147" spans="1:54" s="1" customForma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</row>
    <row r="148" spans="1:54" s="1" customForma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</row>
    <row r="149" spans="1:54" s="1" customForma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</row>
    <row r="150" spans="1:54" s="1" customFormat="1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</row>
    <row r="151" spans="1:54" s="1" customFormat="1" x14ac:dyDescent="0.25"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</row>
    <row r="152" spans="1:54" s="1" customFormat="1" x14ac:dyDescent="0.25"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1:54" s="1" customFormat="1" x14ac:dyDescent="0.25"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1:54" s="1" customFormat="1" x14ac:dyDescent="0.25"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1:54" s="1" customFormat="1" x14ac:dyDescent="0.25"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1:54" s="1" customFormat="1" x14ac:dyDescent="0.25"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1:54" s="1" customFormat="1" x14ac:dyDescent="0.25"/>
    <row r="158" spans="1:54" s="1" customFormat="1" x14ac:dyDescent="0.25"/>
    <row r="159" spans="1:54" s="1" customFormat="1" x14ac:dyDescent="0.25"/>
    <row r="160" spans="1:54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</sheetData>
  <sortState ref="M17:M33">
    <sortCondition ref="M17"/>
  </sortState>
  <mergeCells count="20">
    <mergeCell ref="AO71:AO72"/>
    <mergeCell ref="AO41:AO42"/>
    <mergeCell ref="D18:E18"/>
    <mergeCell ref="F18:G18"/>
    <mergeCell ref="H18:I18"/>
    <mergeCell ref="J18:K18"/>
    <mergeCell ref="L18:M18"/>
    <mergeCell ref="AO19:AO20"/>
    <mergeCell ref="F10:G10"/>
    <mergeCell ref="F13:G13"/>
    <mergeCell ref="H10:I10"/>
    <mergeCell ref="H13:I13"/>
    <mergeCell ref="J9:K9"/>
    <mergeCell ref="L9:M9"/>
    <mergeCell ref="N13:O13"/>
    <mergeCell ref="N10:O10"/>
    <mergeCell ref="J10:K10"/>
    <mergeCell ref="J13:K13"/>
    <mergeCell ref="L10:M10"/>
    <mergeCell ref="L13:M13"/>
  </mergeCells>
  <pageMargins left="0.7" right="0.7" top="0.75" bottom="0.75" header="0.3" footer="0.3"/>
  <pageSetup orientation="portrait" r:id="rId1"/>
  <ignoredErrors>
    <ignoredError sqref="AP19:AY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Por-Perm-Logs</vt:lpstr>
      <vt:lpstr>Regression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</cp:lastModifiedBy>
  <dcterms:created xsi:type="dcterms:W3CDTF">2018-01-03T20:26:28Z</dcterms:created>
  <dcterms:modified xsi:type="dcterms:W3CDTF">2018-03-04T20:18:13Z</dcterms:modified>
</cp:coreProperties>
</file>