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570" windowHeight="7935"/>
  </bookViews>
  <sheets>
    <sheet name="May" sheetId="16" r:id="rId1"/>
    <sheet name="May unit" sheetId="17" r:id="rId2"/>
    <sheet name="April unit" sheetId="15" r:id="rId3"/>
    <sheet name="Mar unit" sheetId="13" r:id="rId4"/>
    <sheet name="april" sheetId="14" r:id="rId5"/>
    <sheet name="Mar" sheetId="12" r:id="rId6"/>
    <sheet name="feb" sheetId="10" r:id="rId7"/>
    <sheet name="JAN" sheetId="9" r:id="rId8"/>
    <sheet name="DEC" sheetId="8" r:id="rId9"/>
    <sheet name="nov" sheetId="7" r:id="rId10"/>
    <sheet name="oct" sheetId="6" r:id="rId11"/>
    <sheet name="sep" sheetId="5" r:id="rId12"/>
    <sheet name="aug" sheetId="4" r:id="rId13"/>
    <sheet name="july" sheetId="3" r:id="rId14"/>
    <sheet name="june" sheetId="1" r:id="rId15"/>
    <sheet name="june atten" sheetId="2" r:id="rId16"/>
    <sheet name="Sheet1" sheetId="11" r:id="rId17"/>
  </sheets>
  <definedNames>
    <definedName name="_xlnm._FilterDatabase" localSheetId="4" hidden="1">april!$B$2:$S$54</definedName>
    <definedName name="_xlnm._FilterDatabase" localSheetId="2" hidden="1">'April unit'!$B$1:$T$43</definedName>
    <definedName name="_xlnm._FilterDatabase" localSheetId="12" hidden="1">aug!$B$2:$S$60</definedName>
    <definedName name="_xlnm._FilterDatabase" localSheetId="8" hidden="1">DEC!$B$2:$T$56</definedName>
    <definedName name="_xlnm._FilterDatabase" localSheetId="6" hidden="1">feb!$B$2:$S$54</definedName>
    <definedName name="_xlnm._FilterDatabase" localSheetId="7" hidden="1">JAN!$B$2:$S$55</definedName>
    <definedName name="_xlnm._FilterDatabase" localSheetId="13" hidden="1">july!$B$2:$R$61</definedName>
    <definedName name="_xlnm._FilterDatabase" localSheetId="5" hidden="1">Mar!$B$2:$S$52</definedName>
    <definedName name="_xlnm._FilterDatabase" localSheetId="3" hidden="1">'Mar unit'!$B$1:$T$43</definedName>
    <definedName name="_xlnm._FilterDatabase" localSheetId="0" hidden="1">May!$B$2:$S$55</definedName>
    <definedName name="_xlnm._FilterDatabase" localSheetId="1" hidden="1">'May unit'!$B$1:$T$43</definedName>
    <definedName name="_xlnm._FilterDatabase" localSheetId="9" hidden="1">nov!$B$3:$Q$54</definedName>
    <definedName name="_xlnm._FilterDatabase" localSheetId="10" hidden="1">oct!$B$2:$S$59</definedName>
    <definedName name="_xlnm._FilterDatabase" localSheetId="11" hidden="1">sep!$B$2:$S$57</definedName>
    <definedName name="_xlnm.Print_Area" localSheetId="4">april!$B$2:$P$53</definedName>
    <definedName name="_xlnm.Print_Area" localSheetId="2">'April unit'!$B$1:$Q$45</definedName>
    <definedName name="_xlnm.Print_Area" localSheetId="12">aug!$B$2:$P$61</definedName>
    <definedName name="_xlnm.Print_Area" localSheetId="8">DEC!$B$2:$Q$60</definedName>
    <definedName name="_xlnm.Print_Area" localSheetId="6">feb!$B$2:$P$57</definedName>
    <definedName name="_xlnm.Print_Area" localSheetId="7">JAN!$B$2:$P$58</definedName>
    <definedName name="_xlnm.Print_Area" localSheetId="13">july!$B$2:$O$62</definedName>
    <definedName name="_xlnm.Print_Area" localSheetId="14">june!$B$2:$P$59</definedName>
    <definedName name="_xlnm.Print_Area" localSheetId="5">Mar!$B$2:$P$53</definedName>
    <definedName name="_xlnm.Print_Area" localSheetId="3">'Mar unit'!$B$1:$Q$45</definedName>
    <definedName name="_xlnm.Print_Area" localSheetId="0">May!$B$2:$P$54</definedName>
    <definedName name="_xlnm.Print_Area" localSheetId="1">'May unit'!$B$1:$Q$45</definedName>
    <definedName name="_xlnm.Print_Area" localSheetId="9">nov!$B$2:$Q$58</definedName>
    <definedName name="_xlnm.Print_Area" localSheetId="10">oct!$B$2:$P$60</definedName>
    <definedName name="_xlnm.Print_Area" localSheetId="11">sep!$B$2:$P$58</definedName>
  </definedNames>
  <calcPr calcId="124519"/>
</workbook>
</file>

<file path=xl/calcChain.xml><?xml version="1.0" encoding="utf-8"?>
<calcChain xmlns="http://schemas.openxmlformats.org/spreadsheetml/2006/main">
  <c r="K56" i="16"/>
  <c r="O50"/>
  <c r="I50"/>
  <c r="O49"/>
  <c r="E49"/>
  <c r="L49"/>
  <c r="I49" s="1"/>
  <c r="H49" l="1"/>
  <c r="N50"/>
  <c r="M50"/>
  <c r="K50"/>
  <c r="G50"/>
  <c r="J18" l="1"/>
  <c r="G14" i="17"/>
  <c r="I14" s="1"/>
  <c r="G13"/>
  <c r="E14"/>
  <c r="G5"/>
  <c r="G8"/>
  <c r="I8" s="1"/>
  <c r="G11"/>
  <c r="I11" s="1"/>
  <c r="I5"/>
  <c r="G7"/>
  <c r="G4"/>
  <c r="I4" s="1"/>
  <c r="M38"/>
  <c r="J38" s="1"/>
  <c r="I37"/>
  <c r="I40"/>
  <c r="E40"/>
  <c r="M40" s="1"/>
  <c r="J40" s="1"/>
  <c r="P40" s="1"/>
  <c r="I39"/>
  <c r="E39"/>
  <c r="M39" s="1"/>
  <c r="J39" s="1"/>
  <c r="I38"/>
  <c r="E38"/>
  <c r="E37"/>
  <c r="M37" s="1"/>
  <c r="J37" s="1"/>
  <c r="P37" s="1"/>
  <c r="I31"/>
  <c r="E31"/>
  <c r="M31" s="1"/>
  <c r="J31" s="1"/>
  <c r="P31" s="1"/>
  <c r="M30"/>
  <c r="J30"/>
  <c r="P30" s="1"/>
  <c r="I30"/>
  <c r="E30"/>
  <c r="I29"/>
  <c r="E29"/>
  <c r="M29" s="1"/>
  <c r="J29" s="1"/>
  <c r="P29" s="1"/>
  <c r="I20"/>
  <c r="E20"/>
  <c r="M20" s="1"/>
  <c r="J20" s="1"/>
  <c r="P20" s="1"/>
  <c r="M19"/>
  <c r="J19" s="1"/>
  <c r="P19" s="1"/>
  <c r="P21" s="1"/>
  <c r="I19"/>
  <c r="E19"/>
  <c r="I13"/>
  <c r="E13"/>
  <c r="M13" s="1"/>
  <c r="J13" s="1"/>
  <c r="P13" s="1"/>
  <c r="E12"/>
  <c r="M12" s="1"/>
  <c r="J12" s="1"/>
  <c r="P12" s="1"/>
  <c r="E11"/>
  <c r="M10"/>
  <c r="J10" s="1"/>
  <c r="P10" s="1"/>
  <c r="I10"/>
  <c r="E10"/>
  <c r="I9"/>
  <c r="E9"/>
  <c r="M9" s="1"/>
  <c r="J9" s="1"/>
  <c r="P9" s="1"/>
  <c r="E8"/>
  <c r="I7"/>
  <c r="E7"/>
  <c r="I6"/>
  <c r="E6"/>
  <c r="M6" s="1"/>
  <c r="J6" s="1"/>
  <c r="P6" s="1"/>
  <c r="E5"/>
  <c r="E4"/>
  <c r="J44" i="16"/>
  <c r="H48"/>
  <c r="E48"/>
  <c r="L48" s="1"/>
  <c r="I48" s="1"/>
  <c r="O48" s="1"/>
  <c r="J4"/>
  <c r="J35"/>
  <c r="J34"/>
  <c r="J22"/>
  <c r="J5"/>
  <c r="K64" i="6"/>
  <c r="L47" i="16"/>
  <c r="I47" s="1"/>
  <c r="O47" s="1"/>
  <c r="H47"/>
  <c r="E47"/>
  <c r="H46"/>
  <c r="E46"/>
  <c r="L46" s="1"/>
  <c r="I46" s="1"/>
  <c r="O46" s="1"/>
  <c r="H45"/>
  <c r="E45"/>
  <c r="L45" s="1"/>
  <c r="I45" s="1"/>
  <c r="O45" s="1"/>
  <c r="H44"/>
  <c r="E44"/>
  <c r="H43"/>
  <c r="E43"/>
  <c r="L43" s="1"/>
  <c r="I43" s="1"/>
  <c r="O43" s="1"/>
  <c r="H42"/>
  <c r="E42"/>
  <c r="L42" s="1"/>
  <c r="I42" s="1"/>
  <c r="O42" s="1"/>
  <c r="D42"/>
  <c r="H41"/>
  <c r="E41"/>
  <c r="D41"/>
  <c r="H40"/>
  <c r="D40"/>
  <c r="E40" s="1"/>
  <c r="L40" s="1"/>
  <c r="I40" s="1"/>
  <c r="O40" s="1"/>
  <c r="H39"/>
  <c r="E39"/>
  <c r="L39" s="1"/>
  <c r="D39"/>
  <c r="H38"/>
  <c r="D38"/>
  <c r="E38" s="1"/>
  <c r="L38" s="1"/>
  <c r="I38" s="1"/>
  <c r="O38" s="1"/>
  <c r="H37"/>
  <c r="D37"/>
  <c r="E37" s="1"/>
  <c r="L37" s="1"/>
  <c r="H36"/>
  <c r="D36"/>
  <c r="E36" s="1"/>
  <c r="L36" s="1"/>
  <c r="H35"/>
  <c r="D35"/>
  <c r="E35" s="1"/>
  <c r="L35" s="1"/>
  <c r="I35" s="1"/>
  <c r="O35" s="1"/>
  <c r="H34"/>
  <c r="E34"/>
  <c r="D34"/>
  <c r="H33"/>
  <c r="D33"/>
  <c r="E33" s="1"/>
  <c r="L33" s="1"/>
  <c r="H31"/>
  <c r="D31"/>
  <c r="E31" s="1"/>
  <c r="H30"/>
  <c r="D30"/>
  <c r="E30" s="1"/>
  <c r="L30" s="1"/>
  <c r="H29"/>
  <c r="D29"/>
  <c r="E29" s="1"/>
  <c r="L29" s="1"/>
  <c r="H28"/>
  <c r="E28"/>
  <c r="L28" s="1"/>
  <c r="I28" s="1"/>
  <c r="O28" s="1"/>
  <c r="H27"/>
  <c r="D27"/>
  <c r="E27" s="1"/>
  <c r="L27" s="1"/>
  <c r="I27" s="1"/>
  <c r="O27" s="1"/>
  <c r="H26"/>
  <c r="D26"/>
  <c r="E26" s="1"/>
  <c r="L26" s="1"/>
  <c r="H25"/>
  <c r="E25"/>
  <c r="D25"/>
  <c r="H24"/>
  <c r="D24"/>
  <c r="E24" s="1"/>
  <c r="L24" s="1"/>
  <c r="I24" s="1"/>
  <c r="O24" s="1"/>
  <c r="H23"/>
  <c r="D23"/>
  <c r="E23" s="1"/>
  <c r="L23" s="1"/>
  <c r="H22"/>
  <c r="D22"/>
  <c r="E22" s="1"/>
  <c r="L22" s="1"/>
  <c r="H21"/>
  <c r="D21"/>
  <c r="E21" s="1"/>
  <c r="L21" s="1"/>
  <c r="H20"/>
  <c r="D20"/>
  <c r="E20" s="1"/>
  <c r="L20" s="1"/>
  <c r="H19"/>
  <c r="E19"/>
  <c r="L19" s="1"/>
  <c r="D19"/>
  <c r="H18"/>
  <c r="D18"/>
  <c r="E18" s="1"/>
  <c r="L18" s="1"/>
  <c r="H17"/>
  <c r="D17"/>
  <c r="E17" s="1"/>
  <c r="H16"/>
  <c r="E16"/>
  <c r="L16" s="1"/>
  <c r="D16"/>
  <c r="H15"/>
  <c r="D15"/>
  <c r="E15" s="1"/>
  <c r="S15" s="1"/>
  <c r="U15" s="1"/>
  <c r="H14"/>
  <c r="E14"/>
  <c r="L14" s="1"/>
  <c r="I14" s="1"/>
  <c r="O14" s="1"/>
  <c r="D14"/>
  <c r="H13"/>
  <c r="D13"/>
  <c r="E13" s="1"/>
  <c r="H12"/>
  <c r="D12"/>
  <c r="E12" s="1"/>
  <c r="H11"/>
  <c r="E11"/>
  <c r="L11" s="1"/>
  <c r="D11"/>
  <c r="H10"/>
  <c r="D10"/>
  <c r="E10" s="1"/>
  <c r="H9"/>
  <c r="D9"/>
  <c r="E9" s="1"/>
  <c r="S9" s="1"/>
  <c r="U9" s="1"/>
  <c r="H8"/>
  <c r="D8"/>
  <c r="E8" s="1"/>
  <c r="H7"/>
  <c r="D7"/>
  <c r="E7" s="1"/>
  <c r="H6"/>
  <c r="D6"/>
  <c r="E6" s="1"/>
  <c r="L6" s="1"/>
  <c r="I6" s="1"/>
  <c r="O6" s="1"/>
  <c r="H5"/>
  <c r="E5"/>
  <c r="L5" s="1"/>
  <c r="I5" s="1"/>
  <c r="D5"/>
  <c r="H4"/>
  <c r="E4"/>
  <c r="L4" s="1"/>
  <c r="D4"/>
  <c r="N55" i="12"/>
  <c r="N54"/>
  <c r="M54"/>
  <c r="S48" i="14"/>
  <c r="S25"/>
  <c r="S15"/>
  <c r="S8"/>
  <c r="S41"/>
  <c r="S26"/>
  <c r="P54"/>
  <c r="R12" i="15"/>
  <c r="M14"/>
  <c r="J14" s="1"/>
  <c r="P14" s="1"/>
  <c r="R14"/>
  <c r="I14"/>
  <c r="E14"/>
  <c r="E12"/>
  <c r="M12"/>
  <c r="J12" s="1"/>
  <c r="P12" s="1"/>
  <c r="S8"/>
  <c r="M6"/>
  <c r="M38"/>
  <c r="E38"/>
  <c r="J38"/>
  <c r="P53" i="14"/>
  <c r="D41"/>
  <c r="D35"/>
  <c r="G7" i="15"/>
  <c r="J6"/>
  <c r="G6"/>
  <c r="G9"/>
  <c r="G8"/>
  <c r="I40"/>
  <c r="I39"/>
  <c r="I38"/>
  <c r="E47" i="14"/>
  <c r="D42"/>
  <c r="D40"/>
  <c r="D39"/>
  <c r="D38"/>
  <c r="D37"/>
  <c r="D36"/>
  <c r="D34"/>
  <c r="D33"/>
  <c r="D31"/>
  <c r="D30"/>
  <c r="D44"/>
  <c r="D29"/>
  <c r="D27"/>
  <c r="D26"/>
  <c r="D25"/>
  <c r="D24"/>
  <c r="D23"/>
  <c r="D22"/>
  <c r="D21"/>
  <c r="D20"/>
  <c r="D19"/>
  <c r="D18"/>
  <c r="D17"/>
  <c r="D8"/>
  <c r="D16"/>
  <c r="D15"/>
  <c r="D14"/>
  <c r="D13"/>
  <c r="D12"/>
  <c r="D11"/>
  <c r="D10"/>
  <c r="D9"/>
  <c r="D7"/>
  <c r="D6"/>
  <c r="D5"/>
  <c r="D4"/>
  <c r="D50" i="16" l="1"/>
  <c r="J50"/>
  <c r="R42"/>
  <c r="R30"/>
  <c r="L7"/>
  <c r="L50" s="1"/>
  <c r="S7"/>
  <c r="U7" s="1"/>
  <c r="R10"/>
  <c r="S10"/>
  <c r="U10" s="1"/>
  <c r="R44"/>
  <c r="S44"/>
  <c r="U44" s="1"/>
  <c r="L13"/>
  <c r="S13"/>
  <c r="U13" s="1"/>
  <c r="L34"/>
  <c r="S34"/>
  <c r="U34" s="1"/>
  <c r="L17"/>
  <c r="I17" s="1"/>
  <c r="O17" s="1"/>
  <c r="S17"/>
  <c r="U17" s="1"/>
  <c r="O5"/>
  <c r="I21"/>
  <c r="O21" s="1"/>
  <c r="R5"/>
  <c r="M14" i="17"/>
  <c r="J14" s="1"/>
  <c r="P14" s="1"/>
  <c r="M8"/>
  <c r="J8" s="1"/>
  <c r="P8" s="1"/>
  <c r="M11"/>
  <c r="J11" s="1"/>
  <c r="P11" s="1"/>
  <c r="M5"/>
  <c r="J5" s="1"/>
  <c r="P5" s="1"/>
  <c r="M4"/>
  <c r="P38"/>
  <c r="P39"/>
  <c r="P32"/>
  <c r="M7"/>
  <c r="J7" s="1"/>
  <c r="P7" s="1"/>
  <c r="I34" i="16"/>
  <c r="O34" s="1"/>
  <c r="I4"/>
  <c r="O4" s="1"/>
  <c r="I30"/>
  <c r="O30" s="1"/>
  <c r="R9"/>
  <c r="L9"/>
  <c r="I9" s="1"/>
  <c r="O9" s="1"/>
  <c r="L31"/>
  <c r="I31" s="1"/>
  <c r="O31" s="1"/>
  <c r="R31"/>
  <c r="L8"/>
  <c r="I8" s="1"/>
  <c r="O8" s="1"/>
  <c r="L12"/>
  <c r="I12" s="1"/>
  <c r="O12" s="1"/>
  <c r="R12"/>
  <c r="I18"/>
  <c r="O18" s="1"/>
  <c r="I39"/>
  <c r="O39" s="1"/>
  <c r="I11"/>
  <c r="O11" s="1"/>
  <c r="I16"/>
  <c r="O16" s="1"/>
  <c r="I23"/>
  <c r="O23" s="1"/>
  <c r="L15"/>
  <c r="I15" s="1"/>
  <c r="O15" s="1"/>
  <c r="I7"/>
  <c r="O7" s="1"/>
  <c r="I19"/>
  <c r="O19" s="1"/>
  <c r="I26"/>
  <c r="O26" s="1"/>
  <c r="I37"/>
  <c r="O37" s="1"/>
  <c r="L10"/>
  <c r="I10" s="1"/>
  <c r="O10" s="1"/>
  <c r="L44"/>
  <c r="I44" s="1"/>
  <c r="O44" s="1"/>
  <c r="I13"/>
  <c r="O13" s="1"/>
  <c r="I20"/>
  <c r="O20" s="1"/>
  <c r="L25"/>
  <c r="I25" s="1"/>
  <c r="O25" s="1"/>
  <c r="I36"/>
  <c r="O36" s="1"/>
  <c r="L41"/>
  <c r="I41" s="1"/>
  <c r="O41" s="1"/>
  <c r="I22"/>
  <c r="I29"/>
  <c r="O29" s="1"/>
  <c r="I33"/>
  <c r="O33" s="1"/>
  <c r="G49" i="14"/>
  <c r="D49"/>
  <c r="E48"/>
  <c r="L48" s="1"/>
  <c r="L47"/>
  <c r="I47" s="1"/>
  <c r="O47" s="1"/>
  <c r="E46"/>
  <c r="L46" s="1"/>
  <c r="I46" s="1"/>
  <c r="O46" s="1"/>
  <c r="H16"/>
  <c r="H20"/>
  <c r="I4" i="15"/>
  <c r="E40"/>
  <c r="M40" s="1"/>
  <c r="E39"/>
  <c r="M39" s="1"/>
  <c r="J39" s="1"/>
  <c r="P39" s="1"/>
  <c r="P38"/>
  <c r="P41" s="1"/>
  <c r="E37"/>
  <c r="P37" s="1"/>
  <c r="I31"/>
  <c r="E31"/>
  <c r="M31" s="1"/>
  <c r="J31" s="1"/>
  <c r="P31" s="1"/>
  <c r="M30"/>
  <c r="J30" s="1"/>
  <c r="P30" s="1"/>
  <c r="I30"/>
  <c r="E30"/>
  <c r="I29"/>
  <c r="E29"/>
  <c r="M29" s="1"/>
  <c r="J29" s="1"/>
  <c r="P29" s="1"/>
  <c r="I20"/>
  <c r="E20"/>
  <c r="M20" s="1"/>
  <c r="J20" s="1"/>
  <c r="P20" s="1"/>
  <c r="M19"/>
  <c r="J19" s="1"/>
  <c r="P19" s="1"/>
  <c r="I19"/>
  <c r="E19"/>
  <c r="I13"/>
  <c r="E13"/>
  <c r="M13" s="1"/>
  <c r="J13" s="1"/>
  <c r="P13" s="1"/>
  <c r="I11"/>
  <c r="E11"/>
  <c r="M11" s="1"/>
  <c r="J11" s="1"/>
  <c r="P11" s="1"/>
  <c r="I10"/>
  <c r="E10"/>
  <c r="M10" s="1"/>
  <c r="J10" s="1"/>
  <c r="P10" s="1"/>
  <c r="I9"/>
  <c r="E9"/>
  <c r="M9" s="1"/>
  <c r="J9" s="1"/>
  <c r="P9" s="1"/>
  <c r="I8"/>
  <c r="E8"/>
  <c r="M8" s="1"/>
  <c r="J8" s="1"/>
  <c r="P8" s="1"/>
  <c r="I7"/>
  <c r="E7"/>
  <c r="M7" s="1"/>
  <c r="J7" s="1"/>
  <c r="P7" s="1"/>
  <c r="I6"/>
  <c r="E6"/>
  <c r="P6" s="1"/>
  <c r="R5"/>
  <c r="I5"/>
  <c r="E5"/>
  <c r="M5" s="1"/>
  <c r="M15" s="1"/>
  <c r="M4"/>
  <c r="J4" s="1"/>
  <c r="P4" s="1"/>
  <c r="E4"/>
  <c r="H46" i="14"/>
  <c r="H48"/>
  <c r="H47"/>
  <c r="H45"/>
  <c r="N49"/>
  <c r="M49"/>
  <c r="J36"/>
  <c r="J34"/>
  <c r="J45"/>
  <c r="J10"/>
  <c r="J18"/>
  <c r="J22"/>
  <c r="J4"/>
  <c r="J35"/>
  <c r="J5"/>
  <c r="P49"/>
  <c r="E45"/>
  <c r="R45" s="1"/>
  <c r="H44"/>
  <c r="E44"/>
  <c r="L44" s="1"/>
  <c r="I44" s="1"/>
  <c r="H43"/>
  <c r="E43"/>
  <c r="L43" s="1"/>
  <c r="I43" s="1"/>
  <c r="O43" s="1"/>
  <c r="H42"/>
  <c r="E42"/>
  <c r="L42" s="1"/>
  <c r="I42" s="1"/>
  <c r="O42" s="1"/>
  <c r="H41"/>
  <c r="E41"/>
  <c r="L41" s="1"/>
  <c r="I41" s="1"/>
  <c r="O41" s="1"/>
  <c r="H40"/>
  <c r="E40"/>
  <c r="L40" s="1"/>
  <c r="I40" s="1"/>
  <c r="O40" s="1"/>
  <c r="H39"/>
  <c r="E39"/>
  <c r="L39" s="1"/>
  <c r="I39" s="1"/>
  <c r="O39" s="1"/>
  <c r="H38"/>
  <c r="E38"/>
  <c r="L38" s="1"/>
  <c r="I38" s="1"/>
  <c r="O38" s="1"/>
  <c r="H37"/>
  <c r="E37"/>
  <c r="L37" s="1"/>
  <c r="I37" s="1"/>
  <c r="O37" s="1"/>
  <c r="H36"/>
  <c r="E36"/>
  <c r="L36" s="1"/>
  <c r="I36" s="1"/>
  <c r="O36" s="1"/>
  <c r="H35"/>
  <c r="E35"/>
  <c r="H34"/>
  <c r="E34"/>
  <c r="H33"/>
  <c r="E33"/>
  <c r="L33" s="1"/>
  <c r="I33" s="1"/>
  <c r="H31"/>
  <c r="E31"/>
  <c r="R31" s="1"/>
  <c r="H30"/>
  <c r="E30"/>
  <c r="L30" s="1"/>
  <c r="I30" s="1"/>
  <c r="H29"/>
  <c r="E29"/>
  <c r="L29" s="1"/>
  <c r="I29" s="1"/>
  <c r="O29" s="1"/>
  <c r="H28"/>
  <c r="E28"/>
  <c r="L28" s="1"/>
  <c r="I28" s="1"/>
  <c r="O28" s="1"/>
  <c r="H27"/>
  <c r="E27"/>
  <c r="L27" s="1"/>
  <c r="I27" s="1"/>
  <c r="O27" s="1"/>
  <c r="H26"/>
  <c r="E26"/>
  <c r="L26" s="1"/>
  <c r="I26" s="1"/>
  <c r="O26" s="1"/>
  <c r="H25"/>
  <c r="E25"/>
  <c r="L25" s="1"/>
  <c r="I25" s="1"/>
  <c r="H24"/>
  <c r="E24"/>
  <c r="L24" s="1"/>
  <c r="I24" s="1"/>
  <c r="O24" s="1"/>
  <c r="H23"/>
  <c r="E23"/>
  <c r="L23" s="1"/>
  <c r="I23" s="1"/>
  <c r="O23" s="1"/>
  <c r="H22"/>
  <c r="E22"/>
  <c r="L22" s="1"/>
  <c r="I22" s="1"/>
  <c r="H21"/>
  <c r="E21"/>
  <c r="E20"/>
  <c r="L20" s="1"/>
  <c r="I20" s="1"/>
  <c r="O20" s="1"/>
  <c r="H19"/>
  <c r="E19"/>
  <c r="L19" s="1"/>
  <c r="I19" s="1"/>
  <c r="O19" s="1"/>
  <c r="H18"/>
  <c r="E18"/>
  <c r="L18" s="1"/>
  <c r="I18" s="1"/>
  <c r="H17"/>
  <c r="E17"/>
  <c r="L17" s="1"/>
  <c r="I17" s="1"/>
  <c r="O17" s="1"/>
  <c r="H8"/>
  <c r="E8"/>
  <c r="L8" s="1"/>
  <c r="I8" s="1"/>
  <c r="O8" s="1"/>
  <c r="E16"/>
  <c r="L16" s="1"/>
  <c r="I16" s="1"/>
  <c r="O16" s="1"/>
  <c r="H15"/>
  <c r="E15"/>
  <c r="L15" s="1"/>
  <c r="I15" s="1"/>
  <c r="O15" s="1"/>
  <c r="H14"/>
  <c r="E14"/>
  <c r="L14" s="1"/>
  <c r="I14" s="1"/>
  <c r="O14" s="1"/>
  <c r="H13"/>
  <c r="E13"/>
  <c r="L13" s="1"/>
  <c r="I13" s="1"/>
  <c r="O13" s="1"/>
  <c r="H12"/>
  <c r="E12"/>
  <c r="R12" s="1"/>
  <c r="H11"/>
  <c r="E11"/>
  <c r="L11" s="1"/>
  <c r="I11" s="1"/>
  <c r="O11" s="1"/>
  <c r="H10"/>
  <c r="E10"/>
  <c r="R10" s="1"/>
  <c r="H9"/>
  <c r="E9"/>
  <c r="L9" s="1"/>
  <c r="I9" s="1"/>
  <c r="O9" s="1"/>
  <c r="H7"/>
  <c r="E7"/>
  <c r="L7" s="1"/>
  <c r="I7" s="1"/>
  <c r="O7" s="1"/>
  <c r="H6"/>
  <c r="E6"/>
  <c r="L6" s="1"/>
  <c r="I6" s="1"/>
  <c r="O6" s="1"/>
  <c r="H5"/>
  <c r="E5"/>
  <c r="L5" s="1"/>
  <c r="I5" s="1"/>
  <c r="H4"/>
  <c r="E4"/>
  <c r="L4" s="1"/>
  <c r="O49" i="12"/>
  <c r="N49"/>
  <c r="M49"/>
  <c r="L49"/>
  <c r="K49"/>
  <c r="J49"/>
  <c r="I49"/>
  <c r="D49"/>
  <c r="L48"/>
  <c r="I48" s="1"/>
  <c r="O48" s="1"/>
  <c r="K48"/>
  <c r="J48"/>
  <c r="L47"/>
  <c r="I47" s="1"/>
  <c r="O47" s="1"/>
  <c r="J47"/>
  <c r="H47"/>
  <c r="L46"/>
  <c r="I46" s="1"/>
  <c r="O46" s="1"/>
  <c r="H46"/>
  <c r="L45"/>
  <c r="K45"/>
  <c r="I45"/>
  <c r="O45" s="1"/>
  <c r="H45"/>
  <c r="L44"/>
  <c r="I44"/>
  <c r="O44" s="1"/>
  <c r="H44"/>
  <c r="L43"/>
  <c r="I43"/>
  <c r="O43" s="1"/>
  <c r="H43"/>
  <c r="L42"/>
  <c r="I42"/>
  <c r="O42" s="1"/>
  <c r="H42"/>
  <c r="L41"/>
  <c r="I41"/>
  <c r="O41" s="1"/>
  <c r="H41"/>
  <c r="L40"/>
  <c r="I40"/>
  <c r="O40" s="1"/>
  <c r="H40"/>
  <c r="L39"/>
  <c r="I39"/>
  <c r="O39" s="1"/>
  <c r="H39"/>
  <c r="L38"/>
  <c r="I38"/>
  <c r="O38" s="1"/>
  <c r="H38"/>
  <c r="L37"/>
  <c r="I37"/>
  <c r="O37" s="1"/>
  <c r="H37"/>
  <c r="L36"/>
  <c r="I36"/>
  <c r="O36" s="1"/>
  <c r="H36"/>
  <c r="L35"/>
  <c r="I35" s="1"/>
  <c r="O35" s="1"/>
  <c r="K35"/>
  <c r="J35"/>
  <c r="H35"/>
  <c r="L34"/>
  <c r="K34"/>
  <c r="J34"/>
  <c r="I34"/>
  <c r="O34" s="1"/>
  <c r="H34"/>
  <c r="L33"/>
  <c r="I33"/>
  <c r="O33" s="1"/>
  <c r="H33"/>
  <c r="L31"/>
  <c r="K31"/>
  <c r="I31"/>
  <c r="O31" s="1"/>
  <c r="H31"/>
  <c r="L30"/>
  <c r="I30" s="1"/>
  <c r="O30" s="1"/>
  <c r="H30"/>
  <c r="L29"/>
  <c r="I29" s="1"/>
  <c r="O29" s="1"/>
  <c r="H29"/>
  <c r="L28"/>
  <c r="I28" s="1"/>
  <c r="O28" s="1"/>
  <c r="H28"/>
  <c r="L27"/>
  <c r="I27" s="1"/>
  <c r="O27" s="1"/>
  <c r="H27"/>
  <c r="L26"/>
  <c r="I26" s="1"/>
  <c r="O26" s="1"/>
  <c r="H26"/>
  <c r="L25"/>
  <c r="I25" s="1"/>
  <c r="O25" s="1"/>
  <c r="K25"/>
  <c r="H25"/>
  <c r="L24"/>
  <c r="I24" s="1"/>
  <c r="O24" s="1"/>
  <c r="H24"/>
  <c r="L23"/>
  <c r="I23" s="1"/>
  <c r="O23" s="1"/>
  <c r="H23"/>
  <c r="L22"/>
  <c r="I22" s="1"/>
  <c r="O22" s="1"/>
  <c r="J22"/>
  <c r="H22"/>
  <c r="L21"/>
  <c r="K21"/>
  <c r="I21"/>
  <c r="O21" s="1"/>
  <c r="H21"/>
  <c r="L20"/>
  <c r="I20"/>
  <c r="O20" s="1"/>
  <c r="H20"/>
  <c r="L19"/>
  <c r="I19"/>
  <c r="O19" s="1"/>
  <c r="H19"/>
  <c r="L18"/>
  <c r="J18"/>
  <c r="I18"/>
  <c r="O18" s="1"/>
  <c r="H18"/>
  <c r="L17"/>
  <c r="I17" s="1"/>
  <c r="O17" s="1"/>
  <c r="H17"/>
  <c r="L16"/>
  <c r="I16" s="1"/>
  <c r="O16" s="1"/>
  <c r="H16"/>
  <c r="L15"/>
  <c r="I15" s="1"/>
  <c r="O15" s="1"/>
  <c r="H15"/>
  <c r="L14"/>
  <c r="I14" s="1"/>
  <c r="O14" s="1"/>
  <c r="H14"/>
  <c r="L13"/>
  <c r="I13" s="1"/>
  <c r="O13" s="1"/>
  <c r="H13"/>
  <c r="L12"/>
  <c r="I12" s="1"/>
  <c r="O12" s="1"/>
  <c r="H12"/>
  <c r="L11"/>
  <c r="I11" s="1"/>
  <c r="O11" s="1"/>
  <c r="K11"/>
  <c r="H11"/>
  <c r="L10"/>
  <c r="I10" s="1"/>
  <c r="O10" s="1"/>
  <c r="H10"/>
  <c r="L9"/>
  <c r="K9"/>
  <c r="J9"/>
  <c r="I9"/>
  <c r="O9" s="1"/>
  <c r="H9"/>
  <c r="L8"/>
  <c r="I8"/>
  <c r="O8" s="1"/>
  <c r="H8"/>
  <c r="L7"/>
  <c r="I7"/>
  <c r="O7" s="1"/>
  <c r="H7"/>
  <c r="L6"/>
  <c r="I6"/>
  <c r="O6" s="1"/>
  <c r="H6"/>
  <c r="L5"/>
  <c r="J5"/>
  <c r="I5"/>
  <c r="O5" s="1"/>
  <c r="H5"/>
  <c r="L4"/>
  <c r="I4" s="1"/>
  <c r="O4" s="1"/>
  <c r="J4"/>
  <c r="H4"/>
  <c r="O22" i="16" l="1"/>
  <c r="J4" i="17"/>
  <c r="P4" s="1"/>
  <c r="P15" s="1"/>
  <c r="M15"/>
  <c r="P41"/>
  <c r="I48" i="14"/>
  <c r="O48" s="1"/>
  <c r="P40" i="15"/>
  <c r="J40"/>
  <c r="O5" i="14"/>
  <c r="R9"/>
  <c r="R5"/>
  <c r="R42"/>
  <c r="R30"/>
  <c r="O30"/>
  <c r="O22"/>
  <c r="P32" i="15"/>
  <c r="P21"/>
  <c r="J5"/>
  <c r="P5" s="1"/>
  <c r="P15" s="1"/>
  <c r="L10" i="14"/>
  <c r="I10" s="1"/>
  <c r="O10" s="1"/>
  <c r="J49"/>
  <c r="O33"/>
  <c r="O18"/>
  <c r="L34"/>
  <c r="I34" s="1"/>
  <c r="O34" s="1"/>
  <c r="O25"/>
  <c r="L35"/>
  <c r="I35" s="1"/>
  <c r="O35" s="1"/>
  <c r="I4"/>
  <c r="L31"/>
  <c r="I31" s="1"/>
  <c r="O31" s="1"/>
  <c r="L21"/>
  <c r="I21" s="1"/>
  <c r="O21" s="1"/>
  <c r="O44"/>
  <c r="L12"/>
  <c r="I12" s="1"/>
  <c r="O12" s="1"/>
  <c r="L45"/>
  <c r="I45" s="1"/>
  <c r="O45" s="1"/>
  <c r="P51" i="12"/>
  <c r="E40" i="13"/>
  <c r="M40" s="1"/>
  <c r="J40" s="1"/>
  <c r="P40" s="1"/>
  <c r="E39"/>
  <c r="M39" s="1"/>
  <c r="J39" s="1"/>
  <c r="P39" s="1"/>
  <c r="E38"/>
  <c r="M38" s="1"/>
  <c r="J38" s="1"/>
  <c r="P38" s="1"/>
  <c r="E37"/>
  <c r="M37" s="1"/>
  <c r="J37" s="1"/>
  <c r="P37" s="1"/>
  <c r="T11"/>
  <c r="I6"/>
  <c r="I13"/>
  <c r="I12"/>
  <c r="I11"/>
  <c r="I10"/>
  <c r="I9"/>
  <c r="I8"/>
  <c r="I7"/>
  <c r="E13"/>
  <c r="M13" s="1"/>
  <c r="J13" s="1"/>
  <c r="P13" s="1"/>
  <c r="E12"/>
  <c r="M12" s="1"/>
  <c r="J12" s="1"/>
  <c r="P12" s="1"/>
  <c r="E11"/>
  <c r="M11" s="1"/>
  <c r="J11" s="1"/>
  <c r="P11" s="1"/>
  <c r="E10"/>
  <c r="M10" s="1"/>
  <c r="J10" s="1"/>
  <c r="P10" s="1"/>
  <c r="E9"/>
  <c r="M9" s="1"/>
  <c r="J9" s="1"/>
  <c r="P9" s="1"/>
  <c r="E8"/>
  <c r="M8" s="1"/>
  <c r="J8" s="1"/>
  <c r="P8" s="1"/>
  <c r="E7"/>
  <c r="M7" s="1"/>
  <c r="J7" s="1"/>
  <c r="P7" s="1"/>
  <c r="I19"/>
  <c r="I5"/>
  <c r="I4"/>
  <c r="I31"/>
  <c r="E31"/>
  <c r="M31" s="1"/>
  <c r="J31" s="1"/>
  <c r="P31" s="1"/>
  <c r="I30"/>
  <c r="E30"/>
  <c r="M30" s="1"/>
  <c r="J30" s="1"/>
  <c r="P30" s="1"/>
  <c r="I29"/>
  <c r="E29"/>
  <c r="M29" s="1"/>
  <c r="J29" s="1"/>
  <c r="P29" s="1"/>
  <c r="P32" s="1"/>
  <c r="I20"/>
  <c r="E20"/>
  <c r="M20" s="1"/>
  <c r="J20" s="1"/>
  <c r="P20" s="1"/>
  <c r="P21" s="1"/>
  <c r="E19"/>
  <c r="M19" s="1"/>
  <c r="J19" s="1"/>
  <c r="P19" s="1"/>
  <c r="E6"/>
  <c r="M6" s="1"/>
  <c r="E5"/>
  <c r="M5" s="1"/>
  <c r="J5" s="1"/>
  <c r="P5" s="1"/>
  <c r="E4"/>
  <c r="M4" s="1"/>
  <c r="E48" i="12"/>
  <c r="E47"/>
  <c r="E46"/>
  <c r="E45"/>
  <c r="E44"/>
  <c r="E43"/>
  <c r="E42"/>
  <c r="E41"/>
  <c r="E40"/>
  <c r="E39"/>
  <c r="E38"/>
  <c r="E37"/>
  <c r="E36"/>
  <c r="E35"/>
  <c r="E34"/>
  <c r="E33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P55" i="9"/>
  <c r="P54" i="10"/>
  <c r="N53"/>
  <c r="M53"/>
  <c r="K53"/>
  <c r="J53"/>
  <c r="D53"/>
  <c r="E52"/>
  <c r="I52" s="1"/>
  <c r="O52" s="1"/>
  <c r="K9"/>
  <c r="E51"/>
  <c r="L51" s="1"/>
  <c r="I51" s="1"/>
  <c r="O51" s="1"/>
  <c r="H4"/>
  <c r="H51"/>
  <c r="H50"/>
  <c r="H49"/>
  <c r="H48"/>
  <c r="H47"/>
  <c r="H46"/>
  <c r="H45"/>
  <c r="H44"/>
  <c r="H43"/>
  <c r="H42"/>
  <c r="H41"/>
  <c r="H40"/>
  <c r="H39"/>
  <c r="H38"/>
  <c r="H37"/>
  <c r="H36"/>
  <c r="H34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7"/>
  <c r="H6"/>
  <c r="H5"/>
  <c r="H45" i="3"/>
  <c r="H35" i="1"/>
  <c r="I49" i="14" l="1"/>
  <c r="K49"/>
  <c r="L49"/>
  <c r="O4"/>
  <c r="O49" s="1"/>
  <c r="M14" i="13"/>
  <c r="R13"/>
  <c r="P41"/>
  <c r="J6"/>
  <c r="P6" s="1"/>
  <c r="R5"/>
  <c r="J4"/>
  <c r="P4" s="1"/>
  <c r="P14" s="1"/>
  <c r="J36" i="10"/>
  <c r="J5"/>
  <c r="J4"/>
  <c r="J10"/>
  <c r="P53"/>
  <c r="E50"/>
  <c r="L50" s="1"/>
  <c r="I50" s="1"/>
  <c r="O50" s="1"/>
  <c r="E49"/>
  <c r="L49" s="1"/>
  <c r="I49" s="1"/>
  <c r="O49" s="1"/>
  <c r="E48"/>
  <c r="L48" s="1"/>
  <c r="I48" s="1"/>
  <c r="O48" s="1"/>
  <c r="E47"/>
  <c r="L47" s="1"/>
  <c r="I47" s="1"/>
  <c r="O47" s="1"/>
  <c r="E46"/>
  <c r="L46" s="1"/>
  <c r="I46" s="1"/>
  <c r="O46" s="1"/>
  <c r="E45"/>
  <c r="L45" s="1"/>
  <c r="I45" s="1"/>
  <c r="O45" s="1"/>
  <c r="E44"/>
  <c r="E43"/>
  <c r="L43" s="1"/>
  <c r="I43" s="1"/>
  <c r="O43" s="1"/>
  <c r="E42"/>
  <c r="L42" s="1"/>
  <c r="I42" s="1"/>
  <c r="O42" s="1"/>
  <c r="E41"/>
  <c r="L41" s="1"/>
  <c r="E40"/>
  <c r="L40" s="1"/>
  <c r="I40" s="1"/>
  <c r="O40" s="1"/>
  <c r="E39"/>
  <c r="L39" s="1"/>
  <c r="I39" s="1"/>
  <c r="O39" s="1"/>
  <c r="E38"/>
  <c r="L38" s="1"/>
  <c r="I38" s="1"/>
  <c r="O38" s="1"/>
  <c r="E37"/>
  <c r="L37" s="1"/>
  <c r="I37" s="1"/>
  <c r="O37" s="1"/>
  <c r="E36"/>
  <c r="L36" s="1"/>
  <c r="I36" s="1"/>
  <c r="E35"/>
  <c r="E34"/>
  <c r="L34" s="1"/>
  <c r="E32"/>
  <c r="L32" s="1"/>
  <c r="I32" s="1"/>
  <c r="O32" s="1"/>
  <c r="E31"/>
  <c r="L31" s="1"/>
  <c r="I31" s="1"/>
  <c r="O31" s="1"/>
  <c r="E30"/>
  <c r="L30" s="1"/>
  <c r="I30" s="1"/>
  <c r="O30" s="1"/>
  <c r="E29"/>
  <c r="L29" s="1"/>
  <c r="E28"/>
  <c r="E27"/>
  <c r="L27" s="1"/>
  <c r="I27" s="1"/>
  <c r="O27" s="1"/>
  <c r="E26"/>
  <c r="L26" s="1"/>
  <c r="I26" s="1"/>
  <c r="O26" s="1"/>
  <c r="E25"/>
  <c r="L25" s="1"/>
  <c r="I25" s="1"/>
  <c r="O25" s="1"/>
  <c r="E24"/>
  <c r="L24" s="1"/>
  <c r="I24" s="1"/>
  <c r="O24" s="1"/>
  <c r="E23"/>
  <c r="L23" s="1"/>
  <c r="I23" s="1"/>
  <c r="O23" s="1"/>
  <c r="E22"/>
  <c r="L22" s="1"/>
  <c r="I22" s="1"/>
  <c r="O22" s="1"/>
  <c r="E21"/>
  <c r="L21" s="1"/>
  <c r="I21" s="1"/>
  <c r="O21" s="1"/>
  <c r="E20"/>
  <c r="L20" s="1"/>
  <c r="I20" s="1"/>
  <c r="O20" s="1"/>
  <c r="E19"/>
  <c r="L19" s="1"/>
  <c r="I19" s="1"/>
  <c r="O19" s="1"/>
  <c r="E18"/>
  <c r="L18" s="1"/>
  <c r="I18" s="1"/>
  <c r="O18" s="1"/>
  <c r="E17"/>
  <c r="L17" s="1"/>
  <c r="I17" s="1"/>
  <c r="O17" s="1"/>
  <c r="E16"/>
  <c r="L16" s="1"/>
  <c r="I16" s="1"/>
  <c r="O16" s="1"/>
  <c r="E15"/>
  <c r="L15" s="1"/>
  <c r="I15" s="1"/>
  <c r="O15" s="1"/>
  <c r="E14"/>
  <c r="L14" s="1"/>
  <c r="I14" s="1"/>
  <c r="O14" s="1"/>
  <c r="E13"/>
  <c r="L13" s="1"/>
  <c r="I13" s="1"/>
  <c r="O13" s="1"/>
  <c r="E12"/>
  <c r="L12" s="1"/>
  <c r="I12" s="1"/>
  <c r="O12" s="1"/>
  <c r="E11"/>
  <c r="L11" s="1"/>
  <c r="I11" s="1"/>
  <c r="O11" s="1"/>
  <c r="E10"/>
  <c r="Q10" s="1"/>
  <c r="E9"/>
  <c r="E8"/>
  <c r="E7"/>
  <c r="L7" s="1"/>
  <c r="I7" s="1"/>
  <c r="O7" s="1"/>
  <c r="E6"/>
  <c r="L6" s="1"/>
  <c r="E5"/>
  <c r="Q5" s="1"/>
  <c r="E4"/>
  <c r="L4" s="1"/>
  <c r="I4" s="1"/>
  <c r="Q51" i="9"/>
  <c r="P54"/>
  <c r="R56" i="8"/>
  <c r="N54" i="9"/>
  <c r="M54"/>
  <c r="J54"/>
  <c r="H53"/>
  <c r="D54"/>
  <c r="E53"/>
  <c r="L53" s="1"/>
  <c r="I53" s="1"/>
  <c r="H52"/>
  <c r="E52"/>
  <c r="L52" s="1"/>
  <c r="I52" s="1"/>
  <c r="O52" s="1"/>
  <c r="H51"/>
  <c r="E51"/>
  <c r="L51" s="1"/>
  <c r="I51" s="1"/>
  <c r="O51" s="1"/>
  <c r="H50"/>
  <c r="E50"/>
  <c r="L50" s="1"/>
  <c r="I50" s="1"/>
  <c r="O50" s="1"/>
  <c r="H49"/>
  <c r="E49"/>
  <c r="L49" s="1"/>
  <c r="I49" s="1"/>
  <c r="O49" s="1"/>
  <c r="H48"/>
  <c r="E48"/>
  <c r="L48" s="1"/>
  <c r="I48" s="1"/>
  <c r="O48" s="1"/>
  <c r="H47"/>
  <c r="E47"/>
  <c r="L47" s="1"/>
  <c r="I47" s="1"/>
  <c r="O47" s="1"/>
  <c r="H46"/>
  <c r="E46"/>
  <c r="L46" s="1"/>
  <c r="I46" s="1"/>
  <c r="O46" s="1"/>
  <c r="H45"/>
  <c r="E45"/>
  <c r="L45" s="1"/>
  <c r="H44"/>
  <c r="E44"/>
  <c r="L44" s="1"/>
  <c r="I44" s="1"/>
  <c r="O44" s="1"/>
  <c r="H43"/>
  <c r="E43"/>
  <c r="L43" s="1"/>
  <c r="I43" s="1"/>
  <c r="O43" s="1"/>
  <c r="H42"/>
  <c r="E42"/>
  <c r="L42" s="1"/>
  <c r="I42" s="1"/>
  <c r="O42" s="1"/>
  <c r="H41"/>
  <c r="E41"/>
  <c r="L41" s="1"/>
  <c r="I41" s="1"/>
  <c r="O41" s="1"/>
  <c r="H40"/>
  <c r="E40"/>
  <c r="L40" s="1"/>
  <c r="I40" s="1"/>
  <c r="O40" s="1"/>
  <c r="H39"/>
  <c r="E39"/>
  <c r="L39" s="1"/>
  <c r="I39" s="1"/>
  <c r="O39" s="1"/>
  <c r="H38"/>
  <c r="E38"/>
  <c r="L38" s="1"/>
  <c r="I38" s="1"/>
  <c r="O38" s="1"/>
  <c r="H37"/>
  <c r="E37"/>
  <c r="L37" s="1"/>
  <c r="I37" s="1"/>
  <c r="O37" s="1"/>
  <c r="H36"/>
  <c r="E36"/>
  <c r="L36" s="1"/>
  <c r="I36" s="1"/>
  <c r="O36" s="1"/>
  <c r="H35"/>
  <c r="E35"/>
  <c r="L35" s="1"/>
  <c r="I35" s="1"/>
  <c r="O35" s="1"/>
  <c r="H34"/>
  <c r="E34"/>
  <c r="L34" s="1"/>
  <c r="I34" s="1"/>
  <c r="O34" s="1"/>
  <c r="H33"/>
  <c r="E33"/>
  <c r="L33" s="1"/>
  <c r="I33" s="1"/>
  <c r="O33" s="1"/>
  <c r="H32"/>
  <c r="E32"/>
  <c r="L32" s="1"/>
  <c r="I32" s="1"/>
  <c r="O32" s="1"/>
  <c r="H31"/>
  <c r="E31"/>
  <c r="L31" s="1"/>
  <c r="I31" s="1"/>
  <c r="O31" s="1"/>
  <c r="H30"/>
  <c r="E30"/>
  <c r="L30" s="1"/>
  <c r="I30" s="1"/>
  <c r="O30" s="1"/>
  <c r="H29"/>
  <c r="E29"/>
  <c r="L29" s="1"/>
  <c r="I29" s="1"/>
  <c r="O29" s="1"/>
  <c r="H28"/>
  <c r="E28"/>
  <c r="L28" s="1"/>
  <c r="I28" s="1"/>
  <c r="O28" s="1"/>
  <c r="H27"/>
  <c r="E27"/>
  <c r="L27" s="1"/>
  <c r="I27" s="1"/>
  <c r="O27" s="1"/>
  <c r="H26"/>
  <c r="E26"/>
  <c r="L26" s="1"/>
  <c r="I26" s="1"/>
  <c r="O26" s="1"/>
  <c r="H25"/>
  <c r="E25"/>
  <c r="L25" s="1"/>
  <c r="I25" s="1"/>
  <c r="O25" s="1"/>
  <c r="H24"/>
  <c r="E24"/>
  <c r="L24" s="1"/>
  <c r="I24" s="1"/>
  <c r="O24" s="1"/>
  <c r="H23"/>
  <c r="E23"/>
  <c r="L23" s="1"/>
  <c r="I23" s="1"/>
  <c r="O23" s="1"/>
  <c r="H22"/>
  <c r="E22"/>
  <c r="L22" s="1"/>
  <c r="I22" s="1"/>
  <c r="O22" s="1"/>
  <c r="H21"/>
  <c r="E21"/>
  <c r="L21" s="1"/>
  <c r="I21" s="1"/>
  <c r="O21" s="1"/>
  <c r="H20"/>
  <c r="E20"/>
  <c r="L20" s="1"/>
  <c r="I20" s="1"/>
  <c r="O20" s="1"/>
  <c r="H19"/>
  <c r="E19"/>
  <c r="L19" s="1"/>
  <c r="I19" s="1"/>
  <c r="O19" s="1"/>
  <c r="H18"/>
  <c r="E18"/>
  <c r="L18" s="1"/>
  <c r="I18" s="1"/>
  <c r="O18" s="1"/>
  <c r="H17"/>
  <c r="E17"/>
  <c r="L17" s="1"/>
  <c r="I17" s="1"/>
  <c r="O17" s="1"/>
  <c r="H16"/>
  <c r="E16"/>
  <c r="L16" s="1"/>
  <c r="I16" s="1"/>
  <c r="O16" s="1"/>
  <c r="H15"/>
  <c r="E15"/>
  <c r="L15" s="1"/>
  <c r="I15" s="1"/>
  <c r="O15" s="1"/>
  <c r="H14"/>
  <c r="E14"/>
  <c r="L14" s="1"/>
  <c r="I14" s="1"/>
  <c r="O14" s="1"/>
  <c r="H13"/>
  <c r="E13"/>
  <c r="L13" s="1"/>
  <c r="I13" s="1"/>
  <c r="O13" s="1"/>
  <c r="H12"/>
  <c r="E12"/>
  <c r="L12" s="1"/>
  <c r="I12" s="1"/>
  <c r="O12" s="1"/>
  <c r="H11"/>
  <c r="E11"/>
  <c r="L11" s="1"/>
  <c r="I11" s="1"/>
  <c r="O11" s="1"/>
  <c r="H10"/>
  <c r="E10"/>
  <c r="L10" s="1"/>
  <c r="I10" s="1"/>
  <c r="O10" s="1"/>
  <c r="H9"/>
  <c r="E9"/>
  <c r="L9" s="1"/>
  <c r="I9" s="1"/>
  <c r="O9" s="1"/>
  <c r="H8"/>
  <c r="E8"/>
  <c r="L8" s="1"/>
  <c r="I8" s="1"/>
  <c r="O8" s="1"/>
  <c r="H7"/>
  <c r="E7"/>
  <c r="L7" s="1"/>
  <c r="I7" s="1"/>
  <c r="O7" s="1"/>
  <c r="H6"/>
  <c r="E6"/>
  <c r="L6" s="1"/>
  <c r="I6" s="1"/>
  <c r="O6" s="1"/>
  <c r="H5"/>
  <c r="E5"/>
  <c r="L5" s="1"/>
  <c r="I5" s="1"/>
  <c r="O5" s="1"/>
  <c r="H4"/>
  <c r="E4"/>
  <c r="L4" s="1"/>
  <c r="E54" i="8"/>
  <c r="L54" s="1"/>
  <c r="I54" s="1"/>
  <c r="O54" s="1"/>
  <c r="E53"/>
  <c r="L53" s="1"/>
  <c r="I53" s="1"/>
  <c r="O53" s="1"/>
  <c r="E52"/>
  <c r="L52" s="1"/>
  <c r="I52" s="1"/>
  <c r="O52" s="1"/>
  <c r="E51"/>
  <c r="L51" s="1"/>
  <c r="I51" s="1"/>
  <c r="O51" s="1"/>
  <c r="E50"/>
  <c r="L50" s="1"/>
  <c r="I50" s="1"/>
  <c r="O50" s="1"/>
  <c r="D56"/>
  <c r="H54"/>
  <c r="H53"/>
  <c r="H52"/>
  <c r="H51"/>
  <c r="H50"/>
  <c r="J23"/>
  <c r="J26"/>
  <c r="J4"/>
  <c r="J38"/>
  <c r="J5"/>
  <c r="J8"/>
  <c r="J10"/>
  <c r="N56"/>
  <c r="M56"/>
  <c r="K56"/>
  <c r="H55"/>
  <c r="E55"/>
  <c r="L55" s="1"/>
  <c r="I55" s="1"/>
  <c r="O55" s="1"/>
  <c r="H49"/>
  <c r="E49"/>
  <c r="L49" s="1"/>
  <c r="I49" s="1"/>
  <c r="O49" s="1"/>
  <c r="H48"/>
  <c r="E48"/>
  <c r="H47"/>
  <c r="E47"/>
  <c r="L47" s="1"/>
  <c r="I47" s="1"/>
  <c r="O47" s="1"/>
  <c r="H46"/>
  <c r="E46"/>
  <c r="L46" s="1"/>
  <c r="I46" s="1"/>
  <c r="O46" s="1"/>
  <c r="H45"/>
  <c r="E45"/>
  <c r="L45" s="1"/>
  <c r="I45" s="1"/>
  <c r="O45" s="1"/>
  <c r="H44"/>
  <c r="E44"/>
  <c r="L44" s="1"/>
  <c r="I44" s="1"/>
  <c r="O44" s="1"/>
  <c r="H43"/>
  <c r="E43"/>
  <c r="L43" s="1"/>
  <c r="I43" s="1"/>
  <c r="H42"/>
  <c r="E42"/>
  <c r="L42" s="1"/>
  <c r="I42" s="1"/>
  <c r="O42" s="1"/>
  <c r="H41"/>
  <c r="E41"/>
  <c r="L41" s="1"/>
  <c r="I41" s="1"/>
  <c r="O41" s="1"/>
  <c r="H40"/>
  <c r="E40"/>
  <c r="L40" s="1"/>
  <c r="I40" s="1"/>
  <c r="O40" s="1"/>
  <c r="H39"/>
  <c r="E39"/>
  <c r="L39" s="1"/>
  <c r="I39" s="1"/>
  <c r="O39" s="1"/>
  <c r="H38"/>
  <c r="E38"/>
  <c r="L38" s="1"/>
  <c r="I38" s="1"/>
  <c r="H37"/>
  <c r="E37"/>
  <c r="L37" s="1"/>
  <c r="I37" s="1"/>
  <c r="O37" s="1"/>
  <c r="H36"/>
  <c r="E36"/>
  <c r="L36" s="1"/>
  <c r="I36" s="1"/>
  <c r="O36" s="1"/>
  <c r="H35"/>
  <c r="E35"/>
  <c r="H34"/>
  <c r="E34"/>
  <c r="L34" s="1"/>
  <c r="I34" s="1"/>
  <c r="O34" s="1"/>
  <c r="H33"/>
  <c r="E33"/>
  <c r="L33" s="1"/>
  <c r="I33" s="1"/>
  <c r="O33" s="1"/>
  <c r="H32"/>
  <c r="E32"/>
  <c r="L32" s="1"/>
  <c r="I32" s="1"/>
  <c r="O32" s="1"/>
  <c r="H31"/>
  <c r="E31"/>
  <c r="L31" s="1"/>
  <c r="I31" s="1"/>
  <c r="O31" s="1"/>
  <c r="H30"/>
  <c r="E30"/>
  <c r="L30" s="1"/>
  <c r="I30" s="1"/>
  <c r="O30" s="1"/>
  <c r="H29"/>
  <c r="E29"/>
  <c r="L29" s="1"/>
  <c r="I29" s="1"/>
  <c r="O29" s="1"/>
  <c r="H28"/>
  <c r="E28"/>
  <c r="L28" s="1"/>
  <c r="I28" s="1"/>
  <c r="O28" s="1"/>
  <c r="H27"/>
  <c r="E27"/>
  <c r="L27" s="1"/>
  <c r="I27" s="1"/>
  <c r="O27" s="1"/>
  <c r="H26"/>
  <c r="E26"/>
  <c r="L26" s="1"/>
  <c r="I26" s="1"/>
  <c r="H25"/>
  <c r="E25"/>
  <c r="L25" s="1"/>
  <c r="I25" s="1"/>
  <c r="O25" s="1"/>
  <c r="H24"/>
  <c r="E24"/>
  <c r="L24" s="1"/>
  <c r="I24" s="1"/>
  <c r="O24" s="1"/>
  <c r="H23"/>
  <c r="E23"/>
  <c r="L23" s="1"/>
  <c r="I23" s="1"/>
  <c r="H22"/>
  <c r="E22"/>
  <c r="L22" s="1"/>
  <c r="I22" s="1"/>
  <c r="O22" s="1"/>
  <c r="H21"/>
  <c r="E21"/>
  <c r="L21" s="1"/>
  <c r="I21" s="1"/>
  <c r="O21" s="1"/>
  <c r="H20"/>
  <c r="E20"/>
  <c r="L20" s="1"/>
  <c r="I20" s="1"/>
  <c r="O20" s="1"/>
  <c r="H19"/>
  <c r="E19"/>
  <c r="L19" s="1"/>
  <c r="I19" s="1"/>
  <c r="O19" s="1"/>
  <c r="H18"/>
  <c r="E18"/>
  <c r="L18" s="1"/>
  <c r="I18" s="1"/>
  <c r="O18" s="1"/>
  <c r="H17"/>
  <c r="E17"/>
  <c r="L17" s="1"/>
  <c r="I17" s="1"/>
  <c r="O17" s="1"/>
  <c r="H16"/>
  <c r="E16"/>
  <c r="L16" s="1"/>
  <c r="I16" s="1"/>
  <c r="O16" s="1"/>
  <c r="H15"/>
  <c r="E15"/>
  <c r="L15" s="1"/>
  <c r="I15" s="1"/>
  <c r="O15" s="1"/>
  <c r="H14"/>
  <c r="E14"/>
  <c r="L14" s="1"/>
  <c r="I14" s="1"/>
  <c r="O14" s="1"/>
  <c r="H13"/>
  <c r="E13"/>
  <c r="L13" s="1"/>
  <c r="I13" s="1"/>
  <c r="O13" s="1"/>
  <c r="H12"/>
  <c r="E12"/>
  <c r="L12" s="1"/>
  <c r="I12" s="1"/>
  <c r="O12" s="1"/>
  <c r="H11"/>
  <c r="E11"/>
  <c r="L11" s="1"/>
  <c r="I11" s="1"/>
  <c r="O11" s="1"/>
  <c r="H10"/>
  <c r="E10"/>
  <c r="L10" s="1"/>
  <c r="I10" s="1"/>
  <c r="O10" s="1"/>
  <c r="H9"/>
  <c r="E9"/>
  <c r="L9" s="1"/>
  <c r="I9" s="1"/>
  <c r="O9" s="1"/>
  <c r="H8"/>
  <c r="E8"/>
  <c r="L8" s="1"/>
  <c r="I8" s="1"/>
  <c r="H7"/>
  <c r="E7"/>
  <c r="L7" s="1"/>
  <c r="I7" s="1"/>
  <c r="O7" s="1"/>
  <c r="H6"/>
  <c r="E6"/>
  <c r="L6" s="1"/>
  <c r="I6" s="1"/>
  <c r="O6" s="1"/>
  <c r="H5"/>
  <c r="E5"/>
  <c r="L5" s="1"/>
  <c r="I5" s="1"/>
  <c r="H4"/>
  <c r="E4"/>
  <c r="L4" s="1"/>
  <c r="Q44" i="9" l="1"/>
  <c r="Q10"/>
  <c r="I29" i="10"/>
  <c r="I6"/>
  <c r="O6" s="1"/>
  <c r="L5"/>
  <c r="I5" s="1"/>
  <c r="L9"/>
  <c r="I9" s="1"/>
  <c r="O9" s="1"/>
  <c r="L28"/>
  <c r="I28" s="1"/>
  <c r="O28" s="1"/>
  <c r="Q28"/>
  <c r="L44"/>
  <c r="I44" s="1"/>
  <c r="O44" s="1"/>
  <c r="Q44"/>
  <c r="I41"/>
  <c r="O41" s="1"/>
  <c r="L10"/>
  <c r="I10" s="1"/>
  <c r="O10" s="1"/>
  <c r="I34"/>
  <c r="O34" s="1"/>
  <c r="L8"/>
  <c r="I8"/>
  <c r="L35"/>
  <c r="I35"/>
  <c r="O36"/>
  <c r="Q7" i="9"/>
  <c r="Q40"/>
  <c r="Q9"/>
  <c r="L54"/>
  <c r="Q3"/>
  <c r="Q38"/>
  <c r="O53"/>
  <c r="I4"/>
  <c r="I45"/>
  <c r="O45" s="1"/>
  <c r="L35" i="8"/>
  <c r="T35"/>
  <c r="L48"/>
  <c r="I48" s="1"/>
  <c r="O48" s="1"/>
  <c r="T48"/>
  <c r="O5"/>
  <c r="O43"/>
  <c r="O38"/>
  <c r="O23"/>
  <c r="O26"/>
  <c r="O8"/>
  <c r="J56"/>
  <c r="I4"/>
  <c r="H52" i="7"/>
  <c r="E52"/>
  <c r="L52" s="1"/>
  <c r="I52" s="1"/>
  <c r="O52" s="1"/>
  <c r="G52"/>
  <c r="N54"/>
  <c r="M54"/>
  <c r="K54"/>
  <c r="J54"/>
  <c r="D54"/>
  <c r="H53"/>
  <c r="E53"/>
  <c r="L53" s="1"/>
  <c r="I53" s="1"/>
  <c r="O53" s="1"/>
  <c r="H51"/>
  <c r="E51"/>
  <c r="L51" s="1"/>
  <c r="H50"/>
  <c r="E50"/>
  <c r="L50" s="1"/>
  <c r="I50" s="1"/>
  <c r="O50" s="1"/>
  <c r="H49"/>
  <c r="E49"/>
  <c r="L49" s="1"/>
  <c r="I49" s="1"/>
  <c r="O49" s="1"/>
  <c r="H48"/>
  <c r="E48"/>
  <c r="L48" s="1"/>
  <c r="I48" s="1"/>
  <c r="O48" s="1"/>
  <c r="H47"/>
  <c r="E47"/>
  <c r="L47" s="1"/>
  <c r="I47" s="1"/>
  <c r="O47" s="1"/>
  <c r="H46"/>
  <c r="E46"/>
  <c r="L46" s="1"/>
  <c r="I46" s="1"/>
  <c r="O46" s="1"/>
  <c r="H45"/>
  <c r="E45"/>
  <c r="L45" s="1"/>
  <c r="I45" s="1"/>
  <c r="O45" s="1"/>
  <c r="H44"/>
  <c r="E44"/>
  <c r="L44" s="1"/>
  <c r="I44" s="1"/>
  <c r="O44" s="1"/>
  <c r="H43"/>
  <c r="E43"/>
  <c r="L43" s="1"/>
  <c r="I43" s="1"/>
  <c r="O43" s="1"/>
  <c r="H42"/>
  <c r="E42"/>
  <c r="L42" s="1"/>
  <c r="I42" s="1"/>
  <c r="O42" s="1"/>
  <c r="H41"/>
  <c r="E41"/>
  <c r="L41" s="1"/>
  <c r="I41" s="1"/>
  <c r="O41" s="1"/>
  <c r="H40"/>
  <c r="E40"/>
  <c r="L40" s="1"/>
  <c r="I40" s="1"/>
  <c r="O40" s="1"/>
  <c r="H39"/>
  <c r="E39"/>
  <c r="L39" s="1"/>
  <c r="I39" s="1"/>
  <c r="O39" s="1"/>
  <c r="H38"/>
  <c r="E38"/>
  <c r="L38" s="1"/>
  <c r="I38" s="1"/>
  <c r="O38" s="1"/>
  <c r="H37"/>
  <c r="E37"/>
  <c r="L37" s="1"/>
  <c r="I37" s="1"/>
  <c r="O37" s="1"/>
  <c r="H36"/>
  <c r="E36"/>
  <c r="L36" s="1"/>
  <c r="I36" s="1"/>
  <c r="O36" s="1"/>
  <c r="H35"/>
  <c r="E35"/>
  <c r="L35" s="1"/>
  <c r="I35" s="1"/>
  <c r="O35" s="1"/>
  <c r="H34"/>
  <c r="E34"/>
  <c r="L34" s="1"/>
  <c r="I34" s="1"/>
  <c r="O34" s="1"/>
  <c r="H33"/>
  <c r="E33"/>
  <c r="L33" s="1"/>
  <c r="I33" s="1"/>
  <c r="O33" s="1"/>
  <c r="H32"/>
  <c r="E32"/>
  <c r="L32" s="1"/>
  <c r="I32" s="1"/>
  <c r="O32" s="1"/>
  <c r="H31"/>
  <c r="E31"/>
  <c r="L31" s="1"/>
  <c r="I31" s="1"/>
  <c r="O31" s="1"/>
  <c r="H30"/>
  <c r="E30"/>
  <c r="L30" s="1"/>
  <c r="I30" s="1"/>
  <c r="O30" s="1"/>
  <c r="H29"/>
  <c r="E29"/>
  <c r="L29" s="1"/>
  <c r="I29" s="1"/>
  <c r="O29" s="1"/>
  <c r="H28"/>
  <c r="E28"/>
  <c r="L28" s="1"/>
  <c r="I28" s="1"/>
  <c r="O28" s="1"/>
  <c r="H27"/>
  <c r="E27"/>
  <c r="L27" s="1"/>
  <c r="I27" s="1"/>
  <c r="O27" s="1"/>
  <c r="H26"/>
  <c r="E26"/>
  <c r="L26" s="1"/>
  <c r="I26" s="1"/>
  <c r="O26" s="1"/>
  <c r="H25"/>
  <c r="E25"/>
  <c r="L25" s="1"/>
  <c r="I25" s="1"/>
  <c r="O25" s="1"/>
  <c r="H24"/>
  <c r="E24"/>
  <c r="L24" s="1"/>
  <c r="I24" s="1"/>
  <c r="O24" s="1"/>
  <c r="H23"/>
  <c r="E23"/>
  <c r="L23" s="1"/>
  <c r="I23" s="1"/>
  <c r="O23" s="1"/>
  <c r="H22"/>
  <c r="E22"/>
  <c r="L22" s="1"/>
  <c r="I22" s="1"/>
  <c r="O22" s="1"/>
  <c r="H21"/>
  <c r="E21"/>
  <c r="L21" s="1"/>
  <c r="I21" s="1"/>
  <c r="O21" s="1"/>
  <c r="H20"/>
  <c r="E20"/>
  <c r="L20" s="1"/>
  <c r="I20" s="1"/>
  <c r="O20" s="1"/>
  <c r="H19"/>
  <c r="E19"/>
  <c r="L19" s="1"/>
  <c r="I19" s="1"/>
  <c r="O19" s="1"/>
  <c r="H18"/>
  <c r="E18"/>
  <c r="L18" s="1"/>
  <c r="I18" s="1"/>
  <c r="O18" s="1"/>
  <c r="H17"/>
  <c r="E17"/>
  <c r="L17" s="1"/>
  <c r="I17" s="1"/>
  <c r="O17" s="1"/>
  <c r="H16"/>
  <c r="E16"/>
  <c r="L16" s="1"/>
  <c r="I16" s="1"/>
  <c r="O16" s="1"/>
  <c r="H15"/>
  <c r="E15"/>
  <c r="L15" s="1"/>
  <c r="I15" s="1"/>
  <c r="O15" s="1"/>
  <c r="H14"/>
  <c r="E14"/>
  <c r="L14" s="1"/>
  <c r="I14" s="1"/>
  <c r="O14" s="1"/>
  <c r="H13"/>
  <c r="E13"/>
  <c r="L13" s="1"/>
  <c r="I13" s="1"/>
  <c r="O13" s="1"/>
  <c r="H12"/>
  <c r="E12"/>
  <c r="L12" s="1"/>
  <c r="I12" s="1"/>
  <c r="O12" s="1"/>
  <c r="H11"/>
  <c r="E11"/>
  <c r="L11" s="1"/>
  <c r="I11" s="1"/>
  <c r="O11" s="1"/>
  <c r="H10"/>
  <c r="E10"/>
  <c r="L10" s="1"/>
  <c r="I10" s="1"/>
  <c r="O10" s="1"/>
  <c r="H9"/>
  <c r="E9"/>
  <c r="L9" s="1"/>
  <c r="I9" s="1"/>
  <c r="O9" s="1"/>
  <c r="H8"/>
  <c r="E8"/>
  <c r="L8" s="1"/>
  <c r="I8" s="1"/>
  <c r="O8" s="1"/>
  <c r="H7"/>
  <c r="E7"/>
  <c r="L7" s="1"/>
  <c r="I7" s="1"/>
  <c r="O7" s="1"/>
  <c r="H6"/>
  <c r="E6"/>
  <c r="H5"/>
  <c r="E5"/>
  <c r="L5" s="1"/>
  <c r="I5" s="1"/>
  <c r="O5" s="1"/>
  <c r="H4"/>
  <c r="E4"/>
  <c r="L4" s="1"/>
  <c r="V53" i="5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I54" i="9" l="1"/>
  <c r="O8" i="10"/>
  <c r="L53"/>
  <c r="O29"/>
  <c r="I53"/>
  <c r="O5"/>
  <c r="O35"/>
  <c r="O4"/>
  <c r="O4" i="9"/>
  <c r="O54" s="1"/>
  <c r="L56" i="8"/>
  <c r="I35"/>
  <c r="O35" s="1"/>
  <c r="I51" i="7"/>
  <c r="O51" s="1"/>
  <c r="O4" i="8"/>
  <c r="I56"/>
  <c r="I4" i="7"/>
  <c r="L6"/>
  <c r="I6" s="1"/>
  <c r="O6" s="1"/>
  <c r="R8" i="6"/>
  <c r="E54"/>
  <c r="E53"/>
  <c r="L54"/>
  <c r="L53"/>
  <c r="I53" s="1"/>
  <c r="O53" s="1"/>
  <c r="I54"/>
  <c r="O54" s="1"/>
  <c r="H54"/>
  <c r="H53"/>
  <c r="J10"/>
  <c r="J24"/>
  <c r="J43"/>
  <c r="J8"/>
  <c r="J20"/>
  <c r="J4"/>
  <c r="J34"/>
  <c r="N56"/>
  <c r="M56"/>
  <c r="K56"/>
  <c r="D56"/>
  <c r="H55"/>
  <c r="E55"/>
  <c r="L55" s="1"/>
  <c r="I55" s="1"/>
  <c r="O55" s="1"/>
  <c r="H52"/>
  <c r="E52"/>
  <c r="L52" s="1"/>
  <c r="I52" s="1"/>
  <c r="O52" s="1"/>
  <c r="H51"/>
  <c r="E51"/>
  <c r="L51" s="1"/>
  <c r="I51" s="1"/>
  <c r="O51" s="1"/>
  <c r="H50"/>
  <c r="E50"/>
  <c r="L50" s="1"/>
  <c r="I50" s="1"/>
  <c r="O50" s="1"/>
  <c r="H49"/>
  <c r="E49"/>
  <c r="L49" s="1"/>
  <c r="I49" s="1"/>
  <c r="O49" s="1"/>
  <c r="H48"/>
  <c r="E48"/>
  <c r="L48" s="1"/>
  <c r="I48" s="1"/>
  <c r="H47"/>
  <c r="E47"/>
  <c r="L47" s="1"/>
  <c r="I47" s="1"/>
  <c r="O47" s="1"/>
  <c r="H46"/>
  <c r="E46"/>
  <c r="L46" s="1"/>
  <c r="I46" s="1"/>
  <c r="O46" s="1"/>
  <c r="H45"/>
  <c r="E45"/>
  <c r="L45" s="1"/>
  <c r="I45" s="1"/>
  <c r="O45" s="1"/>
  <c r="H44"/>
  <c r="E44"/>
  <c r="L44" s="1"/>
  <c r="I44" s="1"/>
  <c r="O44" s="1"/>
  <c r="H43"/>
  <c r="E43"/>
  <c r="L43" s="1"/>
  <c r="I43" s="1"/>
  <c r="H42"/>
  <c r="E42"/>
  <c r="L42" s="1"/>
  <c r="I42" s="1"/>
  <c r="O42" s="1"/>
  <c r="H41"/>
  <c r="E41"/>
  <c r="L41" s="1"/>
  <c r="I41" s="1"/>
  <c r="O41" s="1"/>
  <c r="H40"/>
  <c r="E40"/>
  <c r="L40" s="1"/>
  <c r="I40" s="1"/>
  <c r="O40" s="1"/>
  <c r="H39"/>
  <c r="E39"/>
  <c r="L39" s="1"/>
  <c r="I39" s="1"/>
  <c r="O39" s="1"/>
  <c r="H38"/>
  <c r="E38"/>
  <c r="L38" s="1"/>
  <c r="I38" s="1"/>
  <c r="O38" s="1"/>
  <c r="H37"/>
  <c r="E37"/>
  <c r="L37" s="1"/>
  <c r="I37" s="1"/>
  <c r="O37" s="1"/>
  <c r="H36"/>
  <c r="E36"/>
  <c r="L36" s="1"/>
  <c r="I36" s="1"/>
  <c r="O36" s="1"/>
  <c r="H35"/>
  <c r="E35"/>
  <c r="L35" s="1"/>
  <c r="I35" s="1"/>
  <c r="O35" s="1"/>
  <c r="H34"/>
  <c r="E34"/>
  <c r="L34" s="1"/>
  <c r="I34" s="1"/>
  <c r="H33"/>
  <c r="E33"/>
  <c r="L33" s="1"/>
  <c r="I33" s="1"/>
  <c r="O33" s="1"/>
  <c r="H32"/>
  <c r="E32"/>
  <c r="L32" s="1"/>
  <c r="I32" s="1"/>
  <c r="O32" s="1"/>
  <c r="H31"/>
  <c r="E31"/>
  <c r="L31" s="1"/>
  <c r="I31" s="1"/>
  <c r="O31" s="1"/>
  <c r="H29"/>
  <c r="E29"/>
  <c r="L29" s="1"/>
  <c r="I29" s="1"/>
  <c r="O29" s="1"/>
  <c r="H28"/>
  <c r="E28"/>
  <c r="L28" s="1"/>
  <c r="I28" s="1"/>
  <c r="O28" s="1"/>
  <c r="H27"/>
  <c r="E27"/>
  <c r="L27" s="1"/>
  <c r="I27" s="1"/>
  <c r="O27" s="1"/>
  <c r="H26"/>
  <c r="E26"/>
  <c r="L26" s="1"/>
  <c r="I26" s="1"/>
  <c r="O26" s="1"/>
  <c r="H25"/>
  <c r="E25"/>
  <c r="L25" s="1"/>
  <c r="I25" s="1"/>
  <c r="O25" s="1"/>
  <c r="H24"/>
  <c r="E24"/>
  <c r="L24" s="1"/>
  <c r="I24" s="1"/>
  <c r="H23"/>
  <c r="E23"/>
  <c r="L23" s="1"/>
  <c r="I23" s="1"/>
  <c r="O23" s="1"/>
  <c r="H22"/>
  <c r="E22"/>
  <c r="L22" s="1"/>
  <c r="I22" s="1"/>
  <c r="O22" s="1"/>
  <c r="H21"/>
  <c r="E21"/>
  <c r="L21" s="1"/>
  <c r="I21" s="1"/>
  <c r="O21" s="1"/>
  <c r="H20"/>
  <c r="E20"/>
  <c r="L20" s="1"/>
  <c r="I20" s="1"/>
  <c r="H19"/>
  <c r="E19"/>
  <c r="L19" s="1"/>
  <c r="I19" s="1"/>
  <c r="O19" s="1"/>
  <c r="H18"/>
  <c r="E18"/>
  <c r="L18" s="1"/>
  <c r="I18" s="1"/>
  <c r="O18" s="1"/>
  <c r="H17"/>
  <c r="E17"/>
  <c r="L17" s="1"/>
  <c r="I17" s="1"/>
  <c r="O17" s="1"/>
  <c r="H16"/>
  <c r="E16"/>
  <c r="L16" s="1"/>
  <c r="I16" s="1"/>
  <c r="O16" s="1"/>
  <c r="H15"/>
  <c r="E15"/>
  <c r="L15" s="1"/>
  <c r="I15" s="1"/>
  <c r="O15" s="1"/>
  <c r="H14"/>
  <c r="E14"/>
  <c r="L14" s="1"/>
  <c r="I14" s="1"/>
  <c r="O14" s="1"/>
  <c r="H13"/>
  <c r="E13"/>
  <c r="L13" s="1"/>
  <c r="I13" s="1"/>
  <c r="O13" s="1"/>
  <c r="H12"/>
  <c r="E12"/>
  <c r="L12" s="1"/>
  <c r="I12" s="1"/>
  <c r="O12" s="1"/>
  <c r="H11"/>
  <c r="E11"/>
  <c r="L11" s="1"/>
  <c r="I11" s="1"/>
  <c r="O11" s="1"/>
  <c r="H10"/>
  <c r="E10"/>
  <c r="L10" s="1"/>
  <c r="I10" s="1"/>
  <c r="O10" s="1"/>
  <c r="H9"/>
  <c r="E9"/>
  <c r="L9" s="1"/>
  <c r="I9" s="1"/>
  <c r="O9" s="1"/>
  <c r="H8"/>
  <c r="E8"/>
  <c r="L8" s="1"/>
  <c r="I8" s="1"/>
  <c r="O8" s="1"/>
  <c r="H7"/>
  <c r="E7"/>
  <c r="L7" s="1"/>
  <c r="I7" s="1"/>
  <c r="O7" s="1"/>
  <c r="H6"/>
  <c r="E6"/>
  <c r="J5"/>
  <c r="H5"/>
  <c r="E5"/>
  <c r="L5" s="1"/>
  <c r="I5" s="1"/>
  <c r="O5" s="1"/>
  <c r="H4"/>
  <c r="E4"/>
  <c r="L4" s="1"/>
  <c r="H52" i="5"/>
  <c r="E52"/>
  <c r="L52" s="1"/>
  <c r="I52" s="1"/>
  <c r="O52" s="1"/>
  <c r="H51"/>
  <c r="E51"/>
  <c r="L51" s="1"/>
  <c r="I51" s="1"/>
  <c r="O51" s="1"/>
  <c r="H50"/>
  <c r="E50"/>
  <c r="L50" s="1"/>
  <c r="I50" s="1"/>
  <c r="O50" s="1"/>
  <c r="H49"/>
  <c r="E49"/>
  <c r="L49" s="1"/>
  <c r="I49" s="1"/>
  <c r="O49" s="1"/>
  <c r="H48"/>
  <c r="E48"/>
  <c r="L48" s="1"/>
  <c r="I48" s="1"/>
  <c r="O48" s="1"/>
  <c r="E27"/>
  <c r="L27" s="1"/>
  <c r="I27" s="1"/>
  <c r="O27" s="1"/>
  <c r="E4"/>
  <c r="L4" s="1"/>
  <c r="H53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J43"/>
  <c r="J32"/>
  <c r="J20"/>
  <c r="J10"/>
  <c r="J5"/>
  <c r="J4"/>
  <c r="N54"/>
  <c r="M54"/>
  <c r="D54"/>
  <c r="E53"/>
  <c r="L53" s="1"/>
  <c r="I53" s="1"/>
  <c r="O53" s="1"/>
  <c r="E47"/>
  <c r="L47" s="1"/>
  <c r="I47" s="1"/>
  <c r="O47" s="1"/>
  <c r="E46"/>
  <c r="L46" s="1"/>
  <c r="I46" s="1"/>
  <c r="O46" s="1"/>
  <c r="E45"/>
  <c r="L45" s="1"/>
  <c r="I45" s="1"/>
  <c r="O45" s="1"/>
  <c r="E44"/>
  <c r="L44" s="1"/>
  <c r="I44" s="1"/>
  <c r="O44" s="1"/>
  <c r="K54"/>
  <c r="E43"/>
  <c r="L43" s="1"/>
  <c r="I43" s="1"/>
  <c r="E42"/>
  <c r="L42" s="1"/>
  <c r="I42" s="1"/>
  <c r="O42" s="1"/>
  <c r="E41"/>
  <c r="L41" s="1"/>
  <c r="I41" s="1"/>
  <c r="O41" s="1"/>
  <c r="E40"/>
  <c r="L40" s="1"/>
  <c r="I40" s="1"/>
  <c r="O40" s="1"/>
  <c r="E39"/>
  <c r="L39" s="1"/>
  <c r="I39" s="1"/>
  <c r="O39" s="1"/>
  <c r="E38"/>
  <c r="L38" s="1"/>
  <c r="I38" s="1"/>
  <c r="O38" s="1"/>
  <c r="E37"/>
  <c r="L37" s="1"/>
  <c r="I37" s="1"/>
  <c r="O37" s="1"/>
  <c r="E36"/>
  <c r="L36" s="1"/>
  <c r="I36" s="1"/>
  <c r="O36" s="1"/>
  <c r="E35"/>
  <c r="L35" s="1"/>
  <c r="I35" s="1"/>
  <c r="O35" s="1"/>
  <c r="E34"/>
  <c r="L34" s="1"/>
  <c r="I34" s="1"/>
  <c r="O34" s="1"/>
  <c r="E33"/>
  <c r="L33" s="1"/>
  <c r="I33" s="1"/>
  <c r="O33" s="1"/>
  <c r="E32"/>
  <c r="L32" s="1"/>
  <c r="I32" s="1"/>
  <c r="E31"/>
  <c r="L31" s="1"/>
  <c r="I31" s="1"/>
  <c r="O31" s="1"/>
  <c r="E30"/>
  <c r="L30" s="1"/>
  <c r="I30" s="1"/>
  <c r="O30" s="1"/>
  <c r="E29"/>
  <c r="L29" s="1"/>
  <c r="I29" s="1"/>
  <c r="O29" s="1"/>
  <c r="E28"/>
  <c r="L28" s="1"/>
  <c r="I28" s="1"/>
  <c r="O28" s="1"/>
  <c r="E26"/>
  <c r="L26" s="1"/>
  <c r="I26" s="1"/>
  <c r="O26" s="1"/>
  <c r="E25"/>
  <c r="L25" s="1"/>
  <c r="I25" s="1"/>
  <c r="O25" s="1"/>
  <c r="E24"/>
  <c r="L24" s="1"/>
  <c r="I24" s="1"/>
  <c r="O24" s="1"/>
  <c r="E23"/>
  <c r="L23" s="1"/>
  <c r="I23" s="1"/>
  <c r="O23" s="1"/>
  <c r="E22"/>
  <c r="L22" s="1"/>
  <c r="I22" s="1"/>
  <c r="O22" s="1"/>
  <c r="E21"/>
  <c r="L21" s="1"/>
  <c r="I21" s="1"/>
  <c r="O21" s="1"/>
  <c r="E20"/>
  <c r="L20" s="1"/>
  <c r="I20" s="1"/>
  <c r="E19"/>
  <c r="L19" s="1"/>
  <c r="I19" s="1"/>
  <c r="O19" s="1"/>
  <c r="E18"/>
  <c r="L18" s="1"/>
  <c r="I18" s="1"/>
  <c r="O18" s="1"/>
  <c r="E17"/>
  <c r="L17" s="1"/>
  <c r="I17" s="1"/>
  <c r="O17" s="1"/>
  <c r="E16"/>
  <c r="L16" s="1"/>
  <c r="I16" s="1"/>
  <c r="O16" s="1"/>
  <c r="E15"/>
  <c r="L15" s="1"/>
  <c r="I15" s="1"/>
  <c r="O15" s="1"/>
  <c r="E14"/>
  <c r="L14" s="1"/>
  <c r="I14" s="1"/>
  <c r="O14" s="1"/>
  <c r="E13"/>
  <c r="L13" s="1"/>
  <c r="I13" s="1"/>
  <c r="O13" s="1"/>
  <c r="E12"/>
  <c r="L12" s="1"/>
  <c r="I12" s="1"/>
  <c r="O12" s="1"/>
  <c r="E11"/>
  <c r="L11" s="1"/>
  <c r="I11" s="1"/>
  <c r="O11" s="1"/>
  <c r="E10"/>
  <c r="L10" s="1"/>
  <c r="I10" s="1"/>
  <c r="E9"/>
  <c r="L9" s="1"/>
  <c r="I9" s="1"/>
  <c r="O9" s="1"/>
  <c r="E8"/>
  <c r="L8" s="1"/>
  <c r="I8" s="1"/>
  <c r="O8" s="1"/>
  <c r="E7"/>
  <c r="L7" s="1"/>
  <c r="I7" s="1"/>
  <c r="O7" s="1"/>
  <c r="E6"/>
  <c r="L6" s="1"/>
  <c r="I6" s="1"/>
  <c r="O6" s="1"/>
  <c r="E5"/>
  <c r="L5" s="1"/>
  <c r="I5" s="1"/>
  <c r="J57" i="4"/>
  <c r="H45"/>
  <c r="L45"/>
  <c r="I45" s="1"/>
  <c r="O45" s="1"/>
  <c r="E45"/>
  <c r="E33"/>
  <c r="L33" s="1"/>
  <c r="I33" s="1"/>
  <c r="O33" s="1"/>
  <c r="H33"/>
  <c r="O56"/>
  <c r="O52"/>
  <c r="O48"/>
  <c r="O43"/>
  <c r="O39"/>
  <c r="O35"/>
  <c r="K49"/>
  <c r="E55"/>
  <c r="L55" s="1"/>
  <c r="I55" s="1"/>
  <c r="O55" s="1"/>
  <c r="E54"/>
  <c r="L54" s="1"/>
  <c r="I54" s="1"/>
  <c r="O54" s="1"/>
  <c r="E53"/>
  <c r="H56"/>
  <c r="H55"/>
  <c r="H54"/>
  <c r="L53"/>
  <c r="I53" s="1"/>
  <c r="O53" s="1"/>
  <c r="H53"/>
  <c r="K57"/>
  <c r="H4"/>
  <c r="N57"/>
  <c r="M57"/>
  <c r="D57"/>
  <c r="E56"/>
  <c r="L56" s="1"/>
  <c r="I56" s="1"/>
  <c r="H52"/>
  <c r="E52"/>
  <c r="L52" s="1"/>
  <c r="I52" s="1"/>
  <c r="H51"/>
  <c r="E51"/>
  <c r="L51" s="1"/>
  <c r="I51" s="1"/>
  <c r="O51" s="1"/>
  <c r="H50"/>
  <c r="E50"/>
  <c r="L50" s="1"/>
  <c r="I50" s="1"/>
  <c r="O50" s="1"/>
  <c r="H49"/>
  <c r="E49"/>
  <c r="L49" s="1"/>
  <c r="I49" s="1"/>
  <c r="H48"/>
  <c r="E48"/>
  <c r="L48" s="1"/>
  <c r="I48" s="1"/>
  <c r="H47"/>
  <c r="E47"/>
  <c r="L47" s="1"/>
  <c r="I47" s="1"/>
  <c r="O47" s="1"/>
  <c r="H46"/>
  <c r="E46"/>
  <c r="L46" s="1"/>
  <c r="I46" s="1"/>
  <c r="O46" s="1"/>
  <c r="H44"/>
  <c r="E44"/>
  <c r="L44" s="1"/>
  <c r="I44" s="1"/>
  <c r="O44" s="1"/>
  <c r="H43"/>
  <c r="E43"/>
  <c r="L43" s="1"/>
  <c r="I43" s="1"/>
  <c r="H42"/>
  <c r="E42"/>
  <c r="L42" s="1"/>
  <c r="I42" s="1"/>
  <c r="O42" s="1"/>
  <c r="H41"/>
  <c r="E41"/>
  <c r="L41" s="1"/>
  <c r="I41" s="1"/>
  <c r="O41" s="1"/>
  <c r="H40"/>
  <c r="E40"/>
  <c r="L40" s="1"/>
  <c r="I40" s="1"/>
  <c r="O40" s="1"/>
  <c r="H39"/>
  <c r="E39"/>
  <c r="L39" s="1"/>
  <c r="I39" s="1"/>
  <c r="H38"/>
  <c r="E38"/>
  <c r="L38" s="1"/>
  <c r="I38" s="1"/>
  <c r="O38" s="1"/>
  <c r="H37"/>
  <c r="E37"/>
  <c r="L37" s="1"/>
  <c r="I37" s="1"/>
  <c r="O37" s="1"/>
  <c r="H36"/>
  <c r="E36"/>
  <c r="L36" s="1"/>
  <c r="I36" s="1"/>
  <c r="O36" s="1"/>
  <c r="H35"/>
  <c r="E35"/>
  <c r="L35" s="1"/>
  <c r="I35" s="1"/>
  <c r="H34"/>
  <c r="E34"/>
  <c r="L34" s="1"/>
  <c r="I34" s="1"/>
  <c r="O34" s="1"/>
  <c r="H31"/>
  <c r="E31"/>
  <c r="L31" s="1"/>
  <c r="I31" s="1"/>
  <c r="O31" s="1"/>
  <c r="H30"/>
  <c r="E30"/>
  <c r="L30" s="1"/>
  <c r="I30" s="1"/>
  <c r="O30" s="1"/>
  <c r="H29"/>
  <c r="E29"/>
  <c r="L29" s="1"/>
  <c r="I29" s="1"/>
  <c r="O29" s="1"/>
  <c r="H28"/>
  <c r="E28"/>
  <c r="L28" s="1"/>
  <c r="I28" s="1"/>
  <c r="O28" s="1"/>
  <c r="H27"/>
  <c r="E27"/>
  <c r="L27" s="1"/>
  <c r="I27" s="1"/>
  <c r="O27" s="1"/>
  <c r="H26"/>
  <c r="E26"/>
  <c r="L26" s="1"/>
  <c r="I26" s="1"/>
  <c r="O26" s="1"/>
  <c r="H25"/>
  <c r="E25"/>
  <c r="L25" s="1"/>
  <c r="I25" s="1"/>
  <c r="O25" s="1"/>
  <c r="H24"/>
  <c r="E24"/>
  <c r="L24" s="1"/>
  <c r="I24" s="1"/>
  <c r="O24" s="1"/>
  <c r="H23"/>
  <c r="E23"/>
  <c r="L23" s="1"/>
  <c r="I23" s="1"/>
  <c r="O23" s="1"/>
  <c r="H22"/>
  <c r="E22"/>
  <c r="L22" s="1"/>
  <c r="I22" s="1"/>
  <c r="O22" s="1"/>
  <c r="H21"/>
  <c r="E21"/>
  <c r="L21" s="1"/>
  <c r="I21" s="1"/>
  <c r="O21" s="1"/>
  <c r="H20"/>
  <c r="E20"/>
  <c r="L20" s="1"/>
  <c r="I20" s="1"/>
  <c r="O20" s="1"/>
  <c r="H19"/>
  <c r="E19"/>
  <c r="L19" s="1"/>
  <c r="I19" s="1"/>
  <c r="O19" s="1"/>
  <c r="H18"/>
  <c r="E18"/>
  <c r="L18" s="1"/>
  <c r="I18" s="1"/>
  <c r="O18" s="1"/>
  <c r="H17"/>
  <c r="E17"/>
  <c r="L17" s="1"/>
  <c r="I17" s="1"/>
  <c r="O17" s="1"/>
  <c r="H16"/>
  <c r="E16"/>
  <c r="L16" s="1"/>
  <c r="I16" s="1"/>
  <c r="O16" s="1"/>
  <c r="H15"/>
  <c r="E15"/>
  <c r="L15" s="1"/>
  <c r="I15" s="1"/>
  <c r="O15" s="1"/>
  <c r="H14"/>
  <c r="E14"/>
  <c r="L14" s="1"/>
  <c r="I14" s="1"/>
  <c r="O14" s="1"/>
  <c r="H13"/>
  <c r="E13"/>
  <c r="L13" s="1"/>
  <c r="I13" s="1"/>
  <c r="O13" s="1"/>
  <c r="H12"/>
  <c r="E12"/>
  <c r="L12" s="1"/>
  <c r="I12" s="1"/>
  <c r="O12" s="1"/>
  <c r="H11"/>
  <c r="E11"/>
  <c r="L11" s="1"/>
  <c r="I11" s="1"/>
  <c r="O11" s="1"/>
  <c r="H10"/>
  <c r="E10"/>
  <c r="L10" s="1"/>
  <c r="I10" s="1"/>
  <c r="O10" s="1"/>
  <c r="H9"/>
  <c r="E9"/>
  <c r="L9" s="1"/>
  <c r="I9" s="1"/>
  <c r="O9" s="1"/>
  <c r="H8"/>
  <c r="E8"/>
  <c r="L8" s="1"/>
  <c r="I8" s="1"/>
  <c r="O8" s="1"/>
  <c r="H7"/>
  <c r="E7"/>
  <c r="L7" s="1"/>
  <c r="I7" s="1"/>
  <c r="O7" s="1"/>
  <c r="H6"/>
  <c r="E6"/>
  <c r="L6" s="1"/>
  <c r="I6" s="1"/>
  <c r="O6" s="1"/>
  <c r="H5"/>
  <c r="E5"/>
  <c r="L5" s="1"/>
  <c r="I5" s="1"/>
  <c r="O5" s="1"/>
  <c r="E4"/>
  <c r="L4" s="1"/>
  <c r="I4" s="1"/>
  <c r="M58" i="3"/>
  <c r="L58"/>
  <c r="J58"/>
  <c r="Q36"/>
  <c r="Q38" s="1"/>
  <c r="Q40" s="1"/>
  <c r="R40" s="1"/>
  <c r="E5"/>
  <c r="K5" s="1"/>
  <c r="E56"/>
  <c r="K56" s="1"/>
  <c r="I56" s="1"/>
  <c r="N56" s="1"/>
  <c r="E52"/>
  <c r="K52" s="1"/>
  <c r="I52" s="1"/>
  <c r="N52" s="1"/>
  <c r="E53"/>
  <c r="K53" s="1"/>
  <c r="I53" s="1"/>
  <c r="N53" s="1"/>
  <c r="E54"/>
  <c r="K54" s="1"/>
  <c r="I54" s="1"/>
  <c r="N54" s="1"/>
  <c r="E55"/>
  <c r="K55" s="1"/>
  <c r="O53" i="10" l="1"/>
  <c r="O56" i="8"/>
  <c r="O49" i="4"/>
  <c r="J56" i="6"/>
  <c r="I57" i="4"/>
  <c r="L6" i="6"/>
  <c r="I6" s="1"/>
  <c r="O6" s="1"/>
  <c r="Q6"/>
  <c r="L54" i="7"/>
  <c r="I54"/>
  <c r="O4"/>
  <c r="O54" s="1"/>
  <c r="O4" i="4"/>
  <c r="O48" i="6"/>
  <c r="S8"/>
  <c r="O34"/>
  <c r="O20"/>
  <c r="O43"/>
  <c r="O24"/>
  <c r="L56"/>
  <c r="I4"/>
  <c r="O4" s="1"/>
  <c r="O10" i="5"/>
  <c r="O5"/>
  <c r="O20"/>
  <c r="J54"/>
  <c r="O43"/>
  <c r="O32"/>
  <c r="L54"/>
  <c r="I4"/>
  <c r="L57" i="4"/>
  <c r="I55" i="3"/>
  <c r="N55" s="1"/>
  <c r="H57"/>
  <c r="H56"/>
  <c r="H55"/>
  <c r="H54"/>
  <c r="H53"/>
  <c r="H52"/>
  <c r="H51"/>
  <c r="H50"/>
  <c r="E51"/>
  <c r="K51" s="1"/>
  <c r="I51" s="1"/>
  <c r="N51" s="1"/>
  <c r="E50"/>
  <c r="K50" s="1"/>
  <c r="I50" s="1"/>
  <c r="N50" s="1"/>
  <c r="H49"/>
  <c r="H48"/>
  <c r="H47"/>
  <c r="H46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D58"/>
  <c r="E57"/>
  <c r="E49"/>
  <c r="K49" s="1"/>
  <c r="I49" s="1"/>
  <c r="N49" s="1"/>
  <c r="E48"/>
  <c r="K48" s="1"/>
  <c r="E47"/>
  <c r="K47" s="1"/>
  <c r="I47" s="1"/>
  <c r="N47" s="1"/>
  <c r="E46"/>
  <c r="K46" s="1"/>
  <c r="I46" s="1"/>
  <c r="N46" s="1"/>
  <c r="E45"/>
  <c r="K45" s="1"/>
  <c r="I45" s="1"/>
  <c r="N45" s="1"/>
  <c r="E44"/>
  <c r="K44" s="1"/>
  <c r="I44" s="1"/>
  <c r="N44" s="1"/>
  <c r="E43"/>
  <c r="K43" s="1"/>
  <c r="I43" s="1"/>
  <c r="N43" s="1"/>
  <c r="E42"/>
  <c r="K42" s="1"/>
  <c r="I42" s="1"/>
  <c r="N42" s="1"/>
  <c r="E41"/>
  <c r="K41" s="1"/>
  <c r="I41" s="1"/>
  <c r="N41" s="1"/>
  <c r="E40"/>
  <c r="K40" s="1"/>
  <c r="I40" s="1"/>
  <c r="N40" s="1"/>
  <c r="E39"/>
  <c r="K39" s="1"/>
  <c r="I39" s="1"/>
  <c r="N39" s="1"/>
  <c r="E38"/>
  <c r="K38" s="1"/>
  <c r="E37"/>
  <c r="K37" s="1"/>
  <c r="I37" s="1"/>
  <c r="N37" s="1"/>
  <c r="E36"/>
  <c r="K36" s="1"/>
  <c r="I36" s="1"/>
  <c r="N36" s="1"/>
  <c r="E35"/>
  <c r="K35" s="1"/>
  <c r="I35" s="1"/>
  <c r="N35" s="1"/>
  <c r="E34"/>
  <c r="K34" s="1"/>
  <c r="I34" s="1"/>
  <c r="N34" s="1"/>
  <c r="E33"/>
  <c r="K33" s="1"/>
  <c r="I33" s="1"/>
  <c r="N33" s="1"/>
  <c r="E32"/>
  <c r="K32" s="1"/>
  <c r="I32" s="1"/>
  <c r="N32" s="1"/>
  <c r="E31"/>
  <c r="K31" s="1"/>
  <c r="I31" s="1"/>
  <c r="N31" s="1"/>
  <c r="E30"/>
  <c r="K30" s="1"/>
  <c r="I30" s="1"/>
  <c r="N30" s="1"/>
  <c r="E29"/>
  <c r="K29" s="1"/>
  <c r="I29" s="1"/>
  <c r="N29" s="1"/>
  <c r="E28"/>
  <c r="K28" s="1"/>
  <c r="I28" s="1"/>
  <c r="N28" s="1"/>
  <c r="E27"/>
  <c r="K27" s="1"/>
  <c r="E26"/>
  <c r="K26" s="1"/>
  <c r="I26" s="1"/>
  <c r="N26" s="1"/>
  <c r="E25"/>
  <c r="K25" s="1"/>
  <c r="I25" s="1"/>
  <c r="N25" s="1"/>
  <c r="E24"/>
  <c r="K24" s="1"/>
  <c r="I24" s="1"/>
  <c r="N24" s="1"/>
  <c r="E23"/>
  <c r="K23" s="1"/>
  <c r="I23" s="1"/>
  <c r="N23" s="1"/>
  <c r="E22"/>
  <c r="K22" s="1"/>
  <c r="I22" s="1"/>
  <c r="N22" s="1"/>
  <c r="E21"/>
  <c r="K21" s="1"/>
  <c r="I21" s="1"/>
  <c r="N21" s="1"/>
  <c r="E20"/>
  <c r="K20" s="1"/>
  <c r="I20" s="1"/>
  <c r="N20" s="1"/>
  <c r="E19"/>
  <c r="K19" s="1"/>
  <c r="I19" s="1"/>
  <c r="N19" s="1"/>
  <c r="E18"/>
  <c r="K18" s="1"/>
  <c r="I18" s="1"/>
  <c r="N18" s="1"/>
  <c r="E17"/>
  <c r="K17" s="1"/>
  <c r="I17" s="1"/>
  <c r="N17" s="1"/>
  <c r="E16"/>
  <c r="K16" s="1"/>
  <c r="I16" s="1"/>
  <c r="N16" s="1"/>
  <c r="E15"/>
  <c r="K15" s="1"/>
  <c r="I15" s="1"/>
  <c r="N15" s="1"/>
  <c r="E14"/>
  <c r="K14" s="1"/>
  <c r="I14" s="1"/>
  <c r="N14" s="1"/>
  <c r="E13"/>
  <c r="K13" s="1"/>
  <c r="I13" s="1"/>
  <c r="N13" s="1"/>
  <c r="E12"/>
  <c r="K12" s="1"/>
  <c r="I12" s="1"/>
  <c r="N12" s="1"/>
  <c r="E11"/>
  <c r="K11" s="1"/>
  <c r="I11" s="1"/>
  <c r="N11" s="1"/>
  <c r="E10"/>
  <c r="K10" s="1"/>
  <c r="E9"/>
  <c r="K9" s="1"/>
  <c r="I9" s="1"/>
  <c r="N9" s="1"/>
  <c r="E8"/>
  <c r="K8" s="1"/>
  <c r="I8" s="1"/>
  <c r="N8" s="1"/>
  <c r="E7"/>
  <c r="K7" s="1"/>
  <c r="I7" s="1"/>
  <c r="N7" s="1"/>
  <c r="E6"/>
  <c r="K6" s="1"/>
  <c r="I6" s="1"/>
  <c r="N6" s="1"/>
  <c r="O8" s="1"/>
  <c r="O9" s="1"/>
  <c r="E4"/>
  <c r="K4" s="1"/>
  <c r="H53" i="1"/>
  <c r="I53"/>
  <c r="E53"/>
  <c r="H52"/>
  <c r="H47"/>
  <c r="H48"/>
  <c r="H49"/>
  <c r="H50"/>
  <c r="H51"/>
  <c r="H41"/>
  <c r="H42"/>
  <c r="H43"/>
  <c r="H44"/>
  <c r="H45"/>
  <c r="H46"/>
  <c r="E52"/>
  <c r="L52" s="1"/>
  <c r="I52" s="1"/>
  <c r="O52" s="1"/>
  <c r="E51"/>
  <c r="L51" s="1"/>
  <c r="I51" s="1"/>
  <c r="O51" s="1"/>
  <c r="E50"/>
  <c r="L50" s="1"/>
  <c r="I50" s="1"/>
  <c r="O50" s="1"/>
  <c r="E49"/>
  <c r="L49" s="1"/>
  <c r="I49" s="1"/>
  <c r="O49" s="1"/>
  <c r="E48"/>
  <c r="L48" s="1"/>
  <c r="I48" s="1"/>
  <c r="O48" s="1"/>
  <c r="E47"/>
  <c r="L47" s="1"/>
  <c r="I47" s="1"/>
  <c r="O47" s="1"/>
  <c r="E46"/>
  <c r="L46" s="1"/>
  <c r="I46" s="1"/>
  <c r="O46" s="1"/>
  <c r="E45"/>
  <c r="L45" s="1"/>
  <c r="I45" s="1"/>
  <c r="O45" s="1"/>
  <c r="E44"/>
  <c r="L44" s="1"/>
  <c r="I44" s="1"/>
  <c r="O44" s="1"/>
  <c r="E43"/>
  <c r="L43" s="1"/>
  <c r="I43" s="1"/>
  <c r="O43" s="1"/>
  <c r="E42"/>
  <c r="L42" s="1"/>
  <c r="I42" s="1"/>
  <c r="O42" s="1"/>
  <c r="J55"/>
  <c r="G55"/>
  <c r="H40"/>
  <c r="H39"/>
  <c r="H38"/>
  <c r="H36"/>
  <c r="E40"/>
  <c r="L40" s="1"/>
  <c r="I40" s="1"/>
  <c r="O40" s="1"/>
  <c r="E39"/>
  <c r="L39" s="1"/>
  <c r="I39" s="1"/>
  <c r="O39" s="1"/>
  <c r="E38"/>
  <c r="L38" s="1"/>
  <c r="I38" s="1"/>
  <c r="O38" s="1"/>
  <c r="E36"/>
  <c r="L36" s="1"/>
  <c r="I36" s="1"/>
  <c r="O36" s="1"/>
  <c r="E34"/>
  <c r="L34" s="1"/>
  <c r="E35"/>
  <c r="L35" s="1"/>
  <c r="I35" s="1"/>
  <c r="O35" s="1"/>
  <c r="E37"/>
  <c r="L37" s="1"/>
  <c r="I37" s="1"/>
  <c r="O37" s="1"/>
  <c r="E41"/>
  <c r="L41" s="1"/>
  <c r="I41" s="1"/>
  <c r="O41" s="1"/>
  <c r="E54"/>
  <c r="L54" s="1"/>
  <c r="I54" s="1"/>
  <c r="O54" s="1"/>
  <c r="D55"/>
  <c r="E20"/>
  <c r="E21"/>
  <c r="L21" s="1"/>
  <c r="E8"/>
  <c r="E23"/>
  <c r="E24"/>
  <c r="L24" s="1"/>
  <c r="E25"/>
  <c r="E26"/>
  <c r="E27"/>
  <c r="L27" s="1"/>
  <c r="E28"/>
  <c r="E29"/>
  <c r="L29" s="1"/>
  <c r="E30"/>
  <c r="E31"/>
  <c r="E32"/>
  <c r="L32" s="1"/>
  <c r="E33"/>
  <c r="E5"/>
  <c r="L5" s="1"/>
  <c r="E6"/>
  <c r="L6" s="1"/>
  <c r="E7"/>
  <c r="L7" s="1"/>
  <c r="E22"/>
  <c r="L22" s="1"/>
  <c r="E9"/>
  <c r="L9" s="1"/>
  <c r="E10"/>
  <c r="L10" s="1"/>
  <c r="E11"/>
  <c r="L11" s="1"/>
  <c r="E12"/>
  <c r="L12" s="1"/>
  <c r="E13"/>
  <c r="L13" s="1"/>
  <c r="E14"/>
  <c r="L14" s="1"/>
  <c r="E15"/>
  <c r="L15" s="1"/>
  <c r="E16"/>
  <c r="L16" s="1"/>
  <c r="E17"/>
  <c r="L17" s="1"/>
  <c r="E18"/>
  <c r="E19"/>
  <c r="L19" s="1"/>
  <c r="E4"/>
  <c r="L4" s="1"/>
  <c r="I4" s="1"/>
  <c r="O4" s="1"/>
  <c r="H37"/>
  <c r="H33"/>
  <c r="H32"/>
  <c r="H31"/>
  <c r="H30"/>
  <c r="H29"/>
  <c r="H28"/>
  <c r="H27"/>
  <c r="H26"/>
  <c r="H25"/>
  <c r="H24"/>
  <c r="H23"/>
  <c r="H8"/>
  <c r="H21"/>
  <c r="H20"/>
  <c r="H19"/>
  <c r="H18"/>
  <c r="H17"/>
  <c r="H16"/>
  <c r="H15"/>
  <c r="H14"/>
  <c r="H13"/>
  <c r="H12"/>
  <c r="H10"/>
  <c r="H9"/>
  <c r="H22"/>
  <c r="H7"/>
  <c r="H6"/>
  <c r="H5"/>
  <c r="O56" i="6" l="1"/>
  <c r="I56"/>
  <c r="I54" i="5"/>
  <c r="O4"/>
  <c r="O54" s="1"/>
  <c r="O57" i="4"/>
  <c r="I4" i="3"/>
  <c r="N4" s="1"/>
  <c r="Q6"/>
  <c r="R6" s="1"/>
  <c r="I10"/>
  <c r="N10" s="1"/>
  <c r="I38"/>
  <c r="K57"/>
  <c r="I57" s="1"/>
  <c r="N57" s="1"/>
  <c r="I48"/>
  <c r="N48" s="1"/>
  <c r="I27"/>
  <c r="N27" s="1"/>
  <c r="I5"/>
  <c r="N5" s="1"/>
  <c r="L18" i="1"/>
  <c r="I18" s="1"/>
  <c r="O18" s="1"/>
  <c r="I16"/>
  <c r="O16" s="1"/>
  <c r="I14"/>
  <c r="O14" s="1"/>
  <c r="I12"/>
  <c r="O12" s="1"/>
  <c r="I10"/>
  <c r="O10" s="1"/>
  <c r="I22"/>
  <c r="O22" s="1"/>
  <c r="I6"/>
  <c r="L33"/>
  <c r="I33" s="1"/>
  <c r="O33" s="1"/>
  <c r="L31"/>
  <c r="I31" s="1"/>
  <c r="O31" s="1"/>
  <c r="L30"/>
  <c r="I30" s="1"/>
  <c r="O30" s="1"/>
  <c r="L28"/>
  <c r="I28" s="1"/>
  <c r="O28" s="1"/>
  <c r="L26"/>
  <c r="I26" s="1"/>
  <c r="O26" s="1"/>
  <c r="L25"/>
  <c r="I25" s="1"/>
  <c r="O25" s="1"/>
  <c r="L23"/>
  <c r="I23" s="1"/>
  <c r="O23" s="1"/>
  <c r="L8"/>
  <c r="I8" s="1"/>
  <c r="O8" s="1"/>
  <c r="L20"/>
  <c r="I20" s="1"/>
  <c r="O20" s="1"/>
  <c r="I34"/>
  <c r="O34" s="1"/>
  <c r="I29"/>
  <c r="O29" s="1"/>
  <c r="I27"/>
  <c r="O27" s="1"/>
  <c r="I24"/>
  <c r="O24" s="1"/>
  <c r="I21"/>
  <c r="O21" s="1"/>
  <c r="I19"/>
  <c r="O19" s="1"/>
  <c r="I17"/>
  <c r="O17" s="1"/>
  <c r="I15"/>
  <c r="O15" s="1"/>
  <c r="I13"/>
  <c r="O13" s="1"/>
  <c r="I11"/>
  <c r="O11" s="1"/>
  <c r="I9"/>
  <c r="O9" s="1"/>
  <c r="I7"/>
  <c r="O7" s="1"/>
  <c r="I5"/>
  <c r="K58" i="3" l="1"/>
  <c r="N38"/>
  <c r="N58" s="1"/>
  <c r="K59" s="1"/>
  <c r="O38"/>
  <c r="I58"/>
  <c r="O5" i="1"/>
  <c r="L55"/>
  <c r="I32"/>
  <c r="O32" s="1"/>
  <c r="P38" i="3" l="1"/>
  <c r="K60"/>
  <c r="I55" i="1"/>
  <c r="O55"/>
</calcChain>
</file>

<file path=xl/sharedStrings.xml><?xml version="1.0" encoding="utf-8"?>
<sst xmlns="http://schemas.openxmlformats.org/spreadsheetml/2006/main" count="1268" uniqueCount="196">
  <si>
    <t>s.no</t>
  </si>
  <si>
    <t>Name</t>
  </si>
  <si>
    <t>working day</t>
  </si>
  <si>
    <t>coming day</t>
  </si>
  <si>
    <t>leave day</t>
  </si>
  <si>
    <t>salary</t>
  </si>
  <si>
    <t>meenacthi</t>
  </si>
  <si>
    <t>Ayyanar</t>
  </si>
  <si>
    <t>selvakumar</t>
  </si>
  <si>
    <t>muthu</t>
  </si>
  <si>
    <t>subbaiya</t>
  </si>
  <si>
    <t>pitchikani</t>
  </si>
  <si>
    <t>thirukumaran</t>
  </si>
  <si>
    <t>kannan</t>
  </si>
  <si>
    <t>jothi</t>
  </si>
  <si>
    <t>lakshmi</t>
  </si>
  <si>
    <t>Bharathi</t>
  </si>
  <si>
    <t>kokila</t>
  </si>
  <si>
    <t>muthurakku</t>
  </si>
  <si>
    <t>jaya</t>
  </si>
  <si>
    <t>amutha</t>
  </si>
  <si>
    <t>eswari</t>
  </si>
  <si>
    <t>ranjith</t>
  </si>
  <si>
    <t>uma</t>
  </si>
  <si>
    <t>sudha</t>
  </si>
  <si>
    <t>soranam</t>
  </si>
  <si>
    <t>priya</t>
  </si>
  <si>
    <t>latha</t>
  </si>
  <si>
    <t>thangavel</t>
  </si>
  <si>
    <t>fazil</t>
  </si>
  <si>
    <t>praveena</t>
  </si>
  <si>
    <t>muthukrishnan</t>
  </si>
  <si>
    <t>BALANCE</t>
  </si>
  <si>
    <t>LOSSPAY</t>
  </si>
  <si>
    <t>One day sa</t>
  </si>
  <si>
    <t>debit</t>
  </si>
  <si>
    <t>advance</t>
  </si>
  <si>
    <t>PF</t>
  </si>
  <si>
    <t>ESI</t>
  </si>
  <si>
    <t>meena</t>
  </si>
  <si>
    <t>total</t>
  </si>
  <si>
    <t xml:space="preserve">            </t>
  </si>
  <si>
    <t>sundar</t>
  </si>
  <si>
    <t>sangeetha</t>
  </si>
  <si>
    <t>labour leave details april to march</t>
  </si>
  <si>
    <t>Meenacthi</t>
  </si>
  <si>
    <t>Selvakumar</t>
  </si>
  <si>
    <t>Muthu</t>
  </si>
  <si>
    <t>Thirukumaran</t>
  </si>
  <si>
    <t>Thangavelu</t>
  </si>
  <si>
    <t>Fazil</t>
  </si>
  <si>
    <t>sundrapandi</t>
  </si>
  <si>
    <t>Kokila</t>
  </si>
  <si>
    <t>Eswari</t>
  </si>
  <si>
    <t>Amutha</t>
  </si>
  <si>
    <t>Soranam</t>
  </si>
  <si>
    <t>Natchammal</t>
  </si>
  <si>
    <t>Praveena</t>
  </si>
  <si>
    <t>Jaya</t>
  </si>
  <si>
    <t>Gunadevi</t>
  </si>
  <si>
    <t>Uma</t>
  </si>
  <si>
    <t xml:space="preserve">Muthurakku </t>
  </si>
  <si>
    <t>name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</si>
  <si>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</si>
  <si>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</si>
  <si>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</si>
  <si>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</si>
  <si>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</si>
  <si>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</si>
  <si>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</si>
  <si>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</si>
  <si>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</si>
  <si>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</si>
  <si>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</si>
  <si>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</si>
  <si>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Jothi</t>
  </si>
  <si>
    <t>panju</t>
  </si>
  <si>
    <t>revathi</t>
  </si>
  <si>
    <t>sivaranjani</t>
  </si>
  <si>
    <t>thangalakshmi</t>
  </si>
  <si>
    <t>Indumathi</t>
  </si>
  <si>
    <t>mahalakshmi</t>
  </si>
  <si>
    <t>selvaraj</t>
  </si>
  <si>
    <t>s.t sam</t>
  </si>
  <si>
    <t>vadivelu</t>
  </si>
  <si>
    <t>indumathi</t>
  </si>
  <si>
    <t>muthupandi cu</t>
  </si>
  <si>
    <t>sageetha</t>
  </si>
  <si>
    <t>sundarapandi</t>
  </si>
  <si>
    <t>Muni Samy</t>
  </si>
  <si>
    <t>Checked By</t>
  </si>
  <si>
    <t>Approved By</t>
  </si>
  <si>
    <t>Authorised By</t>
  </si>
  <si>
    <t>Krishnammal</t>
  </si>
  <si>
    <t>Suganya</t>
  </si>
  <si>
    <t>June MONTH SALARY 2015</t>
  </si>
  <si>
    <t>K.Nathiya</t>
  </si>
  <si>
    <t>Sathya kala</t>
  </si>
  <si>
    <t>P.Panju</t>
  </si>
  <si>
    <t>P.Priyadharshini</t>
  </si>
  <si>
    <t>Ooiyammal</t>
  </si>
  <si>
    <t>Kanaka</t>
  </si>
  <si>
    <t>Sathya</t>
  </si>
  <si>
    <t>Thirupathi</t>
  </si>
  <si>
    <t>Preethi</t>
  </si>
  <si>
    <t>Signature</t>
  </si>
  <si>
    <t>SALARY FOR THE MONTH OF JULY 2015</t>
  </si>
  <si>
    <t>Rajalakshmi</t>
  </si>
  <si>
    <t>Vijaya</t>
  </si>
  <si>
    <t>Jeyalakshmi</t>
  </si>
  <si>
    <t>Ananda boobathi 20.7.15</t>
  </si>
  <si>
    <t>Saravanan Sup</t>
  </si>
  <si>
    <t>Saritha</t>
  </si>
  <si>
    <t>Saravanan.p.m</t>
  </si>
  <si>
    <t>Karthikaipriya</t>
  </si>
  <si>
    <t>finished</t>
  </si>
  <si>
    <t>SALARY FOR THE MONTH OF AUG 2015</t>
  </si>
  <si>
    <t>P.Jeyarani</t>
  </si>
  <si>
    <t>Vijeyalakshmi 11.8.2015</t>
  </si>
  <si>
    <t>panju.m</t>
  </si>
  <si>
    <t>Nathiya</t>
  </si>
  <si>
    <t>Prepared by      Checked By</t>
  </si>
  <si>
    <t xml:space="preserve">          Approved By</t>
  </si>
  <si>
    <t>Loan/Permission</t>
  </si>
  <si>
    <t>Natichiammal</t>
  </si>
  <si>
    <t>SALARY FOR THE MONTH OF SEP 2015</t>
  </si>
  <si>
    <t>Karthika</t>
  </si>
  <si>
    <t>panjavarnam</t>
  </si>
  <si>
    <t>K.Revathi</t>
  </si>
  <si>
    <t>M.sumathi</t>
  </si>
  <si>
    <t>Prem kumar</t>
  </si>
  <si>
    <t>Nagajothi</t>
  </si>
  <si>
    <t>Kavitha</t>
  </si>
  <si>
    <t>SALARY FOR THE MONTH OF OCT 2015</t>
  </si>
  <si>
    <t>One day salary</t>
  </si>
  <si>
    <t>Bonus Amount</t>
  </si>
  <si>
    <t>SALARY FOR THE MONTH OF NOV 2015</t>
  </si>
  <si>
    <t>Nishanthi</t>
  </si>
  <si>
    <t>Ranjith</t>
  </si>
  <si>
    <t>Pitchikani</t>
  </si>
  <si>
    <t>Kannan</t>
  </si>
  <si>
    <t>Revathi</t>
  </si>
  <si>
    <t>Gokila</t>
  </si>
  <si>
    <t>Muthurakku</t>
  </si>
  <si>
    <t>Meena</t>
  </si>
  <si>
    <t>Panjavarnam</t>
  </si>
  <si>
    <t>SALARY FOR THE MONTH OF DEC 2015</t>
  </si>
  <si>
    <t>Karuppasamy</t>
  </si>
  <si>
    <t>Thamaraiselvi</t>
  </si>
  <si>
    <t>C.Kumutha</t>
  </si>
  <si>
    <t>K.Selvi</t>
  </si>
  <si>
    <t>M.Arunkumar</t>
  </si>
  <si>
    <t>Amount</t>
  </si>
  <si>
    <t>SALARY FOR THE MONTH OF JAN 2015</t>
  </si>
  <si>
    <t>M.Sasikala</t>
  </si>
  <si>
    <t>SALARY FOR THE MONTH OF FEB 2015</t>
  </si>
  <si>
    <t>Raja Ganesan</t>
  </si>
  <si>
    <t>Muthu rajan</t>
  </si>
  <si>
    <t>SALARY FOR THE MONTH OF MAR 2016</t>
  </si>
  <si>
    <t>Raja Ganesh</t>
  </si>
  <si>
    <t>Ganesan</t>
  </si>
  <si>
    <t>Joseph</t>
  </si>
  <si>
    <t>Chitra</t>
  </si>
  <si>
    <t>Muthupandi</t>
  </si>
  <si>
    <t>S.Rajavel</t>
  </si>
  <si>
    <t>Velumani</t>
  </si>
  <si>
    <t>Sornalatha</t>
  </si>
  <si>
    <t>Dhanalaskhmi</t>
  </si>
  <si>
    <t>V.Shanthi</t>
  </si>
  <si>
    <t>Paritha begam</t>
  </si>
  <si>
    <t>S.Meenaskhi</t>
  </si>
  <si>
    <t>Subbaiah</t>
  </si>
  <si>
    <t>Kalavathi</t>
  </si>
  <si>
    <t>Durga 20.2.16</t>
  </si>
  <si>
    <t>Watch man Murugan</t>
  </si>
  <si>
    <t>Gomathi</t>
  </si>
  <si>
    <t>Sangaralakshmi</t>
  </si>
  <si>
    <t>P.Kumar 23.2.2016</t>
  </si>
  <si>
    <t>Chinnalapatti Unit</t>
  </si>
  <si>
    <t>Aruppukottai Unit</t>
  </si>
  <si>
    <t>Villapuram Unit</t>
  </si>
  <si>
    <t>Karuppaurani Unit</t>
  </si>
  <si>
    <t xml:space="preserve">Total </t>
  </si>
  <si>
    <t>Total</t>
  </si>
  <si>
    <t>Casuval leave</t>
  </si>
  <si>
    <t>SALARY FOR THE MONTH OF APRIL 2016</t>
  </si>
  <si>
    <t>Kalidass</t>
  </si>
  <si>
    <t>Anadha boopathi</t>
  </si>
  <si>
    <t>Priya</t>
  </si>
  <si>
    <t>K.Meena</t>
  </si>
  <si>
    <t>Veeralaskhmi</t>
  </si>
  <si>
    <t>SALARY FOR THE MONTH OF MAY 2016</t>
  </si>
  <si>
    <t>Sekar</t>
  </si>
  <si>
    <t>B.Amuthua 9.5.16</t>
  </si>
  <si>
    <t>`</t>
  </si>
  <si>
    <t>M.Kasilingam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</si>
</sst>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BatangChe"/>
      <family val="3"/>
    </font>
    <font>
      <b/>
      <sz val="14"/>
      <name val="Papyrus"/>
      <family val="4"/>
    </font>
    <font>
      <sz val="22"/>
      <color theme="1"/>
      <name val="Andalus"/>
      <family val="1"/>
    </font>
    <font>
      <sz val="8"/>
      <color theme="1"/>
      <name val="Andalus"/>
      <family val="1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0" fontId="0" fillId="0" borderId="0" xfId="0" applyFont="1"/>
    <xf numFmtId="0" fontId="1" fillId="0" borderId="0" xfId="0" applyFont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3" borderId="2" xfId="0" applyFill="1" applyBorder="1"/>
    <xf numFmtId="0" fontId="2" fillId="2" borderId="1" xfId="0" applyFont="1" applyFill="1" applyBorder="1"/>
    <xf numFmtId="0" fontId="0" fillId="2" borderId="0" xfId="0" applyFill="1" applyBorder="1"/>
    <xf numFmtId="0" fontId="0" fillId="2" borderId="2" xfId="0" applyFill="1" applyBorder="1"/>
    <xf numFmtId="0" fontId="0" fillId="4" borderId="3" xfId="0" applyFill="1" applyBorder="1"/>
    <xf numFmtId="2" fontId="0" fillId="0" borderId="3" xfId="0" applyNumberFormat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7" xfId="0" applyNumberFormat="1" applyFill="1" applyBorder="1"/>
    <xf numFmtId="0" fontId="0" fillId="0" borderId="3" xfId="0" applyFill="1" applyBorder="1"/>
    <xf numFmtId="0" fontId="5" fillId="0" borderId="0" xfId="0" applyFont="1"/>
    <xf numFmtId="0" fontId="0" fillId="0" borderId="9" xfId="0" applyBorder="1"/>
    <xf numFmtId="0" fontId="0" fillId="0" borderId="10" xfId="0" applyBorder="1"/>
    <xf numFmtId="2" fontId="6" fillId="5" borderId="10" xfId="0" applyNumberFormat="1" applyFont="1" applyFill="1" applyBorder="1"/>
    <xf numFmtId="2" fontId="6" fillId="5" borderId="11" xfId="0" applyNumberFormat="1" applyFont="1" applyFill="1" applyBorder="1"/>
    <xf numFmtId="2" fontId="6" fillId="5" borderId="5" xfId="0" applyNumberFormat="1" applyFont="1" applyFill="1" applyBorder="1"/>
    <xf numFmtId="0" fontId="6" fillId="5" borderId="2" xfId="0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7" fillId="0" borderId="3" xfId="0" applyFont="1" applyFill="1" applyBorder="1"/>
    <xf numFmtId="1" fontId="6" fillId="5" borderId="10" xfId="0" applyNumberFormat="1" applyFont="1" applyFill="1" applyBorder="1"/>
    <xf numFmtId="1" fontId="6" fillId="5" borderId="11" xfId="0" applyNumberFormat="1" applyFont="1" applyFill="1" applyBorder="1"/>
    <xf numFmtId="2" fontId="0" fillId="6" borderId="3" xfId="0" applyNumberFormat="1" applyFill="1" applyBorder="1"/>
    <xf numFmtId="1" fontId="6" fillId="5" borderId="5" xfId="0" applyNumberFormat="1" applyFont="1" applyFill="1" applyBorder="1"/>
    <xf numFmtId="1" fontId="0" fillId="0" borderId="0" xfId="0" applyNumberFormat="1"/>
    <xf numFmtId="1" fontId="0" fillId="0" borderId="0" xfId="0" applyNumberFormat="1" applyBorder="1"/>
    <xf numFmtId="2" fontId="0" fillId="0" borderId="0" xfId="0" applyNumberFormat="1" applyBorder="1"/>
    <xf numFmtId="2" fontId="0" fillId="0" borderId="0" xfId="0" applyNumberFormat="1"/>
    <xf numFmtId="2" fontId="0" fillId="3" borderId="5" xfId="0" applyNumberFormat="1" applyFill="1" applyBorder="1"/>
    <xf numFmtId="2" fontId="0" fillId="3" borderId="2" xfId="0" applyNumberFormat="1" applyFill="1" applyBorder="1"/>
    <xf numFmtId="1" fontId="0" fillId="0" borderId="1" xfId="0" applyNumberFormat="1" applyBorder="1"/>
    <xf numFmtId="2" fontId="0" fillId="0" borderId="0" xfId="0" applyNumberFormat="1" applyFill="1" applyBorder="1"/>
    <xf numFmtId="0" fontId="0" fillId="2" borderId="13" xfId="0" applyFill="1" applyBorder="1"/>
    <xf numFmtId="0" fontId="0" fillId="2" borderId="14" xfId="0" applyFill="1" applyBorder="1"/>
    <xf numFmtId="2" fontId="0" fillId="3" borderId="12" xfId="0" applyNumberFormat="1" applyFill="1" applyBorder="1"/>
    <xf numFmtId="0" fontId="0" fillId="3" borderId="12" xfId="0" applyFill="1" applyBorder="1"/>
    <xf numFmtId="0" fontId="6" fillId="5" borderId="15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0" xfId="0" applyFill="1" applyBorder="1"/>
    <xf numFmtId="2" fontId="0" fillId="3" borderId="17" xfId="0" applyNumberFormat="1" applyFill="1" applyBorder="1"/>
    <xf numFmtId="2" fontId="0" fillId="3" borderId="19" xfId="0" applyNumberFormat="1" applyFill="1" applyBorder="1"/>
    <xf numFmtId="0" fontId="0" fillId="3" borderId="19" xfId="0" applyFill="1" applyBorder="1"/>
    <xf numFmtId="1" fontId="6" fillId="5" borderId="20" xfId="0" applyNumberFormat="1" applyFont="1" applyFill="1" applyBorder="1"/>
    <xf numFmtId="0" fontId="2" fillId="2" borderId="16" xfId="0" applyFont="1" applyFill="1" applyBorder="1"/>
    <xf numFmtId="0" fontId="0" fillId="4" borderId="16" xfId="0" applyFill="1" applyBorder="1"/>
    <xf numFmtId="2" fontId="0" fillId="0" borderId="16" xfId="0" applyNumberFormat="1" applyBorder="1"/>
    <xf numFmtId="0" fontId="0" fillId="0" borderId="16" xfId="0" applyBorder="1"/>
    <xf numFmtId="1" fontId="6" fillId="5" borderId="16" xfId="0" applyNumberFormat="1" applyFont="1" applyFill="1" applyBorder="1"/>
    <xf numFmtId="2" fontId="5" fillId="0" borderId="0" xfId="0" applyNumberFormat="1" applyFont="1" applyBorder="1"/>
    <xf numFmtId="0" fontId="2" fillId="2" borderId="3" xfId="0" applyFont="1" applyFill="1" applyBorder="1"/>
    <xf numFmtId="0" fontId="8" fillId="4" borderId="1" xfId="0" applyFont="1" applyFill="1" applyBorder="1"/>
    <xf numFmtId="2" fontId="8" fillId="0" borderId="1" xfId="0" applyNumberFormat="1" applyFont="1" applyBorder="1"/>
    <xf numFmtId="0" fontId="8" fillId="4" borderId="3" xfId="0" applyFont="1" applyFill="1" applyBorder="1"/>
    <xf numFmtId="2" fontId="8" fillId="0" borderId="3" xfId="0" applyNumberFormat="1" applyFont="1" applyBorder="1"/>
    <xf numFmtId="2" fontId="8" fillId="6" borderId="3" xfId="0" applyNumberFormat="1" applyFont="1" applyFill="1" applyBorder="1"/>
    <xf numFmtId="0" fontId="8" fillId="4" borderId="16" xfId="0" applyFont="1" applyFill="1" applyBorder="1"/>
    <xf numFmtId="2" fontId="8" fillId="0" borderId="16" xfId="0" applyNumberFormat="1" applyFont="1" applyBorder="1"/>
    <xf numFmtId="0" fontId="9" fillId="0" borderId="1" xfId="0" applyFont="1" applyBorder="1"/>
    <xf numFmtId="0" fontId="9" fillId="0" borderId="1" xfId="0" applyFont="1" applyFill="1" applyBorder="1"/>
    <xf numFmtId="2" fontId="5" fillId="0" borderId="0" xfId="0" applyNumberFormat="1" applyFont="1"/>
    <xf numFmtId="1" fontId="6" fillId="5" borderId="3" xfId="0" applyNumberFormat="1" applyFont="1" applyFill="1" applyBorder="1"/>
    <xf numFmtId="1" fontId="10" fillId="5" borderId="10" xfId="0" applyNumberFormat="1" applyFont="1" applyFill="1" applyBorder="1"/>
    <xf numFmtId="17" fontId="0" fillId="0" borderId="0" xfId="0" applyNumberFormat="1"/>
    <xf numFmtId="0" fontId="6" fillId="5" borderId="1" xfId="0" applyFont="1" applyFill="1" applyBorder="1"/>
    <xf numFmtId="0" fontId="0" fillId="0" borderId="21" xfId="0" applyBorder="1"/>
    <xf numFmtId="0" fontId="0" fillId="0" borderId="22" xfId="0" applyBorder="1"/>
    <xf numFmtId="0" fontId="0" fillId="0" borderId="0" xfId="0" applyFill="1" applyBorder="1"/>
    <xf numFmtId="1" fontId="0" fillId="0" borderId="0" xfId="0" applyNumberFormat="1" applyFill="1" applyBorder="1"/>
    <xf numFmtId="0" fontId="0" fillId="0" borderId="20" xfId="0" applyBorder="1"/>
    <xf numFmtId="0" fontId="11" fillId="0" borderId="1" xfId="0" applyFont="1" applyBorder="1"/>
    <xf numFmtId="0" fontId="11" fillId="0" borderId="3" xfId="0" applyFont="1" applyBorder="1"/>
    <xf numFmtId="0" fontId="7" fillId="0" borderId="3" xfId="0" applyFont="1" applyBorder="1"/>
    <xf numFmtId="0" fontId="2" fillId="2" borderId="13" xfId="0" applyFont="1" applyFill="1" applyBorder="1"/>
    <xf numFmtId="0" fontId="0" fillId="4" borderId="19" xfId="0" applyFill="1" applyBorder="1"/>
    <xf numFmtId="2" fontId="0" fillId="0" borderId="19" xfId="0" applyNumberFormat="1" applyBorder="1"/>
    <xf numFmtId="0" fontId="7" fillId="0" borderId="19" xfId="0" applyFont="1" applyBorder="1"/>
    <xf numFmtId="0" fontId="0" fillId="0" borderId="19" xfId="0" applyBorder="1"/>
    <xf numFmtId="0" fontId="0" fillId="0" borderId="19" xfId="0" applyFill="1" applyBorder="1"/>
    <xf numFmtId="0" fontId="12" fillId="0" borderId="0" xfId="0" applyFont="1"/>
    <xf numFmtId="1" fontId="0" fillId="0" borderId="3" xfId="0" applyNumberFormat="1" applyBorder="1"/>
    <xf numFmtId="1" fontId="0" fillId="0" borderId="19" xfId="0" applyNumberFormat="1" applyBorder="1"/>
    <xf numFmtId="1" fontId="0" fillId="0" borderId="21" xfId="0" applyNumberFormat="1" applyBorder="1"/>
    <xf numFmtId="1" fontId="0" fillId="3" borderId="19" xfId="0" applyNumberFormat="1" applyFill="1" applyBorder="1"/>
    <xf numFmtId="0" fontId="11" fillId="0" borderId="1" xfId="0" applyFont="1" applyFill="1" applyBorder="1"/>
    <xf numFmtId="0" fontId="11" fillId="0" borderId="3" xfId="0" applyFont="1" applyFill="1" applyBorder="1"/>
    <xf numFmtId="164" fontId="0" fillId="0" borderId="21" xfId="0" applyNumberFormat="1" applyBorder="1"/>
    <xf numFmtId="0" fontId="11" fillId="0" borderId="21" xfId="0" applyFont="1" applyBorder="1"/>
    <xf numFmtId="1" fontId="6" fillId="5" borderId="1" xfId="0" applyNumberFormat="1" applyFont="1" applyFill="1" applyBorder="1"/>
    <xf numFmtId="0" fontId="11" fillId="0" borderId="21" xfId="0" applyFont="1" applyFill="1" applyBorder="1"/>
    <xf numFmtId="0" fontId="5" fillId="0" borderId="1" xfId="0" applyFont="1" applyBorder="1"/>
    <xf numFmtId="1" fontId="0" fillId="6" borderId="3" xfId="0" applyNumberFormat="1" applyFill="1" applyBorder="1"/>
    <xf numFmtId="0" fontId="2" fillId="2" borderId="19" xfId="0" applyFont="1" applyFill="1" applyBorder="1"/>
    <xf numFmtId="0" fontId="0" fillId="0" borderId="20" xfId="0" applyFill="1" applyBorder="1"/>
    <xf numFmtId="0" fontId="0" fillId="0" borderId="1" xfId="0" applyBorder="1" applyAlignment="1">
      <alignment horizont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58"/>
  <sheetViews>
    <sheetView tabSelected="1" topLeftCell="A40" workbookViewId="0">
      <selection activeCell="P54" sqref="P54"/>
    </sheetView>
  </sheetViews>
  <sheetFormatPr defaultRowHeight="15"/>
  <cols>
    <col min="1" max="1" width="0.140625" customWidth="1"/>
    <col min="2" max="2" width="4.7109375" bestFit="1" customWidth="1"/>
    <col min="3" max="3" width="15.85546875" customWidth="1"/>
    <col min="4" max="5" width="9.5703125" customWidth="1"/>
    <col min="6" max="6" width="8.42578125" customWidth="1"/>
    <col min="7" max="7" width="5.42578125" customWidth="1"/>
    <col min="8" max="8" width="8.42578125" customWidth="1"/>
    <col min="9" max="9" width="9.5703125" customWidth="1"/>
    <col min="10" max="10" width="8.5703125" customWidth="1"/>
    <col min="11" max="11" width="8.7109375" customWidth="1"/>
    <col min="12" max="12" width="9.5703125" customWidth="1"/>
    <col min="13" max="13" width="9.85546875" customWidth="1"/>
    <col min="14" max="14" width="6.5703125" customWidth="1"/>
    <col min="15" max="15" width="9.5703125" customWidth="1"/>
    <col min="16" max="16" width="21.140625" customWidth="1"/>
    <col min="17" max="17" width="18.7109375" hidden="1" customWidth="1"/>
    <col min="18" max="18" width="0" hidden="1" customWidth="1"/>
  </cols>
  <sheetData>
    <row r="1" spans="2:21">
      <c r="C1" s="6"/>
    </row>
    <row r="2" spans="2:21" ht="36">
      <c r="C2" s="79">
        <v>42461</v>
      </c>
      <c r="D2" t="s">
        <v>41</v>
      </c>
      <c r="E2" s="8" t="s">
        <v>191</v>
      </c>
      <c r="F2" s="8"/>
      <c r="G2" s="8"/>
      <c r="H2" s="9"/>
      <c r="I2" s="5"/>
      <c r="J2" s="5"/>
      <c r="K2" s="5"/>
      <c r="P2" t="s">
        <v>152</v>
      </c>
      <c r="Q2" t="s">
        <v>105</v>
      </c>
    </row>
    <row r="3" spans="2:21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" t="s">
        <v>105</v>
      </c>
      <c r="Q3" s="1"/>
      <c r="R3" s="1"/>
      <c r="S3" s="1"/>
      <c r="T3" s="1"/>
    </row>
    <row r="4" spans="2:21" ht="19.899999999999999" customHeight="1">
      <c r="B4" s="2">
        <v>1</v>
      </c>
      <c r="C4" s="13" t="s">
        <v>45</v>
      </c>
      <c r="D4" s="11">
        <f>11700+1250</f>
        <v>12950</v>
      </c>
      <c r="E4" s="4">
        <f>SUM(D4/30)</f>
        <v>431.66666666666669</v>
      </c>
      <c r="F4" s="2">
        <v>31</v>
      </c>
      <c r="G4" s="33">
        <v>0</v>
      </c>
      <c r="H4" s="2">
        <f>30-G4</f>
        <v>30</v>
      </c>
      <c r="I4" s="4">
        <f>SUM(D4-L4)</f>
        <v>12950</v>
      </c>
      <c r="J4" s="33">
        <f>2000+2000</f>
        <v>4000</v>
      </c>
      <c r="K4" s="2"/>
      <c r="L4" s="4">
        <f>SUM(G4*E4)</f>
        <v>0</v>
      </c>
      <c r="M4" s="4">
        <v>252</v>
      </c>
      <c r="N4" s="2">
        <v>53</v>
      </c>
      <c r="O4" s="36">
        <f>SUM(I4-J4-M4-N4-K4)</f>
        <v>8645</v>
      </c>
      <c r="P4" s="2"/>
      <c r="Q4" s="81"/>
      <c r="R4" s="1"/>
      <c r="S4" s="1"/>
      <c r="T4" s="1"/>
    </row>
    <row r="5" spans="2:21" ht="19.899999999999999" customHeight="1">
      <c r="B5" s="2">
        <v>2</v>
      </c>
      <c r="C5" s="13" t="s">
        <v>7</v>
      </c>
      <c r="D5" s="11">
        <f>10200+1250</f>
        <v>11450</v>
      </c>
      <c r="E5" s="4">
        <f>SUM(D5/30)</f>
        <v>381.66666666666669</v>
      </c>
      <c r="F5" s="2">
        <v>31</v>
      </c>
      <c r="G5" s="33">
        <v>2</v>
      </c>
      <c r="H5" s="2">
        <f>30-G5</f>
        <v>28</v>
      </c>
      <c r="I5" s="4">
        <f t="shared" ref="I5:I43" si="0">SUM(D5-L5)</f>
        <v>10686.666666666666</v>
      </c>
      <c r="J5" s="33">
        <f>2000+2000</f>
        <v>4000</v>
      </c>
      <c r="K5" s="2"/>
      <c r="L5" s="4">
        <f>SUM(G5*E5)</f>
        <v>763.33333333333337</v>
      </c>
      <c r="M5" s="4">
        <v>252</v>
      </c>
      <c r="N5" s="2">
        <v>53</v>
      </c>
      <c r="O5" s="36">
        <f t="shared" ref="O5:O43" si="1">SUM(I5-J5-M5-N5-K5)</f>
        <v>6381.6666666666661</v>
      </c>
      <c r="P5" s="2"/>
      <c r="Q5" s="81">
        <v>1.5</v>
      </c>
      <c r="R5" s="1">
        <f>+E5/9.5*Q5</f>
        <v>60.26315789473685</v>
      </c>
      <c r="S5" s="1"/>
      <c r="T5" s="1"/>
    </row>
    <row r="6" spans="2:21" ht="19.899999999999999" customHeight="1">
      <c r="B6" s="2">
        <v>3</v>
      </c>
      <c r="C6" s="13" t="s">
        <v>46</v>
      </c>
      <c r="D6" s="11">
        <f>9500+1250</f>
        <v>10750</v>
      </c>
      <c r="E6" s="4">
        <f t="shared" ref="E6:E49" si="2">SUM(D6/30)</f>
        <v>358.33333333333331</v>
      </c>
      <c r="F6" s="2">
        <v>31</v>
      </c>
      <c r="G6" s="33">
        <v>1.5</v>
      </c>
      <c r="H6" s="2">
        <f t="shared" ref="H6:H49" si="3">30-G6</f>
        <v>28.5</v>
      </c>
      <c r="I6" s="4">
        <f t="shared" si="0"/>
        <v>10212.5</v>
      </c>
      <c r="J6" s="86">
        <v>500</v>
      </c>
      <c r="K6" s="2"/>
      <c r="L6" s="4">
        <f t="shared" ref="L6:L43" si="4">SUM(G6*E6)</f>
        <v>537.5</v>
      </c>
      <c r="M6" s="4">
        <v>252</v>
      </c>
      <c r="N6" s="2">
        <v>53</v>
      </c>
      <c r="O6" s="36">
        <f t="shared" si="1"/>
        <v>9407.5</v>
      </c>
      <c r="P6" s="2"/>
      <c r="Q6" s="81"/>
      <c r="R6" s="41"/>
      <c r="S6" s="41"/>
      <c r="T6" s="1"/>
    </row>
    <row r="7" spans="2:21" ht="19.899999999999999" customHeight="1">
      <c r="B7" s="2">
        <v>4</v>
      </c>
      <c r="C7" s="13" t="s">
        <v>47</v>
      </c>
      <c r="D7" s="11">
        <f>8400+300</f>
        <v>8700</v>
      </c>
      <c r="E7" s="4">
        <f t="shared" si="2"/>
        <v>290</v>
      </c>
      <c r="F7" s="2">
        <v>31</v>
      </c>
      <c r="G7" s="34">
        <v>3</v>
      </c>
      <c r="H7" s="2">
        <f t="shared" si="3"/>
        <v>27</v>
      </c>
      <c r="I7" s="4">
        <f t="shared" si="0"/>
        <v>7830</v>
      </c>
      <c r="J7" s="86"/>
      <c r="K7" s="2"/>
      <c r="L7" s="4">
        <f t="shared" si="4"/>
        <v>870</v>
      </c>
      <c r="M7" s="4">
        <v>252</v>
      </c>
      <c r="N7" s="2">
        <v>53</v>
      </c>
      <c r="O7" s="36">
        <f t="shared" si="1"/>
        <v>7525</v>
      </c>
      <c r="P7" s="2"/>
      <c r="Q7" s="81"/>
      <c r="R7" s="1"/>
      <c r="S7" s="1">
        <f>+E7/9.5</f>
        <v>30.526315789473685</v>
      </c>
      <c r="T7" s="1">
        <v>0.5</v>
      </c>
      <c r="U7">
        <f>+S7*T7</f>
        <v>15.263157894736842</v>
      </c>
    </row>
    <row r="8" spans="2:21" ht="19.899999999999999" customHeight="1">
      <c r="B8" s="2">
        <v>5</v>
      </c>
      <c r="C8" s="13" t="s">
        <v>54</v>
      </c>
      <c r="D8" s="11">
        <f>4250+750</f>
        <v>5000</v>
      </c>
      <c r="E8" s="4">
        <f>SUM(D8/30)</f>
        <v>166.66666666666666</v>
      </c>
      <c r="F8" s="2">
        <v>31</v>
      </c>
      <c r="G8" s="33">
        <v>5</v>
      </c>
      <c r="H8" s="2">
        <f>30-G8</f>
        <v>25</v>
      </c>
      <c r="I8" s="4">
        <f>SUM(D8-L8)</f>
        <v>4166.666666666667</v>
      </c>
      <c r="J8" s="33">
        <v>1000</v>
      </c>
      <c r="K8" s="2"/>
      <c r="L8" s="4">
        <f>SUM(G8*E8)</f>
        <v>833.33333333333326</v>
      </c>
      <c r="M8" s="4">
        <v>252</v>
      </c>
      <c r="N8" s="4">
        <v>53</v>
      </c>
      <c r="O8" s="36">
        <f>SUM(I8-J8-M8-N8-K8)</f>
        <v>2861.666666666667</v>
      </c>
      <c r="P8" s="2"/>
      <c r="Q8" s="81"/>
      <c r="R8" s="1"/>
      <c r="S8" s="1"/>
      <c r="T8" s="1"/>
    </row>
    <row r="9" spans="2:21" ht="19.899999999999999" customHeight="1">
      <c r="B9" s="2">
        <v>6</v>
      </c>
      <c r="C9" s="13" t="s">
        <v>139</v>
      </c>
      <c r="D9" s="11">
        <f>7800+1000</f>
        <v>8800</v>
      </c>
      <c r="E9" s="4">
        <f t="shared" si="2"/>
        <v>293.33333333333331</v>
      </c>
      <c r="F9" s="2">
        <v>31</v>
      </c>
      <c r="G9" s="34">
        <v>0.5</v>
      </c>
      <c r="H9" s="2">
        <f t="shared" si="3"/>
        <v>29.5</v>
      </c>
      <c r="I9" s="4">
        <f t="shared" si="0"/>
        <v>8653.3333333333339</v>
      </c>
      <c r="J9" s="33">
        <v>2000</v>
      </c>
      <c r="K9" s="2">
        <v>97</v>
      </c>
      <c r="L9" s="4">
        <f t="shared" si="4"/>
        <v>146.66666666666666</v>
      </c>
      <c r="M9" s="4"/>
      <c r="N9" s="4"/>
      <c r="O9" s="36">
        <f t="shared" si="1"/>
        <v>6556.3333333333339</v>
      </c>
      <c r="P9" s="2"/>
      <c r="Q9" s="102">
        <v>2.5</v>
      </c>
      <c r="R9" s="1">
        <f>+E9/9.5*Q9</f>
        <v>77.192982456140342</v>
      </c>
      <c r="S9" s="1">
        <f>+E9/9.5</f>
        <v>30.877192982456137</v>
      </c>
      <c r="T9" s="1">
        <v>3.15</v>
      </c>
      <c r="U9">
        <f>+S9*T9</f>
        <v>97.263157894736835</v>
      </c>
    </row>
    <row r="10" spans="2:21" ht="19.899999999999999" customHeight="1">
      <c r="B10" s="2">
        <v>7</v>
      </c>
      <c r="C10" s="13" t="s">
        <v>48</v>
      </c>
      <c r="D10" s="11">
        <f>7050+1000</f>
        <v>8050</v>
      </c>
      <c r="E10" s="4">
        <f t="shared" si="2"/>
        <v>268.33333333333331</v>
      </c>
      <c r="F10" s="2">
        <v>31</v>
      </c>
      <c r="G10" s="34">
        <v>11</v>
      </c>
      <c r="H10" s="2">
        <f t="shared" si="3"/>
        <v>19</v>
      </c>
      <c r="I10" s="4">
        <f t="shared" si="0"/>
        <v>5098.3333333333339</v>
      </c>
      <c r="J10" s="33">
        <v>100</v>
      </c>
      <c r="K10" s="46">
        <v>42</v>
      </c>
      <c r="L10" s="4">
        <f t="shared" si="4"/>
        <v>2951.6666666666665</v>
      </c>
      <c r="M10" s="4"/>
      <c r="N10" s="4"/>
      <c r="O10" s="36">
        <f t="shared" si="1"/>
        <v>4956.3333333333339</v>
      </c>
      <c r="P10" s="2"/>
      <c r="Q10" s="81">
        <v>4</v>
      </c>
      <c r="R10" s="1">
        <f>+E10/9.5*Q10</f>
        <v>112.98245614035086</v>
      </c>
      <c r="S10" s="1">
        <f>+E10/9.5</f>
        <v>28.245614035087716</v>
      </c>
      <c r="T10" s="1">
        <v>1.5</v>
      </c>
      <c r="U10">
        <f>+S10*T10</f>
        <v>42.368421052631575</v>
      </c>
    </row>
    <row r="11" spans="2:21" ht="19.899999999999999" customHeight="1">
      <c r="B11" s="2">
        <v>8</v>
      </c>
      <c r="C11" s="13" t="s">
        <v>140</v>
      </c>
      <c r="D11" s="11">
        <f>10000+1000</f>
        <v>11000</v>
      </c>
      <c r="E11" s="4">
        <f t="shared" si="2"/>
        <v>366.66666666666669</v>
      </c>
      <c r="F11" s="2">
        <v>31</v>
      </c>
      <c r="G11" s="33">
        <v>1</v>
      </c>
      <c r="H11" s="2">
        <f t="shared" si="3"/>
        <v>29</v>
      </c>
      <c r="I11" s="4">
        <f t="shared" si="0"/>
        <v>10633.333333333334</v>
      </c>
      <c r="J11" s="86"/>
      <c r="K11" s="2"/>
      <c r="L11" s="4">
        <f t="shared" si="4"/>
        <v>366.66666666666669</v>
      </c>
      <c r="M11" s="4"/>
      <c r="N11" s="4"/>
      <c r="O11" s="36">
        <f t="shared" si="1"/>
        <v>10633.333333333334</v>
      </c>
      <c r="P11" s="2"/>
      <c r="Q11" s="81"/>
      <c r="R11" s="1"/>
      <c r="S11" s="1"/>
      <c r="T11" s="1"/>
    </row>
    <row r="12" spans="2:21" ht="19.899999999999999" customHeight="1">
      <c r="B12" s="2">
        <v>9</v>
      </c>
      <c r="C12" s="13" t="s">
        <v>107</v>
      </c>
      <c r="D12" s="11">
        <f>4700+700</f>
        <v>5400</v>
      </c>
      <c r="E12" s="4">
        <f t="shared" si="2"/>
        <v>180</v>
      </c>
      <c r="F12" s="2">
        <v>31</v>
      </c>
      <c r="G12" s="34">
        <v>9</v>
      </c>
      <c r="H12" s="2">
        <f t="shared" si="3"/>
        <v>21</v>
      </c>
      <c r="I12" s="4">
        <f t="shared" si="0"/>
        <v>3780</v>
      </c>
      <c r="J12" s="86"/>
      <c r="K12" s="46"/>
      <c r="L12" s="4">
        <f t="shared" si="4"/>
        <v>1620</v>
      </c>
      <c r="M12" s="4"/>
      <c r="N12" s="4"/>
      <c r="O12" s="36">
        <f t="shared" si="1"/>
        <v>3780</v>
      </c>
      <c r="P12" s="2"/>
      <c r="Q12" s="81">
        <v>1</v>
      </c>
      <c r="R12" s="1">
        <f>+E12/8.5*Q12</f>
        <v>21.176470588235293</v>
      </c>
      <c r="S12" s="1"/>
      <c r="T12" s="1"/>
    </row>
    <row r="13" spans="2:21" ht="19.899999999999999" customHeight="1">
      <c r="B13" s="2">
        <v>10</v>
      </c>
      <c r="C13" s="13" t="s">
        <v>16</v>
      </c>
      <c r="D13" s="11">
        <f>4300+600</f>
        <v>4900</v>
      </c>
      <c r="E13" s="4">
        <f t="shared" si="2"/>
        <v>163.33333333333334</v>
      </c>
      <c r="F13" s="2">
        <v>31</v>
      </c>
      <c r="G13" s="33">
        <v>0</v>
      </c>
      <c r="H13" s="2">
        <f t="shared" si="3"/>
        <v>30</v>
      </c>
      <c r="I13" s="4">
        <f t="shared" si="0"/>
        <v>4900</v>
      </c>
      <c r="J13" s="86"/>
      <c r="K13" s="2"/>
      <c r="L13" s="4">
        <f t="shared" si="4"/>
        <v>0</v>
      </c>
      <c r="M13" s="4"/>
      <c r="N13" s="4"/>
      <c r="O13" s="36">
        <f t="shared" si="1"/>
        <v>4900</v>
      </c>
      <c r="P13" s="2"/>
      <c r="Q13" s="81"/>
      <c r="R13" s="1"/>
      <c r="S13" s="1">
        <f>+E13/8.5</f>
        <v>19.215686274509807</v>
      </c>
      <c r="T13" s="1">
        <v>0.5</v>
      </c>
      <c r="U13">
        <f>+S13*T13</f>
        <v>9.6078431372549034</v>
      </c>
    </row>
    <row r="14" spans="2:21" ht="19.899999999999999" customHeight="1">
      <c r="B14" s="2">
        <v>11</v>
      </c>
      <c r="C14" s="13" t="s">
        <v>142</v>
      </c>
      <c r="D14" s="11">
        <f>3850+700</f>
        <v>4550</v>
      </c>
      <c r="E14" s="4">
        <f t="shared" si="2"/>
        <v>151.66666666666666</v>
      </c>
      <c r="F14" s="2">
        <v>31</v>
      </c>
      <c r="G14" s="33">
        <v>0.5</v>
      </c>
      <c r="H14" s="2">
        <f t="shared" si="3"/>
        <v>29.5</v>
      </c>
      <c r="I14" s="4">
        <f t="shared" si="0"/>
        <v>4474.166666666667</v>
      </c>
      <c r="J14" s="86"/>
      <c r="K14" s="2"/>
      <c r="L14" s="4">
        <f t="shared" si="4"/>
        <v>75.833333333333329</v>
      </c>
      <c r="M14" s="4"/>
      <c r="N14" s="4"/>
      <c r="O14" s="36">
        <f t="shared" si="1"/>
        <v>4474.166666666667</v>
      </c>
      <c r="P14" s="2"/>
      <c r="Q14" s="81"/>
      <c r="R14" s="1"/>
      <c r="S14" s="1"/>
      <c r="T14" s="1"/>
    </row>
    <row r="15" spans="2:21" ht="19.899999999999999" customHeight="1">
      <c r="B15" s="2">
        <v>12</v>
      </c>
      <c r="C15" s="13" t="s">
        <v>143</v>
      </c>
      <c r="D15" s="11">
        <f>4450+700</f>
        <v>5150</v>
      </c>
      <c r="E15" s="4">
        <f t="shared" si="2"/>
        <v>171.66666666666666</v>
      </c>
      <c r="F15" s="2">
        <v>31</v>
      </c>
      <c r="G15" s="33">
        <v>0.5</v>
      </c>
      <c r="H15" s="2">
        <f t="shared" si="3"/>
        <v>29.5</v>
      </c>
      <c r="I15" s="4">
        <f t="shared" si="0"/>
        <v>5064.166666666667</v>
      </c>
      <c r="J15" s="86"/>
      <c r="K15" s="2"/>
      <c r="L15" s="4">
        <f t="shared" si="4"/>
        <v>85.833333333333329</v>
      </c>
      <c r="M15" s="4"/>
      <c r="N15" s="4"/>
      <c r="O15" s="36">
        <f t="shared" si="1"/>
        <v>5064.166666666667</v>
      </c>
      <c r="P15" s="2"/>
      <c r="Q15" s="81"/>
      <c r="R15" s="1"/>
      <c r="S15" s="1">
        <f>+E15/8.5</f>
        <v>20.196078431372548</v>
      </c>
      <c r="T15" s="1">
        <v>0.5</v>
      </c>
      <c r="U15">
        <f>+S15*T15</f>
        <v>10.098039215686274</v>
      </c>
    </row>
    <row r="16" spans="2:21" ht="19.899999999999999" customHeight="1">
      <c r="B16" s="2">
        <v>13</v>
      </c>
      <c r="C16" s="13" t="s">
        <v>58</v>
      </c>
      <c r="D16" s="11">
        <f>3850+750</f>
        <v>4600</v>
      </c>
      <c r="E16" s="4">
        <f t="shared" si="2"/>
        <v>153.33333333333334</v>
      </c>
      <c r="F16" s="2">
        <v>31</v>
      </c>
      <c r="G16" s="33">
        <v>0.5</v>
      </c>
      <c r="H16" s="2">
        <f>30-G16</f>
        <v>29.5</v>
      </c>
      <c r="I16" s="4">
        <f t="shared" si="0"/>
        <v>4523.333333333333</v>
      </c>
      <c r="J16" s="86"/>
      <c r="K16" s="2"/>
      <c r="L16" s="4">
        <f t="shared" si="4"/>
        <v>76.666666666666671</v>
      </c>
      <c r="M16" s="4"/>
      <c r="N16" s="4"/>
      <c r="O16" s="36">
        <f t="shared" si="1"/>
        <v>4523.333333333333</v>
      </c>
      <c r="P16" s="2"/>
      <c r="Q16" s="81"/>
      <c r="R16" s="1"/>
      <c r="S16" s="1"/>
      <c r="T16" s="1"/>
    </row>
    <row r="17" spans="2:21" ht="19.899999999999999" customHeight="1">
      <c r="B17" s="2">
        <v>14</v>
      </c>
      <c r="C17" s="13" t="s">
        <v>53</v>
      </c>
      <c r="D17" s="11">
        <f>3800+700</f>
        <v>4500</v>
      </c>
      <c r="E17" s="4">
        <f t="shared" si="2"/>
        <v>150</v>
      </c>
      <c r="F17" s="2">
        <v>31</v>
      </c>
      <c r="G17" s="34">
        <v>1</v>
      </c>
      <c r="H17" s="2">
        <f t="shared" si="3"/>
        <v>29</v>
      </c>
      <c r="I17" s="4">
        <f t="shared" si="0"/>
        <v>4350</v>
      </c>
      <c r="J17" s="86"/>
      <c r="K17" s="2">
        <v>44</v>
      </c>
      <c r="L17" s="4">
        <f t="shared" si="4"/>
        <v>150</v>
      </c>
      <c r="M17" s="4"/>
      <c r="N17" s="4"/>
      <c r="O17" s="36">
        <f t="shared" si="1"/>
        <v>4306</v>
      </c>
      <c r="P17" s="2"/>
      <c r="Q17" s="81"/>
      <c r="R17" s="1"/>
      <c r="S17" s="1">
        <f>+E17/8.5</f>
        <v>17.647058823529413</v>
      </c>
      <c r="T17" s="1">
        <v>2.5</v>
      </c>
      <c r="U17">
        <f>+S17*T17</f>
        <v>44.117647058823536</v>
      </c>
    </row>
    <row r="18" spans="2:21" ht="19.899999999999999" customHeight="1">
      <c r="B18" s="2">
        <v>15</v>
      </c>
      <c r="C18" s="13" t="s">
        <v>10</v>
      </c>
      <c r="D18" s="11">
        <f>7100+500</f>
        <v>7600</v>
      </c>
      <c r="E18" s="4">
        <f>SUM(D18/30)</f>
        <v>253.33333333333334</v>
      </c>
      <c r="F18" s="2">
        <v>31</v>
      </c>
      <c r="G18" s="34">
        <v>1</v>
      </c>
      <c r="H18" s="2">
        <f t="shared" si="3"/>
        <v>29</v>
      </c>
      <c r="I18" s="4">
        <f t="shared" si="0"/>
        <v>7346.666666666667</v>
      </c>
      <c r="J18" s="33">
        <f>1500+500+200</f>
        <v>2200</v>
      </c>
      <c r="K18" s="2"/>
      <c r="L18" s="4">
        <f>SUM(G18*E18)</f>
        <v>253.33333333333334</v>
      </c>
      <c r="M18" s="4"/>
      <c r="N18" s="4"/>
      <c r="O18" s="36">
        <f t="shared" si="1"/>
        <v>5146.666666666667</v>
      </c>
      <c r="P18" s="2"/>
      <c r="Q18" s="81"/>
      <c r="R18" s="1"/>
      <c r="S18" s="1"/>
      <c r="T18" s="1"/>
    </row>
    <row r="19" spans="2:21" ht="19.899999999999999" customHeight="1">
      <c r="B19" s="2">
        <v>16</v>
      </c>
      <c r="C19" s="13" t="s">
        <v>23</v>
      </c>
      <c r="D19" s="11">
        <f>3700+600</f>
        <v>4300</v>
      </c>
      <c r="E19" s="4">
        <f t="shared" si="2"/>
        <v>143.33333333333334</v>
      </c>
      <c r="F19" s="2">
        <v>31</v>
      </c>
      <c r="G19" s="33">
        <v>1.5</v>
      </c>
      <c r="H19" s="2">
        <f t="shared" si="3"/>
        <v>28.5</v>
      </c>
      <c r="I19" s="4">
        <f t="shared" si="0"/>
        <v>4085</v>
      </c>
      <c r="J19" s="86"/>
      <c r="K19" s="2"/>
      <c r="L19" s="4">
        <f t="shared" si="4"/>
        <v>215</v>
      </c>
      <c r="M19" s="4"/>
      <c r="N19" s="4"/>
      <c r="O19" s="36">
        <f t="shared" si="1"/>
        <v>4085</v>
      </c>
      <c r="P19" s="2"/>
      <c r="Q19" s="81"/>
      <c r="R19" s="1"/>
      <c r="S19" s="1"/>
      <c r="T19" s="1"/>
    </row>
    <row r="20" spans="2:21" ht="19.899999999999999" customHeight="1">
      <c r="B20" s="2">
        <v>17</v>
      </c>
      <c r="C20" s="13" t="s">
        <v>24</v>
      </c>
      <c r="D20" s="11">
        <f>3600+600</f>
        <v>4200</v>
      </c>
      <c r="E20" s="4">
        <f t="shared" si="2"/>
        <v>140</v>
      </c>
      <c r="F20" s="2">
        <v>31</v>
      </c>
      <c r="G20" s="34">
        <v>0.5</v>
      </c>
      <c r="H20" s="2">
        <f t="shared" si="3"/>
        <v>29.5</v>
      </c>
      <c r="I20" s="4">
        <f t="shared" si="0"/>
        <v>4130</v>
      </c>
      <c r="J20" s="86"/>
      <c r="K20" s="2"/>
      <c r="L20" s="4">
        <f t="shared" si="4"/>
        <v>70</v>
      </c>
      <c r="M20" s="4"/>
      <c r="N20" s="4"/>
      <c r="O20" s="36">
        <f t="shared" si="1"/>
        <v>4130</v>
      </c>
      <c r="P20" s="2"/>
      <c r="Q20" s="81"/>
      <c r="R20" s="1"/>
      <c r="S20" s="1"/>
      <c r="T20" s="1"/>
    </row>
    <row r="21" spans="2:21" ht="19.899999999999999" customHeight="1">
      <c r="B21" s="2">
        <v>18</v>
      </c>
      <c r="C21" s="13" t="s">
        <v>25</v>
      </c>
      <c r="D21" s="11">
        <f>3700+600</f>
        <v>4300</v>
      </c>
      <c r="E21" s="4">
        <f t="shared" si="2"/>
        <v>143.33333333333334</v>
      </c>
      <c r="F21" s="2">
        <v>31</v>
      </c>
      <c r="G21" s="34">
        <v>0</v>
      </c>
      <c r="H21" s="2">
        <f t="shared" si="3"/>
        <v>30</v>
      </c>
      <c r="I21" s="4">
        <f t="shared" si="0"/>
        <v>4300</v>
      </c>
      <c r="J21" s="86"/>
      <c r="K21" s="46"/>
      <c r="L21" s="4">
        <f t="shared" si="4"/>
        <v>0</v>
      </c>
      <c r="M21" s="4"/>
      <c r="N21" s="4"/>
      <c r="O21" s="36">
        <f t="shared" si="1"/>
        <v>4300</v>
      </c>
      <c r="P21" s="2"/>
      <c r="Q21" s="81"/>
      <c r="R21" s="1"/>
      <c r="S21" s="1"/>
      <c r="T21" s="1"/>
    </row>
    <row r="22" spans="2:21" ht="19.899999999999999" customHeight="1">
      <c r="B22" s="2">
        <v>19</v>
      </c>
      <c r="C22" s="13" t="s">
        <v>28</v>
      </c>
      <c r="D22" s="11">
        <f>7000+1000</f>
        <v>8000</v>
      </c>
      <c r="E22" s="4">
        <f t="shared" si="2"/>
        <v>266.66666666666669</v>
      </c>
      <c r="F22" s="2">
        <v>31</v>
      </c>
      <c r="G22" s="100">
        <v>3</v>
      </c>
      <c r="H22" s="2">
        <f t="shared" si="3"/>
        <v>27</v>
      </c>
      <c r="I22" s="4">
        <f t="shared" si="0"/>
        <v>7200</v>
      </c>
      <c r="J22" s="33">
        <f>1000+500</f>
        <v>1500</v>
      </c>
      <c r="K22" s="2"/>
      <c r="L22" s="4">
        <f t="shared" si="4"/>
        <v>800</v>
      </c>
      <c r="M22" s="4"/>
      <c r="N22" s="4"/>
      <c r="O22" s="36">
        <f t="shared" si="1"/>
        <v>5700</v>
      </c>
      <c r="P22" s="2"/>
      <c r="Q22" s="81"/>
      <c r="R22" s="1"/>
      <c r="S22" s="1"/>
      <c r="T22" s="1"/>
    </row>
    <row r="23" spans="2:21" ht="19.899999999999999" customHeight="1">
      <c r="B23" s="2">
        <v>20</v>
      </c>
      <c r="C23" s="13" t="s">
        <v>15</v>
      </c>
      <c r="D23" s="11">
        <f>2850+600</f>
        <v>3450</v>
      </c>
      <c r="E23" s="4">
        <f t="shared" si="2"/>
        <v>115</v>
      </c>
      <c r="F23" s="2">
        <v>31</v>
      </c>
      <c r="G23" s="34">
        <v>0</v>
      </c>
      <c r="H23" s="2">
        <f t="shared" si="3"/>
        <v>30</v>
      </c>
      <c r="I23" s="4">
        <f t="shared" si="0"/>
        <v>3450</v>
      </c>
      <c r="J23" s="86">
        <v>500</v>
      </c>
      <c r="K23" s="2"/>
      <c r="L23" s="4">
        <f t="shared" si="4"/>
        <v>0</v>
      </c>
      <c r="M23" s="4"/>
      <c r="N23" s="4"/>
      <c r="O23" s="36">
        <f>SUM(I23-J23-M23-N23-K23)</f>
        <v>2950</v>
      </c>
      <c r="P23" s="2"/>
      <c r="Q23" s="81"/>
      <c r="R23" s="1"/>
      <c r="S23" s="1"/>
      <c r="T23" s="1"/>
    </row>
    <row r="24" spans="2:21" ht="19.899999999999999" customHeight="1">
      <c r="B24" s="2">
        <v>21</v>
      </c>
      <c r="C24" s="13" t="s">
        <v>88</v>
      </c>
      <c r="D24" s="11">
        <f>3500+1150</f>
        <v>4650</v>
      </c>
      <c r="E24" s="4">
        <f t="shared" si="2"/>
        <v>155</v>
      </c>
      <c r="F24" s="2">
        <v>31</v>
      </c>
      <c r="G24" s="34">
        <v>0</v>
      </c>
      <c r="H24" s="2">
        <f t="shared" si="3"/>
        <v>30</v>
      </c>
      <c r="I24" s="4">
        <f t="shared" si="0"/>
        <v>4650</v>
      </c>
      <c r="J24" s="86"/>
      <c r="K24" s="2"/>
      <c r="L24" s="4">
        <f t="shared" si="4"/>
        <v>0</v>
      </c>
      <c r="M24" s="4"/>
      <c r="N24" s="4"/>
      <c r="O24" s="36">
        <f t="shared" si="1"/>
        <v>4650</v>
      </c>
      <c r="P24" s="2"/>
      <c r="Q24" s="81"/>
      <c r="R24" s="1"/>
      <c r="S24" s="1"/>
      <c r="T24" s="1"/>
    </row>
    <row r="25" spans="2:21" ht="19.899999999999999" customHeight="1">
      <c r="B25" s="2">
        <v>22</v>
      </c>
      <c r="C25" s="13" t="s">
        <v>75</v>
      </c>
      <c r="D25" s="11">
        <f>3300+600</f>
        <v>3900</v>
      </c>
      <c r="E25" s="4">
        <f t="shared" si="2"/>
        <v>130</v>
      </c>
      <c r="F25" s="2">
        <v>31</v>
      </c>
      <c r="G25" s="34">
        <v>1</v>
      </c>
      <c r="H25" s="2">
        <f t="shared" si="3"/>
        <v>29</v>
      </c>
      <c r="I25" s="4">
        <f t="shared" si="0"/>
        <v>3770</v>
      </c>
      <c r="J25" s="33"/>
      <c r="K25" s="46"/>
      <c r="L25" s="4">
        <f t="shared" si="4"/>
        <v>130</v>
      </c>
      <c r="M25" s="4"/>
      <c r="N25" s="4"/>
      <c r="O25" s="36">
        <f t="shared" si="1"/>
        <v>3770</v>
      </c>
      <c r="P25" s="2"/>
      <c r="Q25" s="81"/>
      <c r="R25" s="1"/>
      <c r="S25" s="1"/>
      <c r="T25" s="1"/>
    </row>
    <row r="26" spans="2:21" ht="19.899999999999999" customHeight="1">
      <c r="B26" s="2">
        <v>23</v>
      </c>
      <c r="C26" s="13" t="s">
        <v>124</v>
      </c>
      <c r="D26" s="11">
        <f>3200+600</f>
        <v>3800</v>
      </c>
      <c r="E26" s="4">
        <f t="shared" si="2"/>
        <v>126.66666666666667</v>
      </c>
      <c r="F26" s="2">
        <v>31</v>
      </c>
      <c r="G26" s="34">
        <v>2</v>
      </c>
      <c r="H26" s="2">
        <f t="shared" si="3"/>
        <v>28</v>
      </c>
      <c r="I26" s="4">
        <f t="shared" si="0"/>
        <v>3546.6666666666665</v>
      </c>
      <c r="J26" s="33"/>
      <c r="K26" s="2"/>
      <c r="L26" s="4">
        <f t="shared" si="4"/>
        <v>253.33333333333334</v>
      </c>
      <c r="M26" s="4"/>
      <c r="N26" s="4"/>
      <c r="O26" s="36">
        <f t="shared" si="1"/>
        <v>3546.6666666666665</v>
      </c>
      <c r="P26" s="2"/>
      <c r="Q26" s="81"/>
      <c r="R26" s="1"/>
      <c r="S26" s="1"/>
      <c r="T26" s="1"/>
    </row>
    <row r="27" spans="2:21" ht="19.899999999999999" customHeight="1">
      <c r="B27" s="2">
        <v>24</v>
      </c>
      <c r="C27" s="13" t="s">
        <v>79</v>
      </c>
      <c r="D27" s="11">
        <f>2500+1000</f>
        <v>3500</v>
      </c>
      <c r="E27" s="4">
        <f t="shared" si="2"/>
        <v>116.66666666666667</v>
      </c>
      <c r="F27" s="2">
        <v>31</v>
      </c>
      <c r="G27" s="34">
        <v>0</v>
      </c>
      <c r="H27" s="2">
        <f t="shared" si="3"/>
        <v>30</v>
      </c>
      <c r="I27" s="4">
        <f t="shared" si="0"/>
        <v>3500</v>
      </c>
      <c r="J27" s="86"/>
      <c r="K27" s="2"/>
      <c r="L27" s="4">
        <f t="shared" si="4"/>
        <v>0</v>
      </c>
      <c r="M27" s="4"/>
      <c r="N27" s="4"/>
      <c r="O27" s="36">
        <f>SUM(I27-J27-M27-N27-K27)</f>
        <v>3500</v>
      </c>
      <c r="P27" s="2"/>
      <c r="Q27" s="81"/>
      <c r="R27" s="1"/>
      <c r="S27" s="1"/>
      <c r="T27" s="1"/>
    </row>
    <row r="28" spans="2:21" ht="19.899999999999999" customHeight="1">
      <c r="B28" s="2">
        <v>25</v>
      </c>
      <c r="C28" s="13" t="s">
        <v>78</v>
      </c>
      <c r="D28" s="11">
        <v>4000</v>
      </c>
      <c r="E28" s="4">
        <f t="shared" si="2"/>
        <v>133.33333333333334</v>
      </c>
      <c r="F28" s="2">
        <v>31</v>
      </c>
      <c r="G28" s="34">
        <v>3</v>
      </c>
      <c r="H28" s="2">
        <f t="shared" si="3"/>
        <v>27</v>
      </c>
      <c r="I28" s="4">
        <f t="shared" si="0"/>
        <v>3600</v>
      </c>
      <c r="J28" s="86"/>
      <c r="K28" s="2"/>
      <c r="L28" s="4">
        <f t="shared" si="4"/>
        <v>400</v>
      </c>
      <c r="M28" s="4"/>
      <c r="N28" s="4"/>
      <c r="O28" s="36">
        <f t="shared" si="1"/>
        <v>3600</v>
      </c>
      <c r="P28" s="2"/>
      <c r="Q28" s="81"/>
    </row>
    <row r="29" spans="2:21" ht="19.899999999999999" customHeight="1">
      <c r="B29" s="2">
        <v>26</v>
      </c>
      <c r="C29" s="13" t="s">
        <v>89</v>
      </c>
      <c r="D29" s="16">
        <f>2500+500</f>
        <v>3000</v>
      </c>
      <c r="E29" s="17">
        <f t="shared" si="2"/>
        <v>100</v>
      </c>
      <c r="F29" s="2">
        <v>31</v>
      </c>
      <c r="G29" s="35">
        <v>5.5</v>
      </c>
      <c r="H29" s="2">
        <f t="shared" si="3"/>
        <v>24.5</v>
      </c>
      <c r="I29" s="17">
        <f t="shared" si="0"/>
        <v>2450</v>
      </c>
      <c r="J29" s="33"/>
      <c r="K29" s="18"/>
      <c r="L29" s="17">
        <f t="shared" si="4"/>
        <v>550</v>
      </c>
      <c r="M29" s="17"/>
      <c r="N29" s="17"/>
      <c r="O29" s="36">
        <f t="shared" si="1"/>
        <v>2450</v>
      </c>
      <c r="P29" s="2"/>
      <c r="Q29" s="81"/>
    </row>
    <row r="30" spans="2:21" ht="19.899999999999999" customHeight="1">
      <c r="B30" s="2">
        <v>27</v>
      </c>
      <c r="C30" s="13" t="s">
        <v>93</v>
      </c>
      <c r="D30" s="16">
        <f>2500+600</f>
        <v>3100</v>
      </c>
      <c r="E30" s="17">
        <f t="shared" si="2"/>
        <v>103.33333333333333</v>
      </c>
      <c r="F30" s="2">
        <v>31</v>
      </c>
      <c r="G30" s="35">
        <v>4</v>
      </c>
      <c r="H30" s="2">
        <f t="shared" si="3"/>
        <v>26</v>
      </c>
      <c r="I30" s="17">
        <f>SUM(D30-L30)</f>
        <v>2686.6666666666665</v>
      </c>
      <c r="J30" s="86"/>
      <c r="K30" s="18"/>
      <c r="L30" s="17">
        <f t="shared" si="4"/>
        <v>413.33333333333331</v>
      </c>
      <c r="M30" s="17"/>
      <c r="N30" s="17"/>
      <c r="O30" s="36">
        <f t="shared" si="1"/>
        <v>2686.6666666666665</v>
      </c>
      <c r="P30" s="2"/>
      <c r="Q30" s="103">
        <v>2.5</v>
      </c>
      <c r="R30" s="1">
        <f>+E30/8.5*Q30</f>
        <v>30.392156862745097</v>
      </c>
    </row>
    <row r="31" spans="2:21" ht="19.899999999999999" customHeight="1">
      <c r="B31" s="2">
        <v>28</v>
      </c>
      <c r="C31" s="13" t="s">
        <v>101</v>
      </c>
      <c r="D31" s="16">
        <f>2500+600</f>
        <v>3100</v>
      </c>
      <c r="E31" s="17">
        <f t="shared" si="2"/>
        <v>103.33333333333333</v>
      </c>
      <c r="F31" s="2">
        <v>31</v>
      </c>
      <c r="G31" s="35">
        <v>5</v>
      </c>
      <c r="H31" s="2">
        <f t="shared" si="3"/>
        <v>25</v>
      </c>
      <c r="I31" s="17">
        <f t="shared" si="0"/>
        <v>2583.3333333333335</v>
      </c>
      <c r="J31" s="86"/>
      <c r="K31" s="96"/>
      <c r="L31" s="17">
        <f t="shared" si="4"/>
        <v>516.66666666666663</v>
      </c>
      <c r="M31" s="17"/>
      <c r="N31" s="17"/>
      <c r="O31" s="36">
        <f t="shared" si="1"/>
        <v>2583.3333333333335</v>
      </c>
      <c r="P31" s="2"/>
      <c r="Q31" s="81">
        <v>1.5</v>
      </c>
      <c r="R31" s="1">
        <f>+E31/8.5*Q31</f>
        <v>18.235294117647058</v>
      </c>
    </row>
    <row r="32" spans="2:21" ht="19.899999999999999" customHeight="1">
      <c r="B32" s="2"/>
      <c r="C32" s="13"/>
      <c r="D32" s="16"/>
      <c r="E32" s="17"/>
      <c r="F32" s="2"/>
      <c r="G32" s="35"/>
      <c r="H32" s="2"/>
      <c r="I32" s="17"/>
      <c r="J32" s="86"/>
      <c r="K32" s="18"/>
      <c r="L32" s="17"/>
      <c r="M32" s="17"/>
      <c r="N32" s="17"/>
      <c r="O32" s="36"/>
      <c r="P32" s="2"/>
      <c r="Q32" s="81"/>
    </row>
    <row r="33" spans="2:21" ht="19.899999999999999" customHeight="1">
      <c r="B33" s="2">
        <v>29</v>
      </c>
      <c r="C33" s="13" t="s">
        <v>108</v>
      </c>
      <c r="D33" s="16">
        <f>2500+600</f>
        <v>3100</v>
      </c>
      <c r="E33" s="17">
        <f t="shared" si="2"/>
        <v>103.33333333333333</v>
      </c>
      <c r="F33" s="2">
        <v>31</v>
      </c>
      <c r="G33" s="35">
        <v>2</v>
      </c>
      <c r="H33" s="2">
        <f t="shared" si="3"/>
        <v>28</v>
      </c>
      <c r="I33" s="17">
        <f>SUM(D33-L33)</f>
        <v>2893.3333333333335</v>
      </c>
      <c r="J33" s="86"/>
      <c r="K33" s="18"/>
      <c r="L33" s="17">
        <f>SUM(G33*E33)</f>
        <v>206.66666666666666</v>
      </c>
      <c r="M33" s="17"/>
      <c r="N33" s="17"/>
      <c r="O33" s="36">
        <f t="shared" si="1"/>
        <v>2893.3333333333335</v>
      </c>
      <c r="P33" s="2"/>
      <c r="Q33" s="105"/>
    </row>
    <row r="34" spans="2:21" ht="19.899999999999999" customHeight="1">
      <c r="B34" s="2">
        <v>30</v>
      </c>
      <c r="C34" s="13" t="s">
        <v>111</v>
      </c>
      <c r="D34" s="107">
        <f>8500+1000</f>
        <v>9500</v>
      </c>
      <c r="E34" s="17">
        <f t="shared" si="2"/>
        <v>316.66666666666669</v>
      </c>
      <c r="F34" s="2">
        <v>31</v>
      </c>
      <c r="G34" s="35">
        <v>0.5</v>
      </c>
      <c r="H34" s="2">
        <f t="shared" si="3"/>
        <v>29.5</v>
      </c>
      <c r="I34" s="17">
        <f t="shared" si="0"/>
        <v>9341.6666666666661</v>
      </c>
      <c r="J34" s="33">
        <f>2000+2000</f>
        <v>4000</v>
      </c>
      <c r="K34" s="96"/>
      <c r="L34" s="17">
        <f t="shared" si="4"/>
        <v>158.33333333333334</v>
      </c>
      <c r="M34" s="17"/>
      <c r="N34" s="17"/>
      <c r="O34" s="36">
        <f t="shared" si="1"/>
        <v>5341.6666666666661</v>
      </c>
      <c r="P34" s="2"/>
      <c r="Q34" s="81"/>
      <c r="S34">
        <f>+E34/9.5</f>
        <v>33.333333333333336</v>
      </c>
      <c r="T34">
        <v>0.45</v>
      </c>
      <c r="U34">
        <f>+S34*T34</f>
        <v>15.000000000000002</v>
      </c>
    </row>
    <row r="35" spans="2:21" ht="19.899999999999999" customHeight="1">
      <c r="B35" s="2">
        <v>31</v>
      </c>
      <c r="C35" s="13" t="s">
        <v>112</v>
      </c>
      <c r="D35" s="38">
        <f>3500+500+100</f>
        <v>4100</v>
      </c>
      <c r="E35" s="17">
        <f t="shared" si="2"/>
        <v>136.66666666666666</v>
      </c>
      <c r="F35" s="2">
        <v>31</v>
      </c>
      <c r="G35" s="35">
        <v>3.5</v>
      </c>
      <c r="H35" s="2">
        <f t="shared" si="3"/>
        <v>26.5</v>
      </c>
      <c r="I35" s="17">
        <f t="shared" si="0"/>
        <v>3621.6666666666665</v>
      </c>
      <c r="J35" s="33">
        <f>1000+1000</f>
        <v>2000</v>
      </c>
      <c r="K35" s="96"/>
      <c r="L35" s="17">
        <f t="shared" si="4"/>
        <v>478.33333333333331</v>
      </c>
      <c r="M35" s="17"/>
      <c r="N35" s="17"/>
      <c r="O35" s="36">
        <f>SUM(I35-J35-M35-N35-K35)</f>
        <v>1621.6666666666665</v>
      </c>
      <c r="P35" s="2"/>
      <c r="Q35" s="81"/>
    </row>
    <row r="36" spans="2:21" ht="19.899999999999999" customHeight="1">
      <c r="B36" s="2">
        <v>32</v>
      </c>
      <c r="C36" s="13" t="s">
        <v>114</v>
      </c>
      <c r="D36" s="107">
        <f>12500+500</f>
        <v>13000</v>
      </c>
      <c r="E36" s="17">
        <f t="shared" si="2"/>
        <v>433.33333333333331</v>
      </c>
      <c r="F36" s="2">
        <v>31</v>
      </c>
      <c r="G36" s="35">
        <v>1</v>
      </c>
      <c r="H36" s="2">
        <f t="shared" si="3"/>
        <v>29</v>
      </c>
      <c r="I36" s="17">
        <f t="shared" si="0"/>
        <v>12566.666666666666</v>
      </c>
      <c r="J36" s="33">
        <v>300</v>
      </c>
      <c r="K36" s="18"/>
      <c r="L36" s="17">
        <f t="shared" si="4"/>
        <v>433.33333333333331</v>
      </c>
      <c r="M36" s="17"/>
      <c r="N36" s="17"/>
      <c r="O36" s="36">
        <f t="shared" si="1"/>
        <v>12266.666666666666</v>
      </c>
      <c r="P36" s="2"/>
      <c r="Q36" s="81"/>
    </row>
    <row r="37" spans="2:21" ht="19.899999999999999" customHeight="1">
      <c r="B37" s="2">
        <v>33</v>
      </c>
      <c r="C37" s="13" t="s">
        <v>117</v>
      </c>
      <c r="D37" s="38">
        <f>2500+500</f>
        <v>3000</v>
      </c>
      <c r="E37" s="17">
        <f t="shared" si="2"/>
        <v>100</v>
      </c>
      <c r="F37" s="2">
        <v>31</v>
      </c>
      <c r="G37" s="35">
        <v>0</v>
      </c>
      <c r="H37" s="2">
        <f t="shared" si="3"/>
        <v>30</v>
      </c>
      <c r="I37" s="17">
        <f t="shared" si="0"/>
        <v>3000</v>
      </c>
      <c r="J37" s="86"/>
      <c r="K37" s="18"/>
      <c r="L37" s="17">
        <f t="shared" si="4"/>
        <v>0</v>
      </c>
      <c r="M37" s="17"/>
      <c r="N37" s="17"/>
      <c r="O37" s="36">
        <f t="shared" si="1"/>
        <v>3000</v>
      </c>
      <c r="P37" s="2"/>
      <c r="Q37" s="81"/>
    </row>
    <row r="38" spans="2:21" ht="19.899999999999999" customHeight="1">
      <c r="B38" s="2">
        <v>34</v>
      </c>
      <c r="C38" s="13" t="s">
        <v>120</v>
      </c>
      <c r="D38" s="38">
        <f>2500+500</f>
        <v>3000</v>
      </c>
      <c r="E38" s="17">
        <f t="shared" si="2"/>
        <v>100</v>
      </c>
      <c r="F38" s="2">
        <v>31</v>
      </c>
      <c r="G38" s="35">
        <v>18</v>
      </c>
      <c r="H38" s="2">
        <f t="shared" si="3"/>
        <v>12</v>
      </c>
      <c r="I38" s="17">
        <f t="shared" si="0"/>
        <v>1200</v>
      </c>
      <c r="J38" s="86"/>
      <c r="K38" s="18"/>
      <c r="L38" s="17">
        <f t="shared" si="4"/>
        <v>1800</v>
      </c>
      <c r="M38" s="17"/>
      <c r="N38" s="17"/>
      <c r="O38" s="36">
        <f t="shared" si="1"/>
        <v>1200</v>
      </c>
      <c r="P38" s="2"/>
      <c r="Q38" s="81"/>
    </row>
    <row r="39" spans="2:21" ht="19.899999999999999" customHeight="1">
      <c r="B39" s="2">
        <v>35</v>
      </c>
      <c r="C39" s="13" t="s">
        <v>126</v>
      </c>
      <c r="D39" s="107">
        <f>10000+500</f>
        <v>10500</v>
      </c>
      <c r="E39" s="17">
        <f t="shared" si="2"/>
        <v>350</v>
      </c>
      <c r="F39" s="2">
        <v>31</v>
      </c>
      <c r="G39" s="35">
        <v>2.5</v>
      </c>
      <c r="H39" s="2">
        <f t="shared" si="3"/>
        <v>27.5</v>
      </c>
      <c r="I39" s="17">
        <f>SUM(D39-L39)</f>
        <v>9625</v>
      </c>
      <c r="J39" s="86"/>
      <c r="K39" s="18"/>
      <c r="L39" s="17">
        <f t="shared" si="4"/>
        <v>875</v>
      </c>
      <c r="M39" s="17"/>
      <c r="N39" s="17"/>
      <c r="O39" s="36">
        <f t="shared" si="1"/>
        <v>9625</v>
      </c>
      <c r="P39" s="2"/>
      <c r="Q39" s="81"/>
    </row>
    <row r="40" spans="2:21" ht="19.899999999999999" customHeight="1">
      <c r="B40" s="2">
        <v>36</v>
      </c>
      <c r="C40" s="13" t="s">
        <v>130</v>
      </c>
      <c r="D40" s="38">
        <f>12000+500</f>
        <v>12500</v>
      </c>
      <c r="E40" s="17">
        <f t="shared" si="2"/>
        <v>416.66666666666669</v>
      </c>
      <c r="F40" s="2">
        <v>31</v>
      </c>
      <c r="G40" s="101">
        <v>0</v>
      </c>
      <c r="H40" s="2">
        <f t="shared" si="3"/>
        <v>30</v>
      </c>
      <c r="I40" s="17">
        <f t="shared" si="0"/>
        <v>12500</v>
      </c>
      <c r="J40" s="86"/>
      <c r="K40" s="18"/>
      <c r="L40" s="17">
        <f t="shared" si="4"/>
        <v>0</v>
      </c>
      <c r="M40" s="17"/>
      <c r="N40" s="17"/>
      <c r="O40" s="36">
        <f t="shared" si="1"/>
        <v>12500</v>
      </c>
      <c r="P40" s="2"/>
      <c r="Q40" s="81"/>
    </row>
    <row r="41" spans="2:21" ht="19.899999999999999" customHeight="1">
      <c r="B41" s="2">
        <v>37</v>
      </c>
      <c r="C41" s="66" t="s">
        <v>131</v>
      </c>
      <c r="D41" s="38">
        <f>2500+500</f>
        <v>3000</v>
      </c>
      <c r="E41" s="17">
        <f t="shared" si="2"/>
        <v>100</v>
      </c>
      <c r="F41" s="2">
        <v>31</v>
      </c>
      <c r="G41" s="35">
        <v>4.5</v>
      </c>
      <c r="H41" s="2">
        <f t="shared" si="3"/>
        <v>25.5</v>
      </c>
      <c r="I41" s="17">
        <f t="shared" si="0"/>
        <v>2550</v>
      </c>
      <c r="J41" s="88"/>
      <c r="K41" s="18"/>
      <c r="L41" s="17">
        <f t="shared" si="4"/>
        <v>450</v>
      </c>
      <c r="M41" s="17"/>
      <c r="N41" s="17"/>
      <c r="O41" s="36">
        <f t="shared" si="1"/>
        <v>2550</v>
      </c>
      <c r="P41" s="2"/>
      <c r="Q41" s="81"/>
    </row>
    <row r="42" spans="2:21" ht="19.899999999999999" customHeight="1">
      <c r="B42" s="2">
        <v>38</v>
      </c>
      <c r="C42" s="66" t="s">
        <v>147</v>
      </c>
      <c r="D42" s="38">
        <f>3500+1000</f>
        <v>4500</v>
      </c>
      <c r="E42" s="17">
        <f t="shared" si="2"/>
        <v>150</v>
      </c>
      <c r="F42" s="2">
        <v>31</v>
      </c>
      <c r="G42" s="35">
        <v>17</v>
      </c>
      <c r="H42" s="2">
        <f t="shared" si="3"/>
        <v>13</v>
      </c>
      <c r="I42" s="17">
        <f t="shared" si="0"/>
        <v>1950</v>
      </c>
      <c r="J42" s="88">
        <v>1500</v>
      </c>
      <c r="K42" s="18"/>
      <c r="L42" s="17">
        <f t="shared" si="4"/>
        <v>2550</v>
      </c>
      <c r="M42" s="17"/>
      <c r="N42" s="17"/>
      <c r="O42" s="36">
        <f t="shared" si="1"/>
        <v>450</v>
      </c>
      <c r="P42" s="2"/>
      <c r="Q42" s="81">
        <v>1</v>
      </c>
      <c r="R42" s="1">
        <f>+E42/9.5*Q42</f>
        <v>15.789473684210526</v>
      </c>
    </row>
    <row r="43" spans="2:21" ht="19.899999999999999" customHeight="1">
      <c r="B43" s="2">
        <v>39</v>
      </c>
      <c r="C43" s="66" t="s">
        <v>151</v>
      </c>
      <c r="D43" s="107">
        <v>5000</v>
      </c>
      <c r="E43" s="17">
        <f t="shared" si="2"/>
        <v>166.66666666666666</v>
      </c>
      <c r="F43" s="2">
        <v>31</v>
      </c>
      <c r="G43" s="35">
        <v>3</v>
      </c>
      <c r="H43" s="2">
        <f t="shared" si="3"/>
        <v>27</v>
      </c>
      <c r="I43" s="17">
        <f t="shared" si="0"/>
        <v>4500</v>
      </c>
      <c r="J43" s="87"/>
      <c r="K43" s="18"/>
      <c r="L43" s="17">
        <f t="shared" si="4"/>
        <v>500</v>
      </c>
      <c r="M43" s="17"/>
      <c r="N43" s="17"/>
      <c r="O43" s="36">
        <f t="shared" si="1"/>
        <v>4500</v>
      </c>
      <c r="P43" s="2"/>
      <c r="Q43" s="81"/>
    </row>
    <row r="44" spans="2:21" ht="19.899999999999999" customHeight="1">
      <c r="B44" s="2">
        <v>40</v>
      </c>
      <c r="C44" s="13" t="s">
        <v>159</v>
      </c>
      <c r="D44" s="11">
        <v>10000</v>
      </c>
      <c r="E44" s="4">
        <f t="shared" si="2"/>
        <v>333.33333333333331</v>
      </c>
      <c r="F44" s="2">
        <v>31</v>
      </c>
      <c r="G44" s="2">
        <v>0</v>
      </c>
      <c r="H44" s="2">
        <f t="shared" si="3"/>
        <v>30</v>
      </c>
      <c r="I44" s="4">
        <f t="shared" ref="I44:I49" si="5">SUM(D44-L44)</f>
        <v>10000</v>
      </c>
      <c r="J44" s="33">
        <f>500+500+100+2000</f>
        <v>3100</v>
      </c>
      <c r="K44" s="46">
        <v>35</v>
      </c>
      <c r="L44" s="4">
        <f>SUM(G44*E44)</f>
        <v>0</v>
      </c>
      <c r="M44" s="4"/>
      <c r="N44" s="4"/>
      <c r="O44" s="104">
        <f>SUM(I44-J44-M44-N44-K44)</f>
        <v>6865</v>
      </c>
      <c r="P44" s="2"/>
      <c r="Q44" s="2">
        <v>2.5</v>
      </c>
      <c r="R44" s="1">
        <f>+E44/9.5*Q44</f>
        <v>87.719298245614027</v>
      </c>
      <c r="S44">
        <f>+E44/9.5</f>
        <v>35.087719298245609</v>
      </c>
      <c r="T44">
        <v>1</v>
      </c>
      <c r="U44">
        <f>+S44*T44</f>
        <v>35.087719298245609</v>
      </c>
    </row>
    <row r="45" spans="2:21" ht="19.899999999999999" customHeight="1">
      <c r="B45" s="2">
        <v>41</v>
      </c>
      <c r="C45" s="13" t="s">
        <v>188</v>
      </c>
      <c r="D45" s="11">
        <v>4250</v>
      </c>
      <c r="E45" s="4">
        <f t="shared" si="2"/>
        <v>141.66666666666666</v>
      </c>
      <c r="F45" s="2">
        <v>31</v>
      </c>
      <c r="G45" s="3">
        <v>0</v>
      </c>
      <c r="H45" s="2">
        <f t="shared" si="3"/>
        <v>30</v>
      </c>
      <c r="I45" s="4">
        <f t="shared" si="5"/>
        <v>4250</v>
      </c>
      <c r="J45" s="33"/>
      <c r="K45" s="46"/>
      <c r="L45" s="4">
        <f>SUM(G45*E45)</f>
        <v>0</v>
      </c>
      <c r="M45" s="4"/>
      <c r="N45" s="4"/>
      <c r="O45" s="104">
        <f t="shared" ref="O45:O49" si="6">SUM(I45-J45-M45-N45-K45)</f>
        <v>4250</v>
      </c>
      <c r="P45" s="2"/>
      <c r="Q45" s="2"/>
    </row>
    <row r="46" spans="2:21" ht="19.899999999999999" customHeight="1">
      <c r="B46" s="2">
        <v>42</v>
      </c>
      <c r="C46" s="13" t="s">
        <v>186</v>
      </c>
      <c r="D46" s="11">
        <v>20000</v>
      </c>
      <c r="E46" s="4">
        <f>SUM(D46/30)</f>
        <v>666.66666666666663</v>
      </c>
      <c r="F46" s="2">
        <v>31</v>
      </c>
      <c r="G46" s="2">
        <v>2</v>
      </c>
      <c r="H46" s="2">
        <f t="shared" si="3"/>
        <v>28</v>
      </c>
      <c r="I46" s="4">
        <f t="shared" si="5"/>
        <v>18666.666666666668</v>
      </c>
      <c r="J46" s="33">
        <v>5000</v>
      </c>
      <c r="K46" s="46"/>
      <c r="L46" s="4">
        <f>SUM(G46*E46)</f>
        <v>1333.3333333333333</v>
      </c>
      <c r="M46" s="4"/>
      <c r="N46" s="4"/>
      <c r="O46" s="104">
        <f t="shared" si="6"/>
        <v>13666.666666666668</v>
      </c>
      <c r="P46" s="2"/>
      <c r="Q46" s="2"/>
    </row>
    <row r="47" spans="2:21" ht="19.899999999999999" customHeight="1">
      <c r="B47" s="2">
        <v>43</v>
      </c>
      <c r="C47" s="13" t="s">
        <v>187</v>
      </c>
      <c r="D47" s="11">
        <v>7000</v>
      </c>
      <c r="E47" s="4">
        <f t="shared" si="2"/>
        <v>233.33333333333334</v>
      </c>
      <c r="F47" s="2">
        <v>31</v>
      </c>
      <c r="G47" s="2">
        <v>2.5</v>
      </c>
      <c r="H47" s="2">
        <f t="shared" si="3"/>
        <v>27.5</v>
      </c>
      <c r="I47" s="4">
        <f t="shared" si="5"/>
        <v>6416.666666666667</v>
      </c>
      <c r="J47" s="33"/>
      <c r="K47" s="46"/>
      <c r="L47" s="4">
        <f>SUM(G47*E47)</f>
        <v>583.33333333333337</v>
      </c>
      <c r="M47" s="4"/>
      <c r="N47" s="4"/>
      <c r="O47" s="104">
        <f t="shared" si="6"/>
        <v>6416.666666666667</v>
      </c>
      <c r="P47" s="46"/>
      <c r="Q47" s="2"/>
      <c r="U47" t="s">
        <v>194</v>
      </c>
    </row>
    <row r="48" spans="2:21" ht="19.899999999999999" customHeight="1">
      <c r="B48" s="2">
        <v>44</v>
      </c>
      <c r="C48" s="13" t="s">
        <v>192</v>
      </c>
      <c r="D48" s="11">
        <v>10000</v>
      </c>
      <c r="E48" s="4">
        <f t="shared" si="2"/>
        <v>333.33333333333331</v>
      </c>
      <c r="F48" s="2">
        <v>31</v>
      </c>
      <c r="G48" s="2">
        <v>17</v>
      </c>
      <c r="H48" s="2">
        <f t="shared" si="3"/>
        <v>13</v>
      </c>
      <c r="I48" s="4">
        <f t="shared" si="5"/>
        <v>4333.3333333333339</v>
      </c>
      <c r="J48" s="33">
        <v>500</v>
      </c>
      <c r="K48" s="46"/>
      <c r="L48" s="4">
        <f>SUM(G48*E48)</f>
        <v>5666.6666666666661</v>
      </c>
      <c r="M48" s="4"/>
      <c r="N48" s="4"/>
      <c r="O48" s="104">
        <f t="shared" si="6"/>
        <v>3833.3333333333339</v>
      </c>
      <c r="P48" s="46"/>
      <c r="Q48" s="2"/>
    </row>
    <row r="49" spans="2:17" ht="19.899999999999999" customHeight="1">
      <c r="B49" s="2">
        <v>46</v>
      </c>
      <c r="C49" s="13" t="s">
        <v>195</v>
      </c>
      <c r="D49" s="11">
        <v>3600</v>
      </c>
      <c r="E49" s="4">
        <f t="shared" si="2"/>
        <v>120</v>
      </c>
      <c r="F49" s="2">
        <v>31</v>
      </c>
      <c r="G49" s="2">
        <v>7.5</v>
      </c>
      <c r="H49" s="2">
        <f t="shared" si="3"/>
        <v>22.5</v>
      </c>
      <c r="I49" s="4">
        <f t="shared" si="5"/>
        <v>2700</v>
      </c>
      <c r="J49" s="33"/>
      <c r="K49" s="46"/>
      <c r="L49" s="4">
        <f>SUM(G49*E49)</f>
        <v>900</v>
      </c>
      <c r="M49" s="4"/>
      <c r="N49" s="4"/>
      <c r="O49" s="104">
        <f t="shared" si="6"/>
        <v>2700</v>
      </c>
      <c r="P49" s="46"/>
      <c r="Q49" s="2"/>
    </row>
    <row r="50" spans="2:17" ht="19.899999999999999" customHeight="1">
      <c r="B50" s="82"/>
      <c r="C50" s="48" t="s">
        <v>40</v>
      </c>
      <c r="D50" s="57">
        <f>SUM(D4:D49)</f>
        <v>292750</v>
      </c>
      <c r="E50" s="54"/>
      <c r="F50" s="55"/>
      <c r="G50" s="57">
        <f>SUM(G4:G49)</f>
        <v>143</v>
      </c>
      <c r="H50" s="55"/>
      <c r="I50" s="57">
        <f>SUM(I4:I49)</f>
        <v>264735.83333333331</v>
      </c>
      <c r="J50" s="57">
        <f>SUM(J4:J49)</f>
        <v>32200</v>
      </c>
      <c r="K50" s="57">
        <f>SUM(K4:K49)</f>
        <v>218</v>
      </c>
      <c r="L50" s="57">
        <f>SUM(L4:L49)</f>
        <v>28014.166666666664</v>
      </c>
      <c r="M50" s="57">
        <f>SUM(M4:M49)</f>
        <v>1260</v>
      </c>
      <c r="N50" s="57">
        <f>SUM(N4:N49)</f>
        <v>265</v>
      </c>
      <c r="O50" s="99">
        <f>SUM(O4:O49)</f>
        <v>230792.83333333334</v>
      </c>
      <c r="P50" s="110"/>
      <c r="Q50" s="110"/>
    </row>
    <row r="51" spans="2:17" ht="19.899999999999999" customHeight="1" thickBot="1">
      <c r="B51" s="3"/>
      <c r="C51" s="48"/>
      <c r="D51" s="21"/>
      <c r="E51" s="23"/>
      <c r="F51" s="12"/>
      <c r="G51" s="54"/>
      <c r="H51" s="12"/>
      <c r="I51" s="21"/>
      <c r="J51" s="50"/>
      <c r="K51" s="50"/>
      <c r="L51" s="50"/>
      <c r="M51" s="51"/>
      <c r="N51" s="51"/>
      <c r="O51" s="51"/>
      <c r="P51" s="110"/>
      <c r="Q51" s="110"/>
    </row>
    <row r="52" spans="2:17">
      <c r="B52" s="83"/>
      <c r="F52" s="2"/>
      <c r="H52" s="43"/>
      <c r="K52" s="47"/>
    </row>
    <row r="53" spans="2:17" ht="26.25">
      <c r="C53" s="26"/>
      <c r="D53" s="26"/>
      <c r="E53" s="26"/>
      <c r="F53" s="26"/>
      <c r="G53" s="26" t="s">
        <v>122</v>
      </c>
      <c r="H53" s="26"/>
      <c r="I53" s="26"/>
      <c r="J53" s="26"/>
      <c r="K53" s="76"/>
      <c r="L53" s="26" t="s">
        <v>92</v>
      </c>
      <c r="M53" s="26"/>
      <c r="N53" s="26"/>
    </row>
    <row r="54" spans="2:17" ht="26.25">
      <c r="B54" s="1"/>
      <c r="C54" s="1"/>
      <c r="D54" s="26"/>
      <c r="E54" s="26"/>
      <c r="F54" s="26"/>
      <c r="G54" s="111"/>
      <c r="H54" s="26"/>
      <c r="I54" s="26"/>
      <c r="J54" s="26"/>
      <c r="K54" s="26"/>
      <c r="L54" s="26"/>
      <c r="M54" s="26"/>
      <c r="N54" s="26"/>
      <c r="P54" s="1"/>
    </row>
    <row r="55" spans="2:17" ht="24">
      <c r="B55" s="1"/>
      <c r="C55" s="108" t="s">
        <v>183</v>
      </c>
      <c r="G55" s="82"/>
      <c r="H55" s="43"/>
      <c r="J55" s="43"/>
      <c r="K55" s="43"/>
      <c r="L55" s="43"/>
      <c r="P55" s="82"/>
    </row>
    <row r="56" spans="2:17" ht="26.25">
      <c r="B56" s="1"/>
      <c r="C56" s="26"/>
      <c r="H56" s="43"/>
      <c r="J56" s="43"/>
      <c r="K56" s="43">
        <f>+I50-J50-K50-M50-N50</f>
        <v>230792.83333333331</v>
      </c>
      <c r="L56" s="43"/>
    </row>
    <row r="57" spans="2:17" ht="26.25">
      <c r="B57" s="1"/>
      <c r="H57" s="26"/>
      <c r="K57" s="43"/>
    </row>
    <row r="58" spans="2:17">
      <c r="J58" s="43"/>
    </row>
  </sheetData>
  <autoFilter ref="B2:S55">
    <filterColumn colId="5"/>
  </autoFilter>
  <mergeCells count="2">
    <mergeCell ref="P50:P51"/>
    <mergeCell ref="Q50:Q51"/>
  </mergeCells>
  <pageMargins left="0.12" right="0.11" top="0.32" bottom="0.32" header="0.3" footer="0.3"/>
  <pageSetup scale="94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U60"/>
  <sheetViews>
    <sheetView topLeftCell="A49" workbookViewId="0">
      <selection activeCell="I54" sqref="I54"/>
    </sheetView>
  </sheetViews>
  <sheetFormatPr defaultRowHeight="15"/>
  <cols>
    <col min="1" max="1" width="0.140625" customWidth="1"/>
    <col min="2" max="2" width="2.85546875" customWidth="1"/>
    <col min="3" max="3" width="17.7109375" customWidth="1"/>
    <col min="4" max="4" width="8.7109375" customWidth="1"/>
    <col min="5" max="5" width="11.28515625" customWidth="1"/>
    <col min="6" max="6" width="7.140625" customWidth="1"/>
    <col min="7" max="7" width="5" customWidth="1"/>
    <col min="8" max="8" width="6.85546875" customWidth="1"/>
    <col min="9" max="9" width="10" customWidth="1"/>
    <col min="10" max="10" width="9.5703125" customWidth="1"/>
    <col min="11" max="11" width="9.28515625" customWidth="1"/>
    <col min="12" max="12" width="9.85546875" customWidth="1"/>
    <col min="13" max="13" width="7.28515625" customWidth="1"/>
    <col min="14" max="14" width="5.42578125" customWidth="1"/>
    <col min="15" max="16" width="11.7109375" customWidth="1"/>
    <col min="17" max="17" width="22.28515625" customWidth="1"/>
    <col min="18" max="18" width="10.42578125" customWidth="1"/>
  </cols>
  <sheetData>
    <row r="1" spans="2:21">
      <c r="C1" s="6"/>
    </row>
    <row r="2" spans="2:21" ht="36">
      <c r="C2" s="79">
        <v>42309</v>
      </c>
      <c r="D2" t="s">
        <v>41</v>
      </c>
      <c r="E2" s="8" t="s">
        <v>136</v>
      </c>
      <c r="F2" s="8"/>
      <c r="G2" s="8"/>
      <c r="H2" s="9"/>
      <c r="I2" s="5"/>
      <c r="J2" s="5"/>
      <c r="K2" s="5"/>
    </row>
    <row r="3" spans="2:21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8" t="s">
        <v>152</v>
      </c>
      <c r="Q3" s="2" t="s">
        <v>105</v>
      </c>
      <c r="R3" s="1"/>
      <c r="S3" s="1"/>
      <c r="T3" s="1"/>
      <c r="U3" s="1"/>
    </row>
    <row r="4" spans="2:21" ht="19.899999999999999" customHeight="1">
      <c r="B4" s="2">
        <v>1</v>
      </c>
      <c r="C4" s="13" t="s">
        <v>45</v>
      </c>
      <c r="D4" s="11">
        <v>11700</v>
      </c>
      <c r="E4" s="4">
        <f>SUM(D4/30)</f>
        <v>390</v>
      </c>
      <c r="F4" s="2">
        <v>30</v>
      </c>
      <c r="G4" s="33">
        <v>1.5</v>
      </c>
      <c r="H4" s="2">
        <f>+F4-G4</f>
        <v>28.5</v>
      </c>
      <c r="I4" s="4">
        <f t="shared" ref="I4:I53" si="0">SUM(D4-L4)</f>
        <v>11115</v>
      </c>
      <c r="J4" s="2">
        <v>4000</v>
      </c>
      <c r="K4" s="2"/>
      <c r="L4" s="4">
        <f>SUM(G4*E4)</f>
        <v>585</v>
      </c>
      <c r="M4" s="4">
        <v>252</v>
      </c>
      <c r="N4" s="2">
        <v>53</v>
      </c>
      <c r="O4" s="36">
        <f>SUM(I4-J4-M4-N4-K4)</f>
        <v>6810</v>
      </c>
      <c r="P4" s="36"/>
      <c r="Q4" s="2"/>
      <c r="R4" s="1"/>
      <c r="S4" s="1"/>
      <c r="T4" s="1"/>
      <c r="U4" s="1"/>
    </row>
    <row r="5" spans="2:21" ht="19.899999999999999" customHeight="1">
      <c r="B5" s="2">
        <v>2</v>
      </c>
      <c r="C5" s="13" t="s">
        <v>7</v>
      </c>
      <c r="D5" s="11">
        <v>10200</v>
      </c>
      <c r="E5" s="4">
        <f>SUM(D5/30)</f>
        <v>340</v>
      </c>
      <c r="F5" s="2">
        <v>30</v>
      </c>
      <c r="G5" s="33">
        <v>2</v>
      </c>
      <c r="H5" s="2">
        <f t="shared" ref="H5:H53" si="1">+F5-G5</f>
        <v>28</v>
      </c>
      <c r="I5" s="4">
        <f t="shared" si="0"/>
        <v>9520</v>
      </c>
      <c r="J5" s="2">
        <v>4000</v>
      </c>
      <c r="K5" s="2"/>
      <c r="L5" s="4">
        <f>SUM(G5*E5)</f>
        <v>680</v>
      </c>
      <c r="M5" s="4">
        <v>252</v>
      </c>
      <c r="N5" s="2">
        <v>53</v>
      </c>
      <c r="O5" s="36">
        <f>SUM(I5-J5-M5-N5)</f>
        <v>5215</v>
      </c>
      <c r="P5" s="36"/>
      <c r="Q5" s="2"/>
      <c r="R5" s="1"/>
      <c r="S5" s="1"/>
      <c r="T5" s="1"/>
      <c r="U5" s="1"/>
    </row>
    <row r="6" spans="2:21" ht="19.899999999999999" customHeight="1">
      <c r="B6" s="2">
        <v>3</v>
      </c>
      <c r="C6" s="13" t="s">
        <v>46</v>
      </c>
      <c r="D6" s="11">
        <v>9500</v>
      </c>
      <c r="E6" s="4">
        <f t="shared" ref="E6:E53" si="2">SUM(D6/30)</f>
        <v>316.66666666666669</v>
      </c>
      <c r="F6" s="2">
        <v>30</v>
      </c>
      <c r="G6" s="33">
        <v>1</v>
      </c>
      <c r="H6" s="2">
        <f t="shared" si="1"/>
        <v>29</v>
      </c>
      <c r="I6" s="4">
        <f t="shared" si="0"/>
        <v>9183.3333333333339</v>
      </c>
      <c r="J6" s="2"/>
      <c r="K6" s="2"/>
      <c r="L6" s="4">
        <f t="shared" ref="L6:L53" si="3">SUM(G6*E6)</f>
        <v>316.66666666666669</v>
      </c>
      <c r="M6" s="4">
        <v>252</v>
      </c>
      <c r="N6" s="2">
        <v>53</v>
      </c>
      <c r="O6" s="36">
        <f t="shared" ref="O6:O53" si="4">SUM(I6-J6-M6-N6-K6)</f>
        <v>8878.3333333333339</v>
      </c>
      <c r="P6" s="36"/>
      <c r="Q6" s="2"/>
      <c r="R6" s="41"/>
      <c r="S6" s="41"/>
      <c r="T6" s="41"/>
      <c r="U6" s="1"/>
    </row>
    <row r="7" spans="2:21" ht="19.899999999999999" customHeight="1">
      <c r="B7" s="2">
        <v>4</v>
      </c>
      <c r="C7" s="13" t="s">
        <v>47</v>
      </c>
      <c r="D7" s="11">
        <v>8400</v>
      </c>
      <c r="E7" s="4">
        <f t="shared" si="2"/>
        <v>280</v>
      </c>
      <c r="F7" s="2">
        <v>30</v>
      </c>
      <c r="G7" s="34">
        <v>2</v>
      </c>
      <c r="H7" s="2">
        <f t="shared" si="1"/>
        <v>28</v>
      </c>
      <c r="I7" s="4">
        <f t="shared" si="0"/>
        <v>7840</v>
      </c>
      <c r="J7" s="2"/>
      <c r="K7" s="2"/>
      <c r="L7" s="4">
        <f t="shared" si="3"/>
        <v>560</v>
      </c>
      <c r="M7" s="4">
        <v>252</v>
      </c>
      <c r="N7" s="2">
        <v>53</v>
      </c>
      <c r="O7" s="36">
        <f t="shared" si="4"/>
        <v>7535</v>
      </c>
      <c r="P7" s="36"/>
      <c r="Q7" s="2"/>
      <c r="R7" s="1"/>
      <c r="S7" s="1"/>
      <c r="T7" s="1"/>
      <c r="U7" s="1"/>
    </row>
    <row r="8" spans="2:21" ht="19.899999999999999" customHeight="1">
      <c r="B8" s="2">
        <v>5</v>
      </c>
      <c r="C8" s="13" t="s">
        <v>138</v>
      </c>
      <c r="D8" s="11">
        <v>12000</v>
      </c>
      <c r="E8" s="4">
        <f>SUM(D8/30)</f>
        <v>400</v>
      </c>
      <c r="F8" s="2">
        <v>30</v>
      </c>
      <c r="G8" s="33">
        <v>3</v>
      </c>
      <c r="H8" s="2">
        <f t="shared" si="1"/>
        <v>27</v>
      </c>
      <c r="I8" s="4">
        <f t="shared" si="0"/>
        <v>10800</v>
      </c>
      <c r="J8" s="2">
        <v>3000</v>
      </c>
      <c r="K8" s="2"/>
      <c r="L8" s="4">
        <f>SUM(G8*E8)</f>
        <v>1200</v>
      </c>
      <c r="M8" s="4">
        <v>336</v>
      </c>
      <c r="N8" s="4">
        <v>70</v>
      </c>
      <c r="O8" s="36">
        <f t="shared" si="4"/>
        <v>7394</v>
      </c>
      <c r="P8" s="36"/>
      <c r="Q8" s="46"/>
      <c r="R8" s="40"/>
      <c r="S8" s="46"/>
      <c r="T8" s="40"/>
    </row>
    <row r="9" spans="2:21" ht="19.899999999999999" customHeight="1">
      <c r="B9" s="2">
        <v>6</v>
      </c>
      <c r="C9" s="13" t="s">
        <v>139</v>
      </c>
      <c r="D9" s="11">
        <v>7800</v>
      </c>
      <c r="E9" s="4">
        <f t="shared" si="2"/>
        <v>260</v>
      </c>
      <c r="F9" s="2">
        <v>30</v>
      </c>
      <c r="G9" s="34">
        <v>1</v>
      </c>
      <c r="H9" s="2">
        <f t="shared" si="1"/>
        <v>29</v>
      </c>
      <c r="I9" s="4">
        <f t="shared" si="0"/>
        <v>7540</v>
      </c>
      <c r="J9" s="2"/>
      <c r="K9" s="2"/>
      <c r="L9" s="4">
        <f t="shared" si="3"/>
        <v>260</v>
      </c>
      <c r="M9" s="4"/>
      <c r="N9" s="4"/>
      <c r="O9" s="36">
        <f t="shared" si="4"/>
        <v>7540</v>
      </c>
      <c r="P9" s="36"/>
      <c r="Q9" s="46"/>
      <c r="R9" s="1"/>
      <c r="S9" s="1"/>
      <c r="T9" s="1"/>
      <c r="U9" s="1"/>
    </row>
    <row r="10" spans="2:21" ht="19.899999999999999" customHeight="1">
      <c r="B10" s="2">
        <v>7</v>
      </c>
      <c r="C10" s="13" t="s">
        <v>48</v>
      </c>
      <c r="D10" s="11">
        <v>7050</v>
      </c>
      <c r="E10" s="4">
        <f t="shared" si="2"/>
        <v>235</v>
      </c>
      <c r="F10" s="2">
        <v>30</v>
      </c>
      <c r="G10" s="34">
        <v>3.5</v>
      </c>
      <c r="H10" s="2">
        <f t="shared" si="1"/>
        <v>26.5</v>
      </c>
      <c r="I10" s="4">
        <f t="shared" si="0"/>
        <v>6227.5</v>
      </c>
      <c r="J10" s="2">
        <v>200</v>
      </c>
      <c r="K10" s="2"/>
      <c r="L10" s="4">
        <f t="shared" si="3"/>
        <v>822.5</v>
      </c>
      <c r="M10" s="4"/>
      <c r="N10" s="4"/>
      <c r="O10" s="36">
        <f t="shared" si="4"/>
        <v>6027.5</v>
      </c>
      <c r="P10" s="36"/>
      <c r="Q10" s="2"/>
      <c r="R10" s="1"/>
      <c r="S10" s="1"/>
      <c r="T10" s="1"/>
      <c r="U10" s="1"/>
    </row>
    <row r="11" spans="2:21" ht="19.899999999999999" customHeight="1">
      <c r="B11" s="2">
        <v>1</v>
      </c>
      <c r="C11" s="13" t="s">
        <v>140</v>
      </c>
      <c r="D11" s="11">
        <v>10000</v>
      </c>
      <c r="E11" s="4">
        <f t="shared" si="2"/>
        <v>333.33333333333331</v>
      </c>
      <c r="F11" s="2">
        <v>30</v>
      </c>
      <c r="G11" s="33">
        <v>0</v>
      </c>
      <c r="H11" s="2">
        <f t="shared" si="1"/>
        <v>30</v>
      </c>
      <c r="I11" s="4">
        <f t="shared" si="0"/>
        <v>10000</v>
      </c>
      <c r="J11" s="2"/>
      <c r="K11" s="2"/>
      <c r="L11" s="4">
        <f t="shared" si="3"/>
        <v>0</v>
      </c>
      <c r="M11" s="4"/>
      <c r="N11" s="4"/>
      <c r="O11" s="36">
        <f t="shared" si="4"/>
        <v>10000</v>
      </c>
      <c r="P11" s="78">
        <v>300</v>
      </c>
      <c r="Q11" s="2"/>
      <c r="R11" s="1"/>
      <c r="S11" s="1"/>
      <c r="T11" s="1"/>
      <c r="U11" s="1"/>
    </row>
    <row r="12" spans="2:21" ht="19.899999999999999" customHeight="1">
      <c r="B12" s="2">
        <v>9</v>
      </c>
      <c r="C12" s="13" t="s">
        <v>107</v>
      </c>
      <c r="D12" s="11">
        <v>4700</v>
      </c>
      <c r="E12" s="4">
        <f t="shared" si="2"/>
        <v>156.66666666666666</v>
      </c>
      <c r="F12" s="2">
        <v>30</v>
      </c>
      <c r="G12" s="34">
        <v>4</v>
      </c>
      <c r="H12" s="2">
        <f t="shared" si="1"/>
        <v>26</v>
      </c>
      <c r="I12" s="4">
        <f t="shared" si="0"/>
        <v>4073.3333333333335</v>
      </c>
      <c r="J12" s="2"/>
      <c r="K12" s="2"/>
      <c r="L12" s="4">
        <f t="shared" si="3"/>
        <v>626.66666666666663</v>
      </c>
      <c r="M12" s="4"/>
      <c r="N12" s="4"/>
      <c r="O12" s="36">
        <f t="shared" si="4"/>
        <v>4073.3333333333335</v>
      </c>
      <c r="P12" s="36"/>
      <c r="Q12" s="2"/>
      <c r="R12" s="1"/>
      <c r="S12" s="1"/>
      <c r="T12" s="1"/>
      <c r="U12" s="1"/>
    </row>
    <row r="13" spans="2:21" ht="19.899999999999999" customHeight="1">
      <c r="B13" s="2">
        <v>2</v>
      </c>
      <c r="C13" s="13" t="s">
        <v>16</v>
      </c>
      <c r="D13" s="11">
        <v>4300</v>
      </c>
      <c r="E13" s="4">
        <f t="shared" si="2"/>
        <v>143.33333333333334</v>
      </c>
      <c r="F13" s="2">
        <v>30</v>
      </c>
      <c r="G13" s="33">
        <v>0</v>
      </c>
      <c r="H13" s="2">
        <f t="shared" si="1"/>
        <v>30</v>
      </c>
      <c r="I13" s="4">
        <f t="shared" si="0"/>
        <v>4300</v>
      </c>
      <c r="J13" s="2"/>
      <c r="K13" s="2"/>
      <c r="L13" s="4">
        <f t="shared" si="3"/>
        <v>0</v>
      </c>
      <c r="M13" s="4"/>
      <c r="N13" s="4"/>
      <c r="O13" s="36">
        <f t="shared" si="4"/>
        <v>4300</v>
      </c>
      <c r="P13" s="78">
        <v>300</v>
      </c>
      <c r="Q13" s="2"/>
      <c r="R13" s="1"/>
      <c r="S13" s="1"/>
      <c r="T13" s="1"/>
      <c r="U13" s="1"/>
    </row>
    <row r="14" spans="2:21" ht="19.899999999999999" customHeight="1">
      <c r="B14" s="2">
        <v>11</v>
      </c>
      <c r="C14" s="13" t="s">
        <v>142</v>
      </c>
      <c r="D14" s="11">
        <v>3850</v>
      </c>
      <c r="E14" s="4">
        <f t="shared" si="2"/>
        <v>128.33333333333334</v>
      </c>
      <c r="F14" s="2">
        <v>30</v>
      </c>
      <c r="G14" s="33">
        <v>1</v>
      </c>
      <c r="H14" s="2">
        <f t="shared" si="1"/>
        <v>29</v>
      </c>
      <c r="I14" s="4">
        <f t="shared" si="0"/>
        <v>3721.6666666666665</v>
      </c>
      <c r="J14" s="2"/>
      <c r="K14" s="2"/>
      <c r="L14" s="4">
        <f t="shared" si="3"/>
        <v>128.33333333333334</v>
      </c>
      <c r="M14" s="4"/>
      <c r="N14" s="4"/>
      <c r="O14" s="36">
        <f t="shared" si="4"/>
        <v>3721.6666666666665</v>
      </c>
      <c r="P14" s="36"/>
      <c r="Q14" s="2"/>
      <c r="R14" s="1"/>
      <c r="S14" s="1"/>
      <c r="T14" s="1"/>
      <c r="U14" s="1"/>
    </row>
    <row r="15" spans="2:21" ht="19.899999999999999" customHeight="1">
      <c r="B15" s="2">
        <v>12</v>
      </c>
      <c r="C15" s="13" t="s">
        <v>141</v>
      </c>
      <c r="D15" s="11">
        <v>2900</v>
      </c>
      <c r="E15" s="4">
        <f t="shared" si="2"/>
        <v>96.666666666666671</v>
      </c>
      <c r="F15" s="2">
        <v>30</v>
      </c>
      <c r="G15" s="34">
        <v>8</v>
      </c>
      <c r="H15" s="2">
        <f t="shared" si="1"/>
        <v>22</v>
      </c>
      <c r="I15" s="4">
        <f t="shared" si="0"/>
        <v>2126.6666666666665</v>
      </c>
      <c r="J15" s="2"/>
      <c r="K15" s="2"/>
      <c r="L15" s="4">
        <f t="shared" si="3"/>
        <v>773.33333333333337</v>
      </c>
      <c r="M15" s="4"/>
      <c r="N15" s="4"/>
      <c r="O15" s="36">
        <f t="shared" si="4"/>
        <v>2126.6666666666665</v>
      </c>
      <c r="P15" s="36"/>
      <c r="Q15" s="2"/>
      <c r="R15" s="1"/>
      <c r="S15" s="1"/>
      <c r="T15" s="1"/>
      <c r="U15" s="1"/>
    </row>
    <row r="16" spans="2:21" ht="19.899999999999999" customHeight="1">
      <c r="B16" s="2">
        <v>13</v>
      </c>
      <c r="C16" s="13" t="s">
        <v>143</v>
      </c>
      <c r="D16" s="11">
        <v>4450</v>
      </c>
      <c r="E16" s="4">
        <f t="shared" si="2"/>
        <v>148.33333333333334</v>
      </c>
      <c r="F16" s="2">
        <v>30</v>
      </c>
      <c r="G16" s="33">
        <v>4</v>
      </c>
      <c r="H16" s="2">
        <f t="shared" si="1"/>
        <v>26</v>
      </c>
      <c r="I16" s="4">
        <f t="shared" si="0"/>
        <v>3856.6666666666665</v>
      </c>
      <c r="J16" s="2"/>
      <c r="K16" s="2"/>
      <c r="L16" s="4">
        <f t="shared" si="3"/>
        <v>593.33333333333337</v>
      </c>
      <c r="M16" s="4"/>
      <c r="N16" s="4"/>
      <c r="O16" s="36">
        <f t="shared" si="4"/>
        <v>3856.6666666666665</v>
      </c>
      <c r="P16" s="36"/>
      <c r="Q16" s="2"/>
      <c r="R16" s="1"/>
      <c r="S16" s="1"/>
      <c r="T16" s="1"/>
      <c r="U16" s="1"/>
    </row>
    <row r="17" spans="2:21" ht="19.899999999999999" customHeight="1">
      <c r="B17" s="2">
        <v>14</v>
      </c>
      <c r="C17" s="13" t="s">
        <v>58</v>
      </c>
      <c r="D17" s="11">
        <v>3850</v>
      </c>
      <c r="E17" s="4">
        <f t="shared" si="2"/>
        <v>128.33333333333334</v>
      </c>
      <c r="F17" s="2">
        <v>30</v>
      </c>
      <c r="G17" s="33">
        <v>1.5</v>
      </c>
      <c r="H17" s="2">
        <f t="shared" si="1"/>
        <v>28.5</v>
      </c>
      <c r="I17" s="4">
        <f t="shared" si="0"/>
        <v>3657.5</v>
      </c>
      <c r="J17" s="2"/>
      <c r="K17" s="2"/>
      <c r="L17" s="4">
        <f t="shared" si="3"/>
        <v>192.5</v>
      </c>
      <c r="M17" s="4"/>
      <c r="N17" s="4"/>
      <c r="O17" s="36">
        <f t="shared" si="4"/>
        <v>3657.5</v>
      </c>
      <c r="P17" s="36"/>
      <c r="Q17" s="2"/>
      <c r="R17" s="1"/>
      <c r="S17" s="1"/>
      <c r="T17" s="1"/>
      <c r="U17" s="1"/>
    </row>
    <row r="18" spans="2:21" ht="19.899999999999999" customHeight="1">
      <c r="B18" s="2">
        <v>3</v>
      </c>
      <c r="C18" s="13" t="s">
        <v>54</v>
      </c>
      <c r="D18" s="11">
        <v>4250</v>
      </c>
      <c r="E18" s="4">
        <f t="shared" si="2"/>
        <v>141.66666666666666</v>
      </c>
      <c r="F18" s="2">
        <v>30</v>
      </c>
      <c r="G18" s="33">
        <v>0.5</v>
      </c>
      <c r="H18" s="2">
        <f t="shared" si="1"/>
        <v>29.5</v>
      </c>
      <c r="I18" s="4">
        <f t="shared" si="0"/>
        <v>4179.166666666667</v>
      </c>
      <c r="J18" s="2">
        <v>500</v>
      </c>
      <c r="K18" s="2"/>
      <c r="L18" s="4">
        <f t="shared" si="3"/>
        <v>70.833333333333329</v>
      </c>
      <c r="M18" s="4"/>
      <c r="N18" s="4"/>
      <c r="O18" s="36">
        <f t="shared" si="4"/>
        <v>3679.166666666667</v>
      </c>
      <c r="P18" s="78">
        <v>250</v>
      </c>
      <c r="Q18" s="2"/>
      <c r="R18" s="41"/>
      <c r="S18" s="1"/>
      <c r="T18" s="1"/>
      <c r="U18" s="1"/>
    </row>
    <row r="19" spans="2:21" ht="19.899999999999999" customHeight="1">
      <c r="B19" s="2">
        <v>16</v>
      </c>
      <c r="C19" s="13" t="s">
        <v>53</v>
      </c>
      <c r="D19" s="11">
        <v>3800</v>
      </c>
      <c r="E19" s="4">
        <f t="shared" si="2"/>
        <v>126.66666666666667</v>
      </c>
      <c r="F19" s="2">
        <v>30</v>
      </c>
      <c r="G19" s="34">
        <v>2.5</v>
      </c>
      <c r="H19" s="2">
        <f t="shared" si="1"/>
        <v>27.5</v>
      </c>
      <c r="I19" s="4">
        <f t="shared" si="0"/>
        <v>3483.3333333333335</v>
      </c>
      <c r="J19" s="2"/>
      <c r="K19" s="2"/>
      <c r="L19" s="4">
        <f t="shared" si="3"/>
        <v>316.66666666666669</v>
      </c>
      <c r="M19" s="4"/>
      <c r="N19" s="4"/>
      <c r="O19" s="36">
        <f t="shared" si="4"/>
        <v>3483.3333333333335</v>
      </c>
      <c r="P19" s="36"/>
      <c r="Q19" s="2"/>
      <c r="R19" s="1"/>
      <c r="S19" s="1"/>
      <c r="T19" s="1"/>
      <c r="U19" s="1"/>
    </row>
    <row r="20" spans="2:21" ht="19.899999999999999" customHeight="1">
      <c r="B20" s="2">
        <v>17</v>
      </c>
      <c r="C20" s="13" t="s">
        <v>10</v>
      </c>
      <c r="D20" s="11">
        <v>7100</v>
      </c>
      <c r="E20" s="4">
        <f>SUM(D20/30)</f>
        <v>236.66666666666666</v>
      </c>
      <c r="F20" s="2">
        <v>30</v>
      </c>
      <c r="G20" s="34">
        <v>14.5</v>
      </c>
      <c r="H20" s="2">
        <f t="shared" si="1"/>
        <v>15.5</v>
      </c>
      <c r="I20" s="4">
        <f t="shared" si="0"/>
        <v>3668.3333333333335</v>
      </c>
      <c r="J20" s="2">
        <v>2500</v>
      </c>
      <c r="K20" s="2"/>
      <c r="L20" s="4">
        <f>SUM(G20*E20)</f>
        <v>3431.6666666666665</v>
      </c>
      <c r="M20" s="4"/>
      <c r="N20" s="4"/>
      <c r="O20" s="36">
        <f t="shared" si="4"/>
        <v>1168.3333333333335</v>
      </c>
      <c r="P20" s="36"/>
      <c r="Q20" s="2"/>
      <c r="R20" s="1"/>
      <c r="S20" s="1"/>
      <c r="T20" s="1"/>
      <c r="U20" s="1"/>
    </row>
    <row r="21" spans="2:21" ht="19.899999999999999" customHeight="1">
      <c r="B21" s="2">
        <v>4</v>
      </c>
      <c r="C21" s="13" t="s">
        <v>23</v>
      </c>
      <c r="D21" s="11">
        <v>3700</v>
      </c>
      <c r="E21" s="4">
        <f t="shared" si="2"/>
        <v>123.33333333333333</v>
      </c>
      <c r="F21" s="2">
        <v>30</v>
      </c>
      <c r="G21" s="33">
        <v>0.5</v>
      </c>
      <c r="H21" s="2">
        <f t="shared" si="1"/>
        <v>29.5</v>
      </c>
      <c r="I21" s="4">
        <f t="shared" si="0"/>
        <v>3638.3333333333335</v>
      </c>
      <c r="J21" s="2"/>
      <c r="K21" s="2"/>
      <c r="L21" s="4">
        <f t="shared" si="3"/>
        <v>61.666666666666664</v>
      </c>
      <c r="M21" s="4"/>
      <c r="N21" s="4"/>
      <c r="O21" s="36">
        <f t="shared" si="4"/>
        <v>3638.3333333333335</v>
      </c>
      <c r="P21" s="78">
        <v>300</v>
      </c>
      <c r="Q21" s="2"/>
      <c r="R21" s="1"/>
      <c r="S21" s="1"/>
      <c r="T21" s="1"/>
      <c r="U21" s="1"/>
    </row>
    <row r="22" spans="2:21" ht="19.899999999999999" customHeight="1">
      <c r="B22" s="2">
        <v>19</v>
      </c>
      <c r="C22" s="13" t="s">
        <v>24</v>
      </c>
      <c r="D22" s="11">
        <v>3600</v>
      </c>
      <c r="E22" s="4">
        <f t="shared" si="2"/>
        <v>120</v>
      </c>
      <c r="F22" s="2">
        <v>30</v>
      </c>
      <c r="G22" s="34">
        <v>1</v>
      </c>
      <c r="H22" s="2">
        <f t="shared" si="1"/>
        <v>29</v>
      </c>
      <c r="I22" s="4">
        <f t="shared" si="0"/>
        <v>3480</v>
      </c>
      <c r="J22" s="2"/>
      <c r="K22" s="2"/>
      <c r="L22" s="4">
        <f t="shared" si="3"/>
        <v>120</v>
      </c>
      <c r="M22" s="4"/>
      <c r="N22" s="4"/>
      <c r="O22" s="36">
        <f t="shared" si="4"/>
        <v>3480</v>
      </c>
      <c r="P22" s="36"/>
      <c r="Q22" s="2"/>
      <c r="R22" s="1"/>
      <c r="S22" s="1"/>
      <c r="T22" s="1"/>
      <c r="U22" s="1"/>
    </row>
    <row r="23" spans="2:21" ht="19.899999999999999" customHeight="1">
      <c r="B23" s="2">
        <v>5</v>
      </c>
      <c r="C23" s="13" t="s">
        <v>25</v>
      </c>
      <c r="D23" s="11">
        <v>3700</v>
      </c>
      <c r="E23" s="4">
        <f t="shared" si="2"/>
        <v>123.33333333333333</v>
      </c>
      <c r="F23" s="2">
        <v>30</v>
      </c>
      <c r="G23" s="34">
        <v>0</v>
      </c>
      <c r="H23" s="2">
        <f t="shared" si="1"/>
        <v>30</v>
      </c>
      <c r="I23" s="4">
        <f t="shared" si="0"/>
        <v>3700</v>
      </c>
      <c r="J23" s="2"/>
      <c r="K23" s="2"/>
      <c r="L23" s="4">
        <f t="shared" si="3"/>
        <v>0</v>
      </c>
      <c r="M23" s="4"/>
      <c r="N23" s="4"/>
      <c r="O23" s="36">
        <f t="shared" si="4"/>
        <v>3700</v>
      </c>
      <c r="P23" s="78">
        <v>300</v>
      </c>
      <c r="Q23" s="2"/>
      <c r="R23" s="1"/>
      <c r="S23" s="1"/>
      <c r="T23" s="1"/>
      <c r="U23" s="1"/>
    </row>
    <row r="24" spans="2:21" ht="19.899999999999999" customHeight="1">
      <c r="B24" s="2">
        <v>21</v>
      </c>
      <c r="C24" s="13" t="s">
        <v>28</v>
      </c>
      <c r="D24" s="11">
        <v>7000</v>
      </c>
      <c r="E24" s="4">
        <f t="shared" si="2"/>
        <v>233.33333333333334</v>
      </c>
      <c r="F24" s="2">
        <v>30</v>
      </c>
      <c r="G24" s="34">
        <v>9</v>
      </c>
      <c r="H24" s="2">
        <f t="shared" si="1"/>
        <v>21</v>
      </c>
      <c r="I24" s="4">
        <f t="shared" si="0"/>
        <v>4900</v>
      </c>
      <c r="J24" s="2">
        <v>500</v>
      </c>
      <c r="K24" s="2"/>
      <c r="L24" s="4">
        <f t="shared" si="3"/>
        <v>2100</v>
      </c>
      <c r="M24" s="4"/>
      <c r="N24" s="4"/>
      <c r="O24" s="36">
        <f t="shared" si="4"/>
        <v>4400</v>
      </c>
      <c r="P24" s="36"/>
      <c r="Q24" s="2"/>
      <c r="R24" s="1"/>
      <c r="S24" s="1"/>
      <c r="T24" s="1"/>
      <c r="U24" s="1"/>
    </row>
    <row r="25" spans="2:21" ht="19.899999999999999" customHeight="1">
      <c r="B25" s="2">
        <v>6</v>
      </c>
      <c r="C25" s="13" t="s">
        <v>15</v>
      </c>
      <c r="D25" s="11">
        <v>2850</v>
      </c>
      <c r="E25" s="4">
        <f t="shared" si="2"/>
        <v>95</v>
      </c>
      <c r="F25" s="2">
        <v>30</v>
      </c>
      <c r="G25" s="34">
        <v>0</v>
      </c>
      <c r="H25" s="2">
        <f t="shared" si="1"/>
        <v>30</v>
      </c>
      <c r="I25" s="4">
        <f t="shared" si="0"/>
        <v>2850</v>
      </c>
      <c r="J25" s="2">
        <v>500</v>
      </c>
      <c r="K25" s="2"/>
      <c r="L25" s="4">
        <f t="shared" si="3"/>
        <v>0</v>
      </c>
      <c r="M25" s="4"/>
      <c r="N25" s="4"/>
      <c r="O25" s="36">
        <f t="shared" si="4"/>
        <v>2350</v>
      </c>
      <c r="P25" s="78">
        <v>300</v>
      </c>
      <c r="Q25" s="2"/>
      <c r="R25" s="1"/>
      <c r="S25" s="1"/>
      <c r="T25" s="1"/>
      <c r="U25" s="1"/>
    </row>
    <row r="26" spans="2:21" ht="19.899999999999999" customHeight="1">
      <c r="B26" s="2">
        <v>24</v>
      </c>
      <c r="C26" s="13" t="s">
        <v>88</v>
      </c>
      <c r="D26" s="11">
        <v>3500</v>
      </c>
      <c r="E26" s="4">
        <f t="shared" si="2"/>
        <v>116.66666666666667</v>
      </c>
      <c r="F26" s="2">
        <v>30</v>
      </c>
      <c r="G26" s="34">
        <v>1</v>
      </c>
      <c r="H26" s="2">
        <f t="shared" si="1"/>
        <v>29</v>
      </c>
      <c r="I26" s="4">
        <f t="shared" si="0"/>
        <v>3383.3333333333335</v>
      </c>
      <c r="J26" s="2"/>
      <c r="K26" s="2"/>
      <c r="L26" s="4">
        <f t="shared" si="3"/>
        <v>116.66666666666667</v>
      </c>
      <c r="M26" s="4"/>
      <c r="N26" s="4"/>
      <c r="O26" s="36">
        <f t="shared" si="4"/>
        <v>3383.3333333333335</v>
      </c>
      <c r="P26" s="36"/>
      <c r="Q26" s="2"/>
      <c r="R26" s="1"/>
      <c r="S26" s="1"/>
      <c r="T26" s="1"/>
      <c r="U26" s="1"/>
    </row>
    <row r="27" spans="2:21" ht="19.899999999999999" customHeight="1">
      <c r="B27" s="2">
        <v>25</v>
      </c>
      <c r="C27" s="13" t="s">
        <v>75</v>
      </c>
      <c r="D27" s="11">
        <v>3300</v>
      </c>
      <c r="E27" s="4">
        <f t="shared" si="2"/>
        <v>110</v>
      </c>
      <c r="F27" s="2">
        <v>30</v>
      </c>
      <c r="G27" s="34">
        <v>2</v>
      </c>
      <c r="H27" s="2">
        <f t="shared" si="1"/>
        <v>28</v>
      </c>
      <c r="I27" s="4">
        <f t="shared" si="0"/>
        <v>3080</v>
      </c>
      <c r="J27" s="2">
        <v>1500</v>
      </c>
      <c r="K27" s="2"/>
      <c r="L27" s="4">
        <f t="shared" si="3"/>
        <v>220</v>
      </c>
      <c r="M27" s="4"/>
      <c r="N27" s="4"/>
      <c r="O27" s="36">
        <f t="shared" si="4"/>
        <v>1580</v>
      </c>
      <c r="P27" s="36"/>
      <c r="Q27" s="2"/>
      <c r="R27" s="1"/>
      <c r="S27" s="1"/>
      <c r="T27" s="1"/>
      <c r="U27" s="1"/>
    </row>
    <row r="28" spans="2:21" ht="19.899999999999999" customHeight="1">
      <c r="B28" s="2">
        <v>26</v>
      </c>
      <c r="C28" s="13" t="s">
        <v>124</v>
      </c>
      <c r="D28" s="11">
        <v>3200</v>
      </c>
      <c r="E28" s="4">
        <f t="shared" si="2"/>
        <v>106.66666666666667</v>
      </c>
      <c r="F28" s="2">
        <v>30</v>
      </c>
      <c r="G28" s="34">
        <v>5</v>
      </c>
      <c r="H28" s="2">
        <f t="shared" si="1"/>
        <v>25</v>
      </c>
      <c r="I28" s="4">
        <f t="shared" si="0"/>
        <v>2666.6666666666665</v>
      </c>
      <c r="J28" s="2"/>
      <c r="K28" s="2"/>
      <c r="L28" s="4">
        <f t="shared" si="3"/>
        <v>533.33333333333337</v>
      </c>
      <c r="M28" s="4"/>
      <c r="N28" s="4"/>
      <c r="O28" s="36">
        <f t="shared" si="4"/>
        <v>2666.6666666666665</v>
      </c>
      <c r="P28" s="36"/>
      <c r="Q28" s="2"/>
      <c r="R28" s="1"/>
      <c r="S28" s="1"/>
      <c r="T28" s="1"/>
      <c r="U28" s="1"/>
    </row>
    <row r="29" spans="2:21" ht="19.899999999999999" customHeight="1">
      <c r="B29" s="2">
        <v>27</v>
      </c>
      <c r="C29" s="13" t="s">
        <v>79</v>
      </c>
      <c r="D29" s="11">
        <v>2500</v>
      </c>
      <c r="E29" s="4">
        <f t="shared" si="2"/>
        <v>83.333333333333329</v>
      </c>
      <c r="F29" s="2">
        <v>30</v>
      </c>
      <c r="G29" s="34">
        <v>2</v>
      </c>
      <c r="H29" s="2">
        <f t="shared" si="1"/>
        <v>28</v>
      </c>
      <c r="I29" s="4">
        <f t="shared" si="0"/>
        <v>2333.3333333333335</v>
      </c>
      <c r="J29" s="2"/>
      <c r="K29" s="2"/>
      <c r="L29" s="4">
        <f t="shared" si="3"/>
        <v>166.66666666666666</v>
      </c>
      <c r="M29" s="4"/>
      <c r="N29" s="4"/>
      <c r="O29" s="36">
        <f t="shared" si="4"/>
        <v>2333.3333333333335</v>
      </c>
      <c r="P29" s="36"/>
      <c r="Q29" s="2"/>
      <c r="R29" s="1"/>
      <c r="S29" s="1"/>
      <c r="T29" s="1"/>
      <c r="U29" s="1"/>
    </row>
    <row r="30" spans="2:21" ht="19.899999999999999" customHeight="1">
      <c r="B30" s="2">
        <v>28</v>
      </c>
      <c r="C30" s="13" t="s">
        <v>85</v>
      </c>
      <c r="D30" s="11">
        <v>2500</v>
      </c>
      <c r="E30" s="4">
        <f t="shared" si="2"/>
        <v>83.333333333333329</v>
      </c>
      <c r="F30" s="2">
        <v>30</v>
      </c>
      <c r="G30" s="34">
        <v>2.5</v>
      </c>
      <c r="H30" s="2">
        <f t="shared" si="1"/>
        <v>27.5</v>
      </c>
      <c r="I30" s="4">
        <f t="shared" si="0"/>
        <v>2291.6666666666665</v>
      </c>
      <c r="J30" s="2"/>
      <c r="K30" s="2"/>
      <c r="L30" s="4">
        <f t="shared" si="3"/>
        <v>208.33333333333331</v>
      </c>
      <c r="M30" s="4"/>
      <c r="N30" s="4"/>
      <c r="O30" s="36">
        <f t="shared" si="4"/>
        <v>2291.6666666666665</v>
      </c>
      <c r="P30" s="36"/>
      <c r="Q30" s="2"/>
    </row>
    <row r="31" spans="2:21" ht="19.899999999999999" customHeight="1">
      <c r="B31" s="2">
        <v>7</v>
      </c>
      <c r="C31" s="13" t="s">
        <v>78</v>
      </c>
      <c r="D31" s="11">
        <v>3000</v>
      </c>
      <c r="E31" s="4">
        <f t="shared" si="2"/>
        <v>100</v>
      </c>
      <c r="F31" s="2">
        <v>30</v>
      </c>
      <c r="G31" s="34">
        <v>0.5</v>
      </c>
      <c r="H31" s="2">
        <f t="shared" si="1"/>
        <v>29.5</v>
      </c>
      <c r="I31" s="4">
        <f t="shared" si="0"/>
        <v>2950</v>
      </c>
      <c r="J31" s="2"/>
      <c r="K31" s="2"/>
      <c r="L31" s="4">
        <f t="shared" si="3"/>
        <v>50</v>
      </c>
      <c r="M31" s="4"/>
      <c r="N31" s="4"/>
      <c r="O31" s="36">
        <f t="shared" si="4"/>
        <v>2950</v>
      </c>
      <c r="P31" s="78">
        <v>250</v>
      </c>
      <c r="Q31" s="2"/>
    </row>
    <row r="32" spans="2:21" ht="19.899999999999999" customHeight="1">
      <c r="B32" s="2">
        <v>30</v>
      </c>
      <c r="C32" s="13" t="s">
        <v>31</v>
      </c>
      <c r="D32" s="11">
        <v>5900</v>
      </c>
      <c r="E32" s="4">
        <f t="shared" si="2"/>
        <v>196.66666666666666</v>
      </c>
      <c r="F32" s="2">
        <v>30</v>
      </c>
      <c r="G32" s="34">
        <v>3</v>
      </c>
      <c r="H32" s="2">
        <f t="shared" si="1"/>
        <v>27</v>
      </c>
      <c r="I32" s="4">
        <f t="shared" si="0"/>
        <v>5310</v>
      </c>
      <c r="J32" s="2"/>
      <c r="K32" s="2"/>
      <c r="L32" s="4">
        <f t="shared" si="3"/>
        <v>590</v>
      </c>
      <c r="M32" s="4"/>
      <c r="N32" s="4"/>
      <c r="O32" s="36">
        <f t="shared" si="4"/>
        <v>5310</v>
      </c>
      <c r="P32" s="36"/>
      <c r="Q32" s="2"/>
    </row>
    <row r="33" spans="2:17" ht="19.899999999999999" customHeight="1">
      <c r="B33" s="2">
        <v>31</v>
      </c>
      <c r="C33" s="13" t="s">
        <v>89</v>
      </c>
      <c r="D33" s="16">
        <v>2500</v>
      </c>
      <c r="E33" s="17">
        <f t="shared" si="2"/>
        <v>83.333333333333329</v>
      </c>
      <c r="F33" s="2">
        <v>30</v>
      </c>
      <c r="G33" s="35">
        <v>2.5</v>
      </c>
      <c r="H33" s="2">
        <f t="shared" si="1"/>
        <v>27.5</v>
      </c>
      <c r="I33" s="17">
        <f t="shared" si="0"/>
        <v>2291.6666666666665</v>
      </c>
      <c r="J33" s="2"/>
      <c r="K33" s="18"/>
      <c r="L33" s="17">
        <f t="shared" si="3"/>
        <v>208.33333333333331</v>
      </c>
      <c r="M33" s="17"/>
      <c r="N33" s="17"/>
      <c r="O33" s="36">
        <f t="shared" si="4"/>
        <v>2291.6666666666665</v>
      </c>
      <c r="P33" s="36"/>
      <c r="Q33" s="2"/>
    </row>
    <row r="34" spans="2:17" ht="19.899999999999999" customHeight="1">
      <c r="B34" s="2">
        <v>32</v>
      </c>
      <c r="C34" s="13" t="s">
        <v>93</v>
      </c>
      <c r="D34" s="16">
        <v>2500</v>
      </c>
      <c r="E34" s="17">
        <f t="shared" si="2"/>
        <v>83.333333333333329</v>
      </c>
      <c r="F34" s="2">
        <v>30</v>
      </c>
      <c r="G34" s="35">
        <v>2</v>
      </c>
      <c r="H34" s="2">
        <f t="shared" si="1"/>
        <v>28</v>
      </c>
      <c r="I34" s="17">
        <f t="shared" si="0"/>
        <v>2333.3333333333335</v>
      </c>
      <c r="J34" s="2"/>
      <c r="K34" s="18"/>
      <c r="L34" s="17">
        <f t="shared" si="3"/>
        <v>166.66666666666666</v>
      </c>
      <c r="M34" s="17"/>
      <c r="N34" s="17"/>
      <c r="O34" s="36">
        <f t="shared" si="4"/>
        <v>2333.3333333333335</v>
      </c>
      <c r="P34" s="36"/>
      <c r="Q34" s="2"/>
    </row>
    <row r="35" spans="2:17" ht="19.899999999999999" customHeight="1">
      <c r="B35" s="2">
        <v>33</v>
      </c>
      <c r="C35" s="13" t="s">
        <v>94</v>
      </c>
      <c r="D35" s="16">
        <v>2500</v>
      </c>
      <c r="E35" s="17">
        <f t="shared" si="2"/>
        <v>83.333333333333329</v>
      </c>
      <c r="F35" s="2">
        <v>30</v>
      </c>
      <c r="G35" s="35">
        <v>8</v>
      </c>
      <c r="H35" s="2">
        <f t="shared" si="1"/>
        <v>22</v>
      </c>
      <c r="I35" s="17">
        <f t="shared" si="0"/>
        <v>1833.3333333333335</v>
      </c>
      <c r="J35" s="2"/>
      <c r="K35" s="18"/>
      <c r="L35" s="17">
        <f t="shared" si="3"/>
        <v>666.66666666666663</v>
      </c>
      <c r="M35" s="17"/>
      <c r="N35" s="17"/>
      <c r="O35" s="36">
        <f t="shared" si="4"/>
        <v>1833.3333333333335</v>
      </c>
      <c r="P35" s="36"/>
      <c r="Q35" s="2"/>
    </row>
    <row r="36" spans="2:17" ht="19.899999999999999" customHeight="1">
      <c r="B36" s="2">
        <v>8</v>
      </c>
      <c r="C36" s="13" t="s">
        <v>101</v>
      </c>
      <c r="D36" s="16">
        <v>2500</v>
      </c>
      <c r="E36" s="17">
        <f t="shared" si="2"/>
        <v>83.333333333333329</v>
      </c>
      <c r="F36" s="2">
        <v>30</v>
      </c>
      <c r="G36" s="35">
        <v>0</v>
      </c>
      <c r="H36" s="2">
        <f t="shared" si="1"/>
        <v>30</v>
      </c>
      <c r="I36" s="17">
        <f t="shared" si="0"/>
        <v>2500</v>
      </c>
      <c r="J36" s="2"/>
      <c r="K36" s="18"/>
      <c r="L36" s="17">
        <f t="shared" si="3"/>
        <v>0</v>
      </c>
      <c r="M36" s="17"/>
      <c r="N36" s="17"/>
      <c r="O36" s="36">
        <f t="shared" si="4"/>
        <v>2500</v>
      </c>
      <c r="P36" s="78">
        <v>300</v>
      </c>
      <c r="Q36" s="2"/>
    </row>
    <row r="37" spans="2:17" ht="19.899999999999999" customHeight="1">
      <c r="B37" s="2">
        <v>35</v>
      </c>
      <c r="C37" s="13" t="s">
        <v>97</v>
      </c>
      <c r="D37" s="16">
        <v>2500</v>
      </c>
      <c r="E37" s="17">
        <f t="shared" si="2"/>
        <v>83.333333333333329</v>
      </c>
      <c r="F37" s="2">
        <v>30</v>
      </c>
      <c r="G37" s="35">
        <v>4.5</v>
      </c>
      <c r="H37" s="2">
        <f t="shared" si="1"/>
        <v>25.5</v>
      </c>
      <c r="I37" s="17">
        <f t="shared" si="0"/>
        <v>2125</v>
      </c>
      <c r="J37" s="2"/>
      <c r="K37" s="18"/>
      <c r="L37" s="17">
        <f t="shared" si="3"/>
        <v>375</v>
      </c>
      <c r="M37" s="17"/>
      <c r="N37" s="17"/>
      <c r="O37" s="36">
        <f t="shared" si="4"/>
        <v>2125</v>
      </c>
      <c r="P37" s="36"/>
      <c r="Q37" s="2"/>
    </row>
    <row r="38" spans="2:17" ht="19.899999999999999" customHeight="1">
      <c r="B38" s="2">
        <v>9</v>
      </c>
      <c r="C38" s="13" t="s">
        <v>104</v>
      </c>
      <c r="D38" s="16">
        <v>3000</v>
      </c>
      <c r="E38" s="17">
        <f t="shared" si="2"/>
        <v>100</v>
      </c>
      <c r="F38" s="2">
        <v>30</v>
      </c>
      <c r="G38" s="35">
        <v>0.5</v>
      </c>
      <c r="H38" s="2">
        <f t="shared" si="1"/>
        <v>29.5</v>
      </c>
      <c r="I38" s="17">
        <f t="shared" si="0"/>
        <v>2950</v>
      </c>
      <c r="J38" s="2"/>
      <c r="K38" s="18"/>
      <c r="L38" s="17">
        <f t="shared" si="3"/>
        <v>50</v>
      </c>
      <c r="M38" s="17"/>
      <c r="N38" s="17"/>
      <c r="O38" s="36">
        <f t="shared" si="4"/>
        <v>2950</v>
      </c>
      <c r="P38" s="78">
        <v>250</v>
      </c>
      <c r="Q38" s="2"/>
    </row>
    <row r="39" spans="2:17" ht="19.899999999999999" customHeight="1">
      <c r="B39" s="2">
        <v>37</v>
      </c>
      <c r="C39" s="13" t="s">
        <v>108</v>
      </c>
      <c r="D39" s="16">
        <v>2500</v>
      </c>
      <c r="E39" s="17">
        <f t="shared" si="2"/>
        <v>83.333333333333329</v>
      </c>
      <c r="F39" s="2">
        <v>30</v>
      </c>
      <c r="G39" s="35">
        <v>3</v>
      </c>
      <c r="H39" s="2">
        <f t="shared" si="1"/>
        <v>27</v>
      </c>
      <c r="I39" s="17">
        <f t="shared" si="0"/>
        <v>2250</v>
      </c>
      <c r="J39" s="2"/>
      <c r="K39" s="18"/>
      <c r="L39" s="17">
        <f t="shared" si="3"/>
        <v>250</v>
      </c>
      <c r="M39" s="17"/>
      <c r="N39" s="17"/>
      <c r="O39" s="36">
        <f t="shared" si="4"/>
        <v>2250</v>
      </c>
      <c r="P39" s="36"/>
      <c r="Q39" s="2"/>
    </row>
    <row r="40" spans="2:17" ht="19.899999999999999" customHeight="1">
      <c r="B40" s="2">
        <v>38</v>
      </c>
      <c r="C40" s="13" t="s">
        <v>111</v>
      </c>
      <c r="D40" s="38">
        <v>8500</v>
      </c>
      <c r="E40" s="17">
        <f t="shared" si="2"/>
        <v>283.33333333333331</v>
      </c>
      <c r="F40" s="2">
        <v>30</v>
      </c>
      <c r="G40" s="35">
        <v>1</v>
      </c>
      <c r="H40" s="2">
        <f t="shared" si="1"/>
        <v>29</v>
      </c>
      <c r="I40" s="17">
        <f t="shared" si="0"/>
        <v>8216.6666666666661</v>
      </c>
      <c r="J40" s="2">
        <v>2600</v>
      </c>
      <c r="K40" s="18"/>
      <c r="L40" s="17">
        <f t="shared" si="3"/>
        <v>283.33333333333331</v>
      </c>
      <c r="M40" s="17"/>
      <c r="N40" s="17"/>
      <c r="O40" s="36">
        <f t="shared" si="4"/>
        <v>5616.6666666666661</v>
      </c>
      <c r="P40" s="36"/>
      <c r="Q40" s="2"/>
    </row>
    <row r="41" spans="2:17" ht="19.899999999999999" customHeight="1">
      <c r="B41" s="2">
        <v>39</v>
      </c>
      <c r="C41" s="13" t="s">
        <v>112</v>
      </c>
      <c r="D41" s="38">
        <v>3500</v>
      </c>
      <c r="E41" s="17">
        <f t="shared" si="2"/>
        <v>116.66666666666667</v>
      </c>
      <c r="F41" s="2">
        <v>30</v>
      </c>
      <c r="G41" s="35">
        <v>1</v>
      </c>
      <c r="H41" s="2">
        <f t="shared" si="1"/>
        <v>29</v>
      </c>
      <c r="I41" s="17">
        <f t="shared" si="0"/>
        <v>3383.3333333333335</v>
      </c>
      <c r="J41" s="2">
        <v>1000</v>
      </c>
      <c r="K41" s="18"/>
      <c r="L41" s="17">
        <f t="shared" si="3"/>
        <v>116.66666666666667</v>
      </c>
      <c r="M41" s="17"/>
      <c r="N41" s="17"/>
      <c r="O41" s="36">
        <f t="shared" si="4"/>
        <v>2383.3333333333335</v>
      </c>
      <c r="P41" s="36"/>
      <c r="Q41" s="2"/>
    </row>
    <row r="42" spans="2:17" ht="19.899999999999999" customHeight="1">
      <c r="B42" s="2">
        <v>10</v>
      </c>
      <c r="C42" s="13" t="s">
        <v>114</v>
      </c>
      <c r="D42" s="38">
        <v>12500</v>
      </c>
      <c r="E42" s="17">
        <f t="shared" si="2"/>
        <v>416.66666666666669</v>
      </c>
      <c r="F42" s="2">
        <v>30</v>
      </c>
      <c r="G42" s="35">
        <v>0</v>
      </c>
      <c r="H42" s="2">
        <f t="shared" si="1"/>
        <v>30</v>
      </c>
      <c r="I42" s="17">
        <f t="shared" si="0"/>
        <v>12500</v>
      </c>
      <c r="J42" s="2"/>
      <c r="K42" s="18"/>
      <c r="L42" s="17">
        <f t="shared" si="3"/>
        <v>0</v>
      </c>
      <c r="M42" s="17"/>
      <c r="N42" s="17"/>
      <c r="O42" s="36">
        <f t="shared" si="4"/>
        <v>12500</v>
      </c>
      <c r="P42" s="78">
        <v>300</v>
      </c>
      <c r="Q42" s="2"/>
    </row>
    <row r="43" spans="2:17" ht="19.899999999999999" customHeight="1">
      <c r="B43" s="2">
        <v>41</v>
      </c>
      <c r="C43" s="13" t="s">
        <v>117</v>
      </c>
      <c r="D43" s="38">
        <v>2500</v>
      </c>
      <c r="E43" s="17">
        <f t="shared" si="2"/>
        <v>83.333333333333329</v>
      </c>
      <c r="F43" s="2">
        <v>30</v>
      </c>
      <c r="G43" s="35">
        <v>4</v>
      </c>
      <c r="H43" s="2">
        <f t="shared" si="1"/>
        <v>26</v>
      </c>
      <c r="I43" s="17">
        <f t="shared" si="0"/>
        <v>2166.6666666666665</v>
      </c>
      <c r="J43" s="2"/>
      <c r="K43" s="18"/>
      <c r="L43" s="17">
        <f t="shared" si="3"/>
        <v>333.33333333333331</v>
      </c>
      <c r="M43" s="17"/>
      <c r="N43" s="17"/>
      <c r="O43" s="36">
        <f t="shared" si="4"/>
        <v>2166.6666666666665</v>
      </c>
      <c r="P43" s="36"/>
      <c r="Q43" s="2"/>
    </row>
    <row r="44" spans="2:17" ht="19.899999999999999" customHeight="1">
      <c r="B44" s="2">
        <v>42</v>
      </c>
      <c r="C44" s="13" t="s">
        <v>120</v>
      </c>
      <c r="D44" s="38">
        <v>2500</v>
      </c>
      <c r="E44" s="17">
        <f t="shared" si="2"/>
        <v>83.333333333333329</v>
      </c>
      <c r="F44" s="2">
        <v>30</v>
      </c>
      <c r="G44" s="35">
        <v>3</v>
      </c>
      <c r="H44" s="2">
        <f t="shared" si="1"/>
        <v>27</v>
      </c>
      <c r="I44" s="17">
        <f t="shared" si="0"/>
        <v>2250</v>
      </c>
      <c r="J44" s="2"/>
      <c r="K44" s="18"/>
      <c r="L44" s="17">
        <f t="shared" si="3"/>
        <v>250</v>
      </c>
      <c r="M44" s="17"/>
      <c r="N44" s="17"/>
      <c r="O44" s="36">
        <f t="shared" si="4"/>
        <v>2250</v>
      </c>
      <c r="P44" s="36"/>
      <c r="Q44" s="2"/>
    </row>
    <row r="45" spans="2:17" ht="19.899999999999999" customHeight="1">
      <c r="B45" s="2">
        <v>11</v>
      </c>
      <c r="C45" s="13" t="s">
        <v>126</v>
      </c>
      <c r="D45" s="38">
        <v>10000</v>
      </c>
      <c r="E45" s="17">
        <f t="shared" si="2"/>
        <v>333.33333333333331</v>
      </c>
      <c r="F45" s="2">
        <v>30</v>
      </c>
      <c r="G45" s="35">
        <v>0</v>
      </c>
      <c r="H45" s="2">
        <f t="shared" si="1"/>
        <v>30</v>
      </c>
      <c r="I45" s="17">
        <f>SUM(D45-L45)-930</f>
        <v>9070</v>
      </c>
      <c r="J45" s="2"/>
      <c r="K45" s="18"/>
      <c r="L45" s="17">
        <f t="shared" si="3"/>
        <v>0</v>
      </c>
      <c r="M45" s="17"/>
      <c r="N45" s="17"/>
      <c r="O45" s="36">
        <f t="shared" si="4"/>
        <v>9070</v>
      </c>
      <c r="P45" s="78">
        <v>300</v>
      </c>
      <c r="Q45" s="2"/>
    </row>
    <row r="46" spans="2:17" ht="19.899999999999999" customHeight="1">
      <c r="B46" s="2">
        <v>44</v>
      </c>
      <c r="C46" s="13" t="s">
        <v>145</v>
      </c>
      <c r="D46" s="38">
        <v>2500</v>
      </c>
      <c r="E46" s="17">
        <f t="shared" si="2"/>
        <v>83.333333333333329</v>
      </c>
      <c r="F46" s="2">
        <v>30</v>
      </c>
      <c r="G46" s="35">
        <v>11</v>
      </c>
      <c r="H46" s="2">
        <f t="shared" si="1"/>
        <v>19</v>
      </c>
      <c r="I46" s="17">
        <f t="shared" si="0"/>
        <v>1583.3333333333335</v>
      </c>
      <c r="J46" s="2"/>
      <c r="K46" s="18"/>
      <c r="L46" s="17">
        <f t="shared" si="3"/>
        <v>916.66666666666663</v>
      </c>
      <c r="M46" s="17"/>
      <c r="N46" s="17"/>
      <c r="O46" s="36">
        <f t="shared" si="4"/>
        <v>1583.3333333333335</v>
      </c>
      <c r="P46" s="36"/>
      <c r="Q46" s="2"/>
    </row>
    <row r="47" spans="2:17" ht="19.899999999999999" customHeight="1">
      <c r="B47" s="2">
        <v>45</v>
      </c>
      <c r="C47" s="13" t="s">
        <v>128</v>
      </c>
      <c r="D47" s="38">
        <v>2500</v>
      </c>
      <c r="E47" s="17">
        <f t="shared" si="2"/>
        <v>83.333333333333329</v>
      </c>
      <c r="F47" s="2">
        <v>30</v>
      </c>
      <c r="G47" s="35">
        <v>18</v>
      </c>
      <c r="H47" s="2">
        <f t="shared" si="1"/>
        <v>12</v>
      </c>
      <c r="I47" s="17">
        <f t="shared" si="0"/>
        <v>1000</v>
      </c>
      <c r="J47" s="2"/>
      <c r="K47" s="18"/>
      <c r="L47" s="17">
        <f t="shared" si="3"/>
        <v>1500</v>
      </c>
      <c r="M47" s="17"/>
      <c r="N47" s="17"/>
      <c r="O47" s="36">
        <f t="shared" si="4"/>
        <v>1000</v>
      </c>
      <c r="P47" s="36"/>
      <c r="Q47" s="2"/>
    </row>
    <row r="48" spans="2:17" ht="19.899999999999999" customHeight="1">
      <c r="B48" s="2">
        <v>46</v>
      </c>
      <c r="C48" s="13" t="s">
        <v>129</v>
      </c>
      <c r="D48" s="38">
        <v>2500</v>
      </c>
      <c r="E48" s="17">
        <f t="shared" si="2"/>
        <v>83.333333333333329</v>
      </c>
      <c r="F48" s="2">
        <v>30</v>
      </c>
      <c r="G48" s="35">
        <v>14</v>
      </c>
      <c r="H48" s="2">
        <f t="shared" si="1"/>
        <v>16</v>
      </c>
      <c r="I48" s="17">
        <f t="shared" si="0"/>
        <v>1333.3333333333335</v>
      </c>
      <c r="J48" s="2"/>
      <c r="K48" s="18"/>
      <c r="L48" s="17">
        <f t="shared" si="3"/>
        <v>1166.6666666666665</v>
      </c>
      <c r="M48" s="17"/>
      <c r="N48" s="17"/>
      <c r="O48" s="36">
        <f t="shared" si="4"/>
        <v>1333.3333333333335</v>
      </c>
      <c r="P48" s="36"/>
      <c r="Q48" s="2"/>
    </row>
    <row r="49" spans="2:17" ht="19.899999999999999" customHeight="1">
      <c r="B49" s="2">
        <v>12</v>
      </c>
      <c r="C49" s="13" t="s">
        <v>130</v>
      </c>
      <c r="D49" s="38">
        <v>12000</v>
      </c>
      <c r="E49" s="17">
        <f t="shared" si="2"/>
        <v>400</v>
      </c>
      <c r="F49" s="2">
        <v>30</v>
      </c>
      <c r="G49" s="35">
        <v>0.5</v>
      </c>
      <c r="H49" s="2">
        <f t="shared" si="1"/>
        <v>29.5</v>
      </c>
      <c r="I49" s="17">
        <f t="shared" si="0"/>
        <v>11800</v>
      </c>
      <c r="J49" s="2"/>
      <c r="K49" s="18"/>
      <c r="L49" s="17">
        <f t="shared" si="3"/>
        <v>200</v>
      </c>
      <c r="M49" s="17"/>
      <c r="N49" s="17"/>
      <c r="O49" s="36">
        <f t="shared" si="4"/>
        <v>11800</v>
      </c>
      <c r="P49" s="78">
        <v>250</v>
      </c>
      <c r="Q49" s="2"/>
    </row>
    <row r="50" spans="2:17" ht="19.899999999999999" customHeight="1">
      <c r="B50" s="2">
        <v>48</v>
      </c>
      <c r="C50" s="66" t="s">
        <v>131</v>
      </c>
      <c r="D50" s="38">
        <v>2500</v>
      </c>
      <c r="E50" s="17">
        <f t="shared" si="2"/>
        <v>83.333333333333329</v>
      </c>
      <c r="F50" s="2">
        <v>30</v>
      </c>
      <c r="G50" s="35">
        <v>9</v>
      </c>
      <c r="H50" s="18">
        <f t="shared" si="1"/>
        <v>21</v>
      </c>
      <c r="I50" s="17">
        <f t="shared" si="0"/>
        <v>1750</v>
      </c>
      <c r="J50" s="18"/>
      <c r="K50" s="18"/>
      <c r="L50" s="17">
        <f t="shared" si="3"/>
        <v>750</v>
      </c>
      <c r="M50" s="17"/>
      <c r="N50" s="17"/>
      <c r="O50" s="36">
        <f t="shared" si="4"/>
        <v>1750</v>
      </c>
      <c r="P50" s="36"/>
      <c r="Q50" s="2"/>
    </row>
    <row r="51" spans="2:17" ht="19.899999999999999" customHeight="1">
      <c r="B51" s="2">
        <v>49</v>
      </c>
      <c r="C51" s="66" t="s">
        <v>132</v>
      </c>
      <c r="D51" s="38">
        <v>2500</v>
      </c>
      <c r="E51" s="17">
        <f t="shared" si="2"/>
        <v>83.333333333333329</v>
      </c>
      <c r="F51" s="2">
        <v>30</v>
      </c>
      <c r="G51" s="35">
        <v>2</v>
      </c>
      <c r="H51" s="18">
        <f t="shared" si="1"/>
        <v>28</v>
      </c>
      <c r="I51" s="17">
        <f>SUM(D51-L51)</f>
        <v>2333.3333333333335</v>
      </c>
      <c r="J51" s="18"/>
      <c r="K51" s="18"/>
      <c r="L51" s="17">
        <f t="shared" si="3"/>
        <v>166.66666666666666</v>
      </c>
      <c r="M51" s="17"/>
      <c r="N51" s="17"/>
      <c r="O51" s="36">
        <f t="shared" si="4"/>
        <v>2333.3333333333335</v>
      </c>
      <c r="P51" s="36"/>
      <c r="Q51" s="2"/>
    </row>
    <row r="52" spans="2:17" ht="19.899999999999999" customHeight="1">
      <c r="B52" s="2">
        <v>50</v>
      </c>
      <c r="C52" s="66" t="s">
        <v>137</v>
      </c>
      <c r="D52" s="38">
        <v>2500</v>
      </c>
      <c r="E52" s="17">
        <f t="shared" si="2"/>
        <v>83.333333333333329</v>
      </c>
      <c r="F52" s="2">
        <v>30</v>
      </c>
      <c r="G52" s="35">
        <f>30-9.5</f>
        <v>20.5</v>
      </c>
      <c r="H52" s="18">
        <f t="shared" si="1"/>
        <v>9.5</v>
      </c>
      <c r="I52" s="17">
        <f>SUM(D52-L52)</f>
        <v>791.66666666666674</v>
      </c>
      <c r="J52" s="18"/>
      <c r="K52" s="18"/>
      <c r="L52" s="17">
        <f t="shared" si="3"/>
        <v>1708.3333333333333</v>
      </c>
      <c r="M52" s="17"/>
      <c r="N52" s="17"/>
      <c r="O52" s="36">
        <f t="shared" si="4"/>
        <v>791.66666666666674</v>
      </c>
      <c r="P52" s="36"/>
      <c r="Q52" s="2"/>
    </row>
    <row r="53" spans="2:17" ht="19.899999999999999" customHeight="1" thickBot="1">
      <c r="B53" s="2">
        <v>51</v>
      </c>
      <c r="C53" s="60" t="s">
        <v>144</v>
      </c>
      <c r="D53" s="61">
        <v>3850</v>
      </c>
      <c r="E53" s="62">
        <f t="shared" si="2"/>
        <v>128.33333333333334</v>
      </c>
      <c r="F53" s="2">
        <v>30</v>
      </c>
      <c r="G53" s="63">
        <v>3</v>
      </c>
      <c r="H53" s="63">
        <f t="shared" si="1"/>
        <v>27</v>
      </c>
      <c r="I53" s="62">
        <f t="shared" si="0"/>
        <v>3465</v>
      </c>
      <c r="J53" s="63"/>
      <c r="K53" s="63"/>
      <c r="L53" s="62">
        <f t="shared" si="3"/>
        <v>385</v>
      </c>
      <c r="M53" s="62"/>
      <c r="N53" s="62"/>
      <c r="O53" s="64">
        <f t="shared" si="4"/>
        <v>3465</v>
      </c>
      <c r="P53" s="77"/>
      <c r="Q53" s="2"/>
    </row>
    <row r="54" spans="2:17" ht="19.899999999999999" customHeight="1">
      <c r="B54" s="2"/>
      <c r="C54" s="48" t="s">
        <v>40</v>
      </c>
      <c r="D54" s="53">
        <f>SUM(D4:D53)</f>
        <v>248950</v>
      </c>
      <c r="E54" s="54"/>
      <c r="F54" s="55"/>
      <c r="G54" s="54"/>
      <c r="H54" s="55"/>
      <c r="I54" s="56">
        <f>SUM(I4:I53)</f>
        <v>223802.50000000003</v>
      </c>
      <c r="J54" s="57">
        <f>SUM(J4:J53)</f>
        <v>20300</v>
      </c>
      <c r="K54" s="58">
        <f t="shared" ref="K54:N54" si="5">SUM(K4:K53)</f>
        <v>0</v>
      </c>
      <c r="L54" s="57">
        <f t="shared" si="5"/>
        <v>24217.5</v>
      </c>
      <c r="M54" s="57">
        <f t="shared" si="5"/>
        <v>1344</v>
      </c>
      <c r="N54" s="58">
        <f t="shared" si="5"/>
        <v>282</v>
      </c>
      <c r="O54" s="59">
        <f>SUM(O4:O53)</f>
        <v>201876.50000000003</v>
      </c>
      <c r="P54" s="59"/>
      <c r="Q54" s="2"/>
    </row>
    <row r="55" spans="2:17" ht="19.899999999999999" customHeight="1" thickBot="1">
      <c r="B55" s="10"/>
      <c r="C55" s="49"/>
      <c r="D55" s="21"/>
      <c r="E55" s="23"/>
      <c r="F55" s="12"/>
      <c r="G55" s="23"/>
      <c r="H55" s="12"/>
      <c r="I55" s="21"/>
      <c r="J55" s="50"/>
      <c r="K55" s="50"/>
      <c r="L55" s="50"/>
      <c r="M55" s="51"/>
      <c r="N55" s="51"/>
      <c r="O55" s="52"/>
      <c r="P55" s="80"/>
      <c r="Q55" s="2"/>
    </row>
    <row r="56" spans="2:17">
      <c r="B56" s="10"/>
      <c r="I56" s="43"/>
      <c r="L56" s="47"/>
    </row>
    <row r="57" spans="2:17" ht="26.25">
      <c r="C57" s="26"/>
      <c r="D57" s="26"/>
      <c r="E57" s="26"/>
      <c r="F57" s="26"/>
      <c r="G57" s="26" t="s">
        <v>122</v>
      </c>
      <c r="H57" s="26"/>
      <c r="I57" s="26"/>
      <c r="J57" s="26"/>
      <c r="K57" s="26"/>
      <c r="L57" s="65"/>
      <c r="M57" s="26" t="s">
        <v>92</v>
      </c>
      <c r="N57" s="26"/>
    </row>
    <row r="58" spans="2:17" ht="26.2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7">
      <c r="B59" s="1"/>
      <c r="J59" s="43"/>
    </row>
    <row r="60" spans="2:17">
      <c r="B60" s="27"/>
      <c r="K60" s="43"/>
    </row>
  </sheetData>
  <autoFilter ref="B3:Q54">
    <filterColumn colId="5"/>
    <filterColumn colId="14"/>
  </autoFilter>
  <pageMargins left="0.12" right="0.21" top="0.32" bottom="0.32" header="0.3" footer="0.3"/>
  <pageSetup scale="94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T64"/>
  <sheetViews>
    <sheetView topLeftCell="A39" workbookViewId="0">
      <selection activeCell="O57" sqref="O57"/>
    </sheetView>
  </sheetViews>
  <sheetFormatPr defaultRowHeight="15"/>
  <cols>
    <col min="1" max="1" width="0.140625" customWidth="1"/>
    <col min="2" max="2" width="2.85546875" customWidth="1"/>
    <col min="3" max="3" width="17.7109375" customWidth="1"/>
    <col min="4" max="4" width="8.7109375" customWidth="1"/>
    <col min="5" max="5" width="11.28515625" customWidth="1"/>
    <col min="6" max="6" width="7.140625" customWidth="1"/>
    <col min="7" max="7" width="5" customWidth="1"/>
    <col min="8" max="8" width="6.85546875" customWidth="1"/>
    <col min="9" max="9" width="10" customWidth="1"/>
    <col min="10" max="10" width="9.5703125" bestFit="1" customWidth="1"/>
    <col min="11" max="11" width="9.28515625" customWidth="1"/>
    <col min="12" max="12" width="9.85546875" customWidth="1"/>
    <col min="13" max="13" width="7.28515625" customWidth="1"/>
    <col min="14" max="14" width="5.42578125" customWidth="1"/>
    <col min="15" max="15" width="11.7109375" customWidth="1"/>
    <col min="16" max="16" width="22.28515625" customWidth="1"/>
    <col min="17" max="17" width="10.42578125" customWidth="1"/>
  </cols>
  <sheetData>
    <row r="1" spans="2:20">
      <c r="C1" s="6"/>
    </row>
    <row r="2" spans="2:20" ht="36">
      <c r="D2" t="s">
        <v>41</v>
      </c>
      <c r="E2" s="8" t="s">
        <v>133</v>
      </c>
      <c r="F2" s="8"/>
      <c r="G2" s="8"/>
      <c r="H2" s="9"/>
      <c r="I2" s="5"/>
      <c r="J2" s="5"/>
      <c r="K2" s="5"/>
    </row>
    <row r="3" spans="2:20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" t="s">
        <v>105</v>
      </c>
      <c r="Q3" s="1"/>
      <c r="R3" s="1"/>
      <c r="S3" s="1"/>
      <c r="T3" s="1"/>
    </row>
    <row r="4" spans="2:20" ht="19.899999999999999" customHeight="1">
      <c r="B4" s="2">
        <v>1</v>
      </c>
      <c r="C4" s="13" t="s">
        <v>6</v>
      </c>
      <c r="D4" s="11">
        <v>11700</v>
      </c>
      <c r="E4" s="4">
        <f>SUM(D4/30)</f>
        <v>390</v>
      </c>
      <c r="F4" s="2">
        <v>31</v>
      </c>
      <c r="G4" s="33">
        <v>0.5</v>
      </c>
      <c r="H4" s="2">
        <f>+F4-G4</f>
        <v>30.5</v>
      </c>
      <c r="I4" s="4">
        <f t="shared" ref="I4:I55" si="0">SUM(D4-L4)</f>
        <v>11505</v>
      </c>
      <c r="J4" s="2">
        <f>2000+2000+300</f>
        <v>4300</v>
      </c>
      <c r="K4" s="2"/>
      <c r="L4" s="4">
        <f>SUM(G4*E4)</f>
        <v>195</v>
      </c>
      <c r="M4" s="4">
        <v>252</v>
      </c>
      <c r="N4" s="2">
        <v>53</v>
      </c>
      <c r="O4" s="36">
        <f>SUM(I4-J4-M4-N4-K4)</f>
        <v>6900</v>
      </c>
      <c r="P4" s="2"/>
      <c r="Q4" s="1"/>
      <c r="R4" s="1"/>
      <c r="S4" s="1"/>
      <c r="T4" s="1"/>
    </row>
    <row r="5" spans="2:20" ht="19.899999999999999" customHeight="1">
      <c r="B5" s="2">
        <v>2</v>
      </c>
      <c r="C5" s="13" t="s">
        <v>7</v>
      </c>
      <c r="D5" s="11">
        <v>10200</v>
      </c>
      <c r="E5" s="4">
        <f>SUM(D5/30)</f>
        <v>340</v>
      </c>
      <c r="F5" s="2">
        <v>31</v>
      </c>
      <c r="G5" s="33">
        <v>1</v>
      </c>
      <c r="H5" s="2">
        <f t="shared" ref="H5:H55" si="1">+F5-G5</f>
        <v>30</v>
      </c>
      <c r="I5" s="4">
        <f t="shared" si="0"/>
        <v>9860</v>
      </c>
      <c r="J5" s="2">
        <f>2000+2000</f>
        <v>4000</v>
      </c>
      <c r="K5" s="2"/>
      <c r="L5" s="4">
        <f>SUM(G5*E5)</f>
        <v>340</v>
      </c>
      <c r="M5" s="4">
        <v>252</v>
      </c>
      <c r="N5" s="2">
        <v>53</v>
      </c>
      <c r="O5" s="36">
        <f>SUM(I5-J5-M5-N5)</f>
        <v>5555</v>
      </c>
      <c r="P5" s="2"/>
      <c r="Q5" s="1"/>
      <c r="R5" s="1"/>
      <c r="S5" s="1"/>
      <c r="T5" s="1"/>
    </row>
    <row r="6" spans="2:20" ht="19.899999999999999" customHeight="1">
      <c r="B6" s="2">
        <v>3</v>
      </c>
      <c r="C6" s="13" t="s">
        <v>8</v>
      </c>
      <c r="D6" s="11">
        <v>9500</v>
      </c>
      <c r="E6" s="4">
        <f t="shared" ref="E6:E55" si="2">SUM(D6/30)</f>
        <v>316.66666666666669</v>
      </c>
      <c r="F6" s="2">
        <v>31</v>
      </c>
      <c r="G6" s="33">
        <v>0</v>
      </c>
      <c r="H6" s="2">
        <f t="shared" si="1"/>
        <v>31</v>
      </c>
      <c r="I6" s="4">
        <f t="shared" si="0"/>
        <v>9500</v>
      </c>
      <c r="J6" s="2"/>
      <c r="K6" s="2"/>
      <c r="L6" s="4">
        <f t="shared" ref="L6:L55" si="3">SUM(G6*E6)</f>
        <v>0</v>
      </c>
      <c r="M6" s="4">
        <v>252</v>
      </c>
      <c r="N6" s="2">
        <v>53</v>
      </c>
      <c r="O6" s="36">
        <f t="shared" ref="O6:O11" si="4">SUM(I6-J6-M6-N6-K6)</f>
        <v>9195</v>
      </c>
      <c r="P6" s="2"/>
      <c r="Q6" s="41">
        <f>+E6/8</f>
        <v>39.583333333333336</v>
      </c>
      <c r="R6" s="41"/>
      <c r="S6" s="41"/>
      <c r="T6" s="1"/>
    </row>
    <row r="7" spans="2:20" ht="19.899999999999999" customHeight="1">
      <c r="B7" s="2">
        <v>4</v>
      </c>
      <c r="C7" s="13" t="s">
        <v>9</v>
      </c>
      <c r="D7" s="11">
        <v>8400</v>
      </c>
      <c r="E7" s="4">
        <f t="shared" si="2"/>
        <v>280</v>
      </c>
      <c r="F7" s="2">
        <v>31</v>
      </c>
      <c r="G7" s="34">
        <v>0</v>
      </c>
      <c r="H7" s="2">
        <f t="shared" si="1"/>
        <v>31</v>
      </c>
      <c r="I7" s="4">
        <f t="shared" si="0"/>
        <v>8400</v>
      </c>
      <c r="J7" s="2"/>
      <c r="K7" s="2"/>
      <c r="L7" s="4">
        <f t="shared" si="3"/>
        <v>0</v>
      </c>
      <c r="M7" s="4">
        <v>252</v>
      </c>
      <c r="N7" s="2">
        <v>53</v>
      </c>
      <c r="O7" s="36">
        <f t="shared" si="4"/>
        <v>8095</v>
      </c>
      <c r="P7" s="2"/>
      <c r="Q7" s="1"/>
      <c r="R7" s="1"/>
      <c r="S7" s="1"/>
      <c r="T7" s="1"/>
    </row>
    <row r="8" spans="2:20" ht="19.899999999999999" customHeight="1">
      <c r="B8" s="2">
        <v>5</v>
      </c>
      <c r="C8" s="13" t="s">
        <v>22</v>
      </c>
      <c r="D8" s="11">
        <v>12000</v>
      </c>
      <c r="E8" s="4">
        <f>SUM(D8/30)</f>
        <v>400</v>
      </c>
      <c r="F8" s="2">
        <v>31</v>
      </c>
      <c r="G8" s="33">
        <v>0</v>
      </c>
      <c r="H8" s="2">
        <f t="shared" si="1"/>
        <v>31</v>
      </c>
      <c r="I8" s="4">
        <f t="shared" si="0"/>
        <v>12000</v>
      </c>
      <c r="J8" s="2">
        <f>500+243+500</f>
        <v>1243</v>
      </c>
      <c r="K8" s="2"/>
      <c r="L8" s="4">
        <f>SUM(G8*E8)</f>
        <v>0</v>
      </c>
      <c r="M8" s="4">
        <v>336</v>
      </c>
      <c r="N8" s="4">
        <v>70</v>
      </c>
      <c r="O8" s="36">
        <f t="shared" si="4"/>
        <v>10351</v>
      </c>
      <c r="P8" s="46"/>
      <c r="Q8" s="40"/>
      <c r="R8" s="46">
        <f>2000+2000+2640</f>
        <v>6640</v>
      </c>
      <c r="S8" s="40">
        <f>+Q8-R8</f>
        <v>-6640</v>
      </c>
    </row>
    <row r="9" spans="2:20" ht="19.899999999999999" customHeight="1">
      <c r="B9" s="2">
        <v>6</v>
      </c>
      <c r="C9" s="13" t="s">
        <v>11</v>
      </c>
      <c r="D9" s="11">
        <v>7800</v>
      </c>
      <c r="E9" s="4">
        <f t="shared" si="2"/>
        <v>260</v>
      </c>
      <c r="F9" s="2">
        <v>31</v>
      </c>
      <c r="G9" s="34">
        <v>0</v>
      </c>
      <c r="H9" s="2">
        <f t="shared" si="1"/>
        <v>31</v>
      </c>
      <c r="I9" s="4">
        <f t="shared" si="0"/>
        <v>7800</v>
      </c>
      <c r="J9" s="2">
        <v>1000</v>
      </c>
      <c r="K9" s="2"/>
      <c r="L9" s="4">
        <f t="shared" si="3"/>
        <v>0</v>
      </c>
      <c r="M9" s="4"/>
      <c r="N9" s="4"/>
      <c r="O9" s="36">
        <f t="shared" si="4"/>
        <v>6800</v>
      </c>
      <c r="P9" s="46"/>
      <c r="Q9" s="1"/>
      <c r="R9" s="1"/>
      <c r="S9" s="1"/>
      <c r="T9" s="1"/>
    </row>
    <row r="10" spans="2:20" ht="19.899999999999999" customHeight="1">
      <c r="B10" s="2">
        <v>7</v>
      </c>
      <c r="C10" s="13" t="s">
        <v>12</v>
      </c>
      <c r="D10" s="11">
        <v>7050</v>
      </c>
      <c r="E10" s="4">
        <f t="shared" si="2"/>
        <v>235</v>
      </c>
      <c r="F10" s="2">
        <v>31</v>
      </c>
      <c r="G10" s="34">
        <v>2.5</v>
      </c>
      <c r="H10" s="2">
        <f t="shared" si="1"/>
        <v>28.5</v>
      </c>
      <c r="I10" s="4">
        <f t="shared" si="0"/>
        <v>6462.5</v>
      </c>
      <c r="J10" s="2">
        <f>200+500</f>
        <v>700</v>
      </c>
      <c r="K10" s="2"/>
      <c r="L10" s="4">
        <f t="shared" si="3"/>
        <v>587.5</v>
      </c>
      <c r="M10" s="4"/>
      <c r="N10" s="4"/>
      <c r="O10" s="36">
        <f t="shared" si="4"/>
        <v>5762.5</v>
      </c>
      <c r="P10" s="2"/>
      <c r="Q10" s="1"/>
      <c r="R10" s="1"/>
      <c r="S10" s="1"/>
      <c r="T10" s="1"/>
    </row>
    <row r="11" spans="2:20" ht="19.899999999999999" customHeight="1">
      <c r="B11" s="2">
        <v>8</v>
      </c>
      <c r="C11" s="13" t="s">
        <v>13</v>
      </c>
      <c r="D11" s="11">
        <v>10000</v>
      </c>
      <c r="E11" s="4">
        <f t="shared" si="2"/>
        <v>333.33333333333331</v>
      </c>
      <c r="F11" s="2">
        <v>31</v>
      </c>
      <c r="G11" s="33">
        <v>0</v>
      </c>
      <c r="H11" s="2">
        <f t="shared" si="1"/>
        <v>31</v>
      </c>
      <c r="I11" s="4">
        <f t="shared" si="0"/>
        <v>10000</v>
      </c>
      <c r="J11" s="2"/>
      <c r="K11" s="2"/>
      <c r="L11" s="4">
        <f t="shared" si="3"/>
        <v>0</v>
      </c>
      <c r="M11" s="4"/>
      <c r="N11" s="4"/>
      <c r="O11" s="36">
        <f t="shared" si="4"/>
        <v>10000</v>
      </c>
      <c r="P11" s="2"/>
      <c r="Q11" s="1"/>
      <c r="R11" s="1"/>
      <c r="S11" s="1"/>
      <c r="T11" s="1"/>
    </row>
    <row r="12" spans="2:20" ht="19.899999999999999" customHeight="1">
      <c r="B12" s="2">
        <v>9</v>
      </c>
      <c r="C12" s="13" t="s">
        <v>107</v>
      </c>
      <c r="D12" s="11">
        <v>4700</v>
      </c>
      <c r="E12" s="4">
        <f t="shared" si="2"/>
        <v>156.66666666666666</v>
      </c>
      <c r="F12" s="2">
        <v>31</v>
      </c>
      <c r="G12" s="34">
        <v>0</v>
      </c>
      <c r="H12" s="2">
        <f t="shared" si="1"/>
        <v>31</v>
      </c>
      <c r="I12" s="4">
        <f t="shared" si="0"/>
        <v>4700</v>
      </c>
      <c r="J12" s="2"/>
      <c r="K12" s="2"/>
      <c r="L12" s="4">
        <f t="shared" si="3"/>
        <v>0</v>
      </c>
      <c r="M12" s="4"/>
      <c r="N12" s="4"/>
      <c r="O12" s="36">
        <f t="shared" ref="O12:O55" si="5">SUM(I12-J12-M12-N12-K12)</f>
        <v>4700</v>
      </c>
      <c r="P12" s="2"/>
      <c r="Q12" s="1"/>
      <c r="R12" s="1"/>
      <c r="S12" s="1"/>
      <c r="T12" s="1"/>
    </row>
    <row r="13" spans="2:20" ht="19.899999999999999" customHeight="1">
      <c r="B13" s="2">
        <v>10</v>
      </c>
      <c r="C13" s="13" t="s">
        <v>16</v>
      </c>
      <c r="D13" s="11">
        <v>4300</v>
      </c>
      <c r="E13" s="4">
        <f t="shared" si="2"/>
        <v>143.33333333333334</v>
      </c>
      <c r="F13" s="2">
        <v>31</v>
      </c>
      <c r="G13" s="33">
        <v>2</v>
      </c>
      <c r="H13" s="2">
        <f t="shared" si="1"/>
        <v>29</v>
      </c>
      <c r="I13" s="4">
        <f t="shared" si="0"/>
        <v>4013.3333333333335</v>
      </c>
      <c r="J13" s="2"/>
      <c r="K13" s="2"/>
      <c r="L13" s="4">
        <f t="shared" si="3"/>
        <v>286.66666666666669</v>
      </c>
      <c r="M13" s="4"/>
      <c r="N13" s="4"/>
      <c r="O13" s="36">
        <f t="shared" si="5"/>
        <v>4013.3333333333335</v>
      </c>
      <c r="P13" s="2"/>
      <c r="Q13" s="1"/>
      <c r="R13" s="1"/>
      <c r="S13" s="1"/>
      <c r="T13" s="1"/>
    </row>
    <row r="14" spans="2:20" ht="19.899999999999999" customHeight="1">
      <c r="B14" s="2">
        <v>11</v>
      </c>
      <c r="C14" s="13" t="s">
        <v>17</v>
      </c>
      <c r="D14" s="11">
        <v>3850</v>
      </c>
      <c r="E14" s="4">
        <f t="shared" si="2"/>
        <v>128.33333333333334</v>
      </c>
      <c r="F14" s="2">
        <v>31</v>
      </c>
      <c r="G14" s="33">
        <v>2</v>
      </c>
      <c r="H14" s="2">
        <f t="shared" si="1"/>
        <v>29</v>
      </c>
      <c r="I14" s="4">
        <f t="shared" si="0"/>
        <v>3593.3333333333335</v>
      </c>
      <c r="J14" s="2"/>
      <c r="K14" s="2"/>
      <c r="L14" s="4">
        <f t="shared" si="3"/>
        <v>256.66666666666669</v>
      </c>
      <c r="M14" s="4"/>
      <c r="N14" s="4"/>
      <c r="O14" s="36">
        <f t="shared" si="5"/>
        <v>3593.3333333333335</v>
      </c>
      <c r="P14" s="2"/>
      <c r="Q14" s="1"/>
      <c r="R14" s="1"/>
      <c r="S14" s="1"/>
      <c r="T14" s="1"/>
    </row>
    <row r="15" spans="2:20" ht="19.899999999999999" customHeight="1">
      <c r="B15" s="2">
        <v>12</v>
      </c>
      <c r="C15" s="13" t="s">
        <v>77</v>
      </c>
      <c r="D15" s="11">
        <v>2900</v>
      </c>
      <c r="E15" s="4">
        <f t="shared" si="2"/>
        <v>96.666666666666671</v>
      </c>
      <c r="F15" s="2">
        <v>31</v>
      </c>
      <c r="G15" s="34">
        <v>0</v>
      </c>
      <c r="H15" s="2">
        <f t="shared" si="1"/>
        <v>31</v>
      </c>
      <c r="I15" s="4">
        <f t="shared" si="0"/>
        <v>2900</v>
      </c>
      <c r="J15" s="2"/>
      <c r="K15" s="2"/>
      <c r="L15" s="4">
        <f t="shared" si="3"/>
        <v>0</v>
      </c>
      <c r="M15" s="4"/>
      <c r="N15" s="4"/>
      <c r="O15" s="36">
        <f t="shared" si="5"/>
        <v>2900</v>
      </c>
      <c r="P15" s="2"/>
      <c r="Q15" s="1"/>
      <c r="R15" s="1"/>
      <c r="S15" s="1"/>
      <c r="T15" s="1"/>
    </row>
    <row r="16" spans="2:20" ht="19.899999999999999" customHeight="1">
      <c r="B16" s="2">
        <v>13</v>
      </c>
      <c r="C16" s="13" t="s">
        <v>18</v>
      </c>
      <c r="D16" s="11">
        <v>4450</v>
      </c>
      <c r="E16" s="4">
        <f t="shared" si="2"/>
        <v>148.33333333333334</v>
      </c>
      <c r="F16" s="2">
        <v>31</v>
      </c>
      <c r="G16" s="33">
        <v>1</v>
      </c>
      <c r="H16" s="2">
        <f t="shared" si="1"/>
        <v>30</v>
      </c>
      <c r="I16" s="4">
        <f t="shared" si="0"/>
        <v>4301.666666666667</v>
      </c>
      <c r="J16" s="2"/>
      <c r="K16" s="2"/>
      <c r="L16" s="4">
        <f t="shared" si="3"/>
        <v>148.33333333333334</v>
      </c>
      <c r="M16" s="4"/>
      <c r="N16" s="4"/>
      <c r="O16" s="36">
        <f t="shared" si="5"/>
        <v>4301.666666666667</v>
      </c>
      <c r="P16" s="2"/>
      <c r="Q16" s="1"/>
      <c r="R16" s="1"/>
      <c r="S16" s="1"/>
      <c r="T16" s="1"/>
    </row>
    <row r="17" spans="2:20" ht="19.899999999999999" customHeight="1">
      <c r="B17" s="2">
        <v>14</v>
      </c>
      <c r="C17" s="13" t="s">
        <v>19</v>
      </c>
      <c r="D17" s="11">
        <v>3850</v>
      </c>
      <c r="E17" s="4">
        <f t="shared" si="2"/>
        <v>128.33333333333334</v>
      </c>
      <c r="F17" s="2">
        <v>31</v>
      </c>
      <c r="G17" s="33">
        <v>0</v>
      </c>
      <c r="H17" s="2">
        <f t="shared" si="1"/>
        <v>31</v>
      </c>
      <c r="I17" s="4">
        <f t="shared" si="0"/>
        <v>3850</v>
      </c>
      <c r="J17" s="2"/>
      <c r="K17" s="2"/>
      <c r="L17" s="4">
        <f t="shared" si="3"/>
        <v>0</v>
      </c>
      <c r="M17" s="4"/>
      <c r="N17" s="4"/>
      <c r="O17" s="36">
        <f t="shared" si="5"/>
        <v>3850</v>
      </c>
      <c r="P17" s="2"/>
      <c r="Q17" s="1"/>
      <c r="R17" s="1"/>
      <c r="S17" s="1"/>
      <c r="T17" s="1"/>
    </row>
    <row r="18" spans="2:20" ht="19.899999999999999" customHeight="1">
      <c r="B18" s="2">
        <v>15</v>
      </c>
      <c r="C18" s="13" t="s">
        <v>20</v>
      </c>
      <c r="D18" s="11">
        <v>4250</v>
      </c>
      <c r="E18" s="4">
        <f t="shared" si="2"/>
        <v>141.66666666666666</v>
      </c>
      <c r="F18" s="2">
        <v>31</v>
      </c>
      <c r="G18" s="33">
        <v>0.5</v>
      </c>
      <c r="H18" s="2">
        <f t="shared" si="1"/>
        <v>30.5</v>
      </c>
      <c r="I18" s="4">
        <f t="shared" si="0"/>
        <v>4179.166666666667</v>
      </c>
      <c r="J18" s="2"/>
      <c r="K18" s="2"/>
      <c r="L18" s="4">
        <f t="shared" si="3"/>
        <v>70.833333333333329</v>
      </c>
      <c r="M18" s="4"/>
      <c r="N18" s="4"/>
      <c r="O18" s="36">
        <f t="shared" si="5"/>
        <v>4179.166666666667</v>
      </c>
      <c r="P18" s="2"/>
      <c r="Q18" s="41"/>
      <c r="R18" s="1"/>
      <c r="S18" s="1"/>
      <c r="T18" s="1"/>
    </row>
    <row r="19" spans="2:20" ht="19.899999999999999" customHeight="1">
      <c r="B19" s="2">
        <v>16</v>
      </c>
      <c r="C19" s="13" t="s">
        <v>21</v>
      </c>
      <c r="D19" s="11">
        <v>3800</v>
      </c>
      <c r="E19" s="4">
        <f t="shared" si="2"/>
        <v>126.66666666666667</v>
      </c>
      <c r="F19" s="2">
        <v>31</v>
      </c>
      <c r="G19" s="34">
        <v>0</v>
      </c>
      <c r="H19" s="2">
        <f t="shared" si="1"/>
        <v>31</v>
      </c>
      <c r="I19" s="4">
        <f t="shared" si="0"/>
        <v>3800</v>
      </c>
      <c r="J19" s="2">
        <v>1000</v>
      </c>
      <c r="K19" s="2"/>
      <c r="L19" s="4">
        <f t="shared" si="3"/>
        <v>0</v>
      </c>
      <c r="M19" s="4"/>
      <c r="N19" s="4"/>
      <c r="O19" s="36">
        <f t="shared" si="5"/>
        <v>2800</v>
      </c>
      <c r="P19" s="2"/>
      <c r="Q19" s="1"/>
      <c r="R19" s="1"/>
      <c r="S19" s="1"/>
      <c r="T19" s="1"/>
    </row>
    <row r="20" spans="2:20" ht="19.899999999999999" customHeight="1">
      <c r="B20" s="2">
        <v>17</v>
      </c>
      <c r="C20" s="13" t="s">
        <v>10</v>
      </c>
      <c r="D20" s="11">
        <v>7100</v>
      </c>
      <c r="E20" s="4">
        <f>SUM(D20/30)</f>
        <v>236.66666666666666</v>
      </c>
      <c r="F20" s="2">
        <v>31</v>
      </c>
      <c r="G20" s="34">
        <v>1.5</v>
      </c>
      <c r="H20" s="2">
        <f t="shared" si="1"/>
        <v>29.5</v>
      </c>
      <c r="I20" s="4">
        <f t="shared" si="0"/>
        <v>6745</v>
      </c>
      <c r="J20" s="2">
        <f>1500+500</f>
        <v>2000</v>
      </c>
      <c r="K20" s="2"/>
      <c r="L20" s="4">
        <f>SUM(G20*E20)</f>
        <v>355</v>
      </c>
      <c r="M20" s="4"/>
      <c r="N20" s="4"/>
      <c r="O20" s="36">
        <f t="shared" si="5"/>
        <v>4745</v>
      </c>
      <c r="P20" s="2"/>
      <c r="Q20" s="1"/>
      <c r="R20" s="1"/>
      <c r="S20" s="1"/>
      <c r="T20" s="1"/>
    </row>
    <row r="21" spans="2:20" ht="19.899999999999999" customHeight="1">
      <c r="B21" s="2">
        <v>18</v>
      </c>
      <c r="C21" s="13" t="s">
        <v>23</v>
      </c>
      <c r="D21" s="11">
        <v>3700</v>
      </c>
      <c r="E21" s="4">
        <f t="shared" si="2"/>
        <v>123.33333333333333</v>
      </c>
      <c r="F21" s="2">
        <v>31</v>
      </c>
      <c r="G21" s="33">
        <v>1.5</v>
      </c>
      <c r="H21" s="2">
        <f t="shared" si="1"/>
        <v>29.5</v>
      </c>
      <c r="I21" s="4">
        <f t="shared" si="0"/>
        <v>3515</v>
      </c>
      <c r="J21" s="2"/>
      <c r="K21" s="2"/>
      <c r="L21" s="4">
        <f t="shared" si="3"/>
        <v>185</v>
      </c>
      <c r="M21" s="4"/>
      <c r="N21" s="4"/>
      <c r="O21" s="36">
        <f t="shared" si="5"/>
        <v>3515</v>
      </c>
      <c r="P21" s="2"/>
      <c r="Q21" s="1"/>
      <c r="R21" s="1"/>
      <c r="S21" s="1"/>
      <c r="T21" s="1"/>
    </row>
    <row r="22" spans="2:20" ht="19.899999999999999" customHeight="1">
      <c r="B22" s="2">
        <v>19</v>
      </c>
      <c r="C22" s="13" t="s">
        <v>24</v>
      </c>
      <c r="D22" s="11">
        <v>3600</v>
      </c>
      <c r="E22" s="4">
        <f t="shared" si="2"/>
        <v>120</v>
      </c>
      <c r="F22" s="2">
        <v>31</v>
      </c>
      <c r="G22" s="34">
        <v>1.5</v>
      </c>
      <c r="H22" s="2">
        <f t="shared" si="1"/>
        <v>29.5</v>
      </c>
      <c r="I22" s="4">
        <f t="shared" si="0"/>
        <v>3420</v>
      </c>
      <c r="J22" s="2"/>
      <c r="K22" s="2"/>
      <c r="L22" s="4">
        <f t="shared" si="3"/>
        <v>180</v>
      </c>
      <c r="M22" s="4"/>
      <c r="N22" s="4"/>
      <c r="O22" s="36">
        <f t="shared" si="5"/>
        <v>3420</v>
      </c>
      <c r="P22" s="2"/>
      <c r="Q22" s="1"/>
      <c r="R22" s="1"/>
      <c r="S22" s="1"/>
      <c r="T22" s="1"/>
    </row>
    <row r="23" spans="2:20" ht="19.899999999999999" customHeight="1">
      <c r="B23" s="2">
        <v>20</v>
      </c>
      <c r="C23" s="13" t="s">
        <v>25</v>
      </c>
      <c r="D23" s="11">
        <v>3700</v>
      </c>
      <c r="E23" s="4">
        <f t="shared" si="2"/>
        <v>123.33333333333333</v>
      </c>
      <c r="F23" s="2">
        <v>31</v>
      </c>
      <c r="G23" s="34">
        <v>0</v>
      </c>
      <c r="H23" s="2">
        <f t="shared" si="1"/>
        <v>31</v>
      </c>
      <c r="I23" s="4">
        <f t="shared" si="0"/>
        <v>3700</v>
      </c>
      <c r="J23" s="2"/>
      <c r="K23" s="2"/>
      <c r="L23" s="4">
        <f t="shared" si="3"/>
        <v>0</v>
      </c>
      <c r="M23" s="4"/>
      <c r="N23" s="4"/>
      <c r="O23" s="36">
        <f t="shared" si="5"/>
        <v>3700</v>
      </c>
      <c r="P23" s="2"/>
      <c r="Q23" s="1"/>
      <c r="R23" s="1"/>
      <c r="S23" s="1"/>
      <c r="T23" s="1"/>
    </row>
    <row r="24" spans="2:20" ht="19.899999999999999" customHeight="1">
      <c r="B24" s="2">
        <v>21</v>
      </c>
      <c r="C24" s="13" t="s">
        <v>28</v>
      </c>
      <c r="D24" s="11">
        <v>7000</v>
      </c>
      <c r="E24" s="4">
        <f t="shared" si="2"/>
        <v>233.33333333333334</v>
      </c>
      <c r="F24" s="2">
        <v>31</v>
      </c>
      <c r="G24" s="34">
        <v>6</v>
      </c>
      <c r="H24" s="2">
        <f t="shared" si="1"/>
        <v>25</v>
      </c>
      <c r="I24" s="4">
        <f t="shared" si="0"/>
        <v>5600</v>
      </c>
      <c r="J24" s="2">
        <f>500+500</f>
        <v>1000</v>
      </c>
      <c r="K24" s="2"/>
      <c r="L24" s="4">
        <f t="shared" si="3"/>
        <v>1400</v>
      </c>
      <c r="M24" s="4"/>
      <c r="N24" s="4"/>
      <c r="O24" s="36">
        <f t="shared" si="5"/>
        <v>4600</v>
      </c>
      <c r="P24" s="2"/>
      <c r="Q24" s="1"/>
      <c r="R24" s="1"/>
      <c r="S24" s="1"/>
      <c r="T24" s="1"/>
    </row>
    <row r="25" spans="2:20" ht="19.899999999999999" customHeight="1">
      <c r="B25" s="2">
        <v>22</v>
      </c>
      <c r="C25" s="13" t="s">
        <v>29</v>
      </c>
      <c r="D25" s="11">
        <v>6700</v>
      </c>
      <c r="E25" s="4">
        <f t="shared" si="2"/>
        <v>223.33333333333334</v>
      </c>
      <c r="F25" s="2">
        <v>31</v>
      </c>
      <c r="G25" s="34">
        <v>2</v>
      </c>
      <c r="H25" s="2">
        <f t="shared" si="1"/>
        <v>29</v>
      </c>
      <c r="I25" s="4">
        <f t="shared" si="0"/>
        <v>6253.333333333333</v>
      </c>
      <c r="J25" s="2">
        <v>2000</v>
      </c>
      <c r="K25" s="2"/>
      <c r="L25" s="4">
        <f t="shared" si="3"/>
        <v>446.66666666666669</v>
      </c>
      <c r="M25" s="4"/>
      <c r="N25" s="4"/>
      <c r="O25" s="36">
        <f t="shared" si="5"/>
        <v>4253.333333333333</v>
      </c>
      <c r="P25" s="2"/>
      <c r="Q25" s="1"/>
      <c r="R25" s="1"/>
      <c r="S25" s="1"/>
      <c r="T25" s="1"/>
    </row>
    <row r="26" spans="2:20" ht="19.899999999999999" customHeight="1">
      <c r="B26" s="2">
        <v>23</v>
      </c>
      <c r="C26" s="13" t="s">
        <v>15</v>
      </c>
      <c r="D26" s="11">
        <v>2850</v>
      </c>
      <c r="E26" s="4">
        <f t="shared" si="2"/>
        <v>95</v>
      </c>
      <c r="F26" s="2">
        <v>31</v>
      </c>
      <c r="G26" s="34">
        <v>0</v>
      </c>
      <c r="H26" s="2">
        <f t="shared" si="1"/>
        <v>31</v>
      </c>
      <c r="I26" s="4">
        <f t="shared" si="0"/>
        <v>2850</v>
      </c>
      <c r="J26" s="2"/>
      <c r="K26" s="2"/>
      <c r="L26" s="4">
        <f t="shared" si="3"/>
        <v>0</v>
      </c>
      <c r="M26" s="4"/>
      <c r="N26" s="4"/>
      <c r="O26" s="36">
        <f t="shared" si="5"/>
        <v>2850</v>
      </c>
      <c r="P26" s="2"/>
      <c r="Q26" s="1"/>
      <c r="R26" s="1"/>
      <c r="S26" s="1"/>
      <c r="T26" s="1"/>
    </row>
    <row r="27" spans="2:20" ht="19.899999999999999" customHeight="1">
      <c r="B27" s="2">
        <v>24</v>
      </c>
      <c r="C27" s="13" t="s">
        <v>88</v>
      </c>
      <c r="D27" s="11">
        <v>3500</v>
      </c>
      <c r="E27" s="4">
        <f t="shared" si="2"/>
        <v>116.66666666666667</v>
      </c>
      <c r="F27" s="2">
        <v>31</v>
      </c>
      <c r="G27" s="34">
        <v>0</v>
      </c>
      <c r="H27" s="2">
        <f t="shared" si="1"/>
        <v>31</v>
      </c>
      <c r="I27" s="4">
        <f t="shared" si="0"/>
        <v>3500</v>
      </c>
      <c r="J27" s="2"/>
      <c r="K27" s="2"/>
      <c r="L27" s="4">
        <f t="shared" si="3"/>
        <v>0</v>
      </c>
      <c r="M27" s="4"/>
      <c r="N27" s="4"/>
      <c r="O27" s="36">
        <f t="shared" si="5"/>
        <v>3500</v>
      </c>
      <c r="P27" s="2"/>
      <c r="Q27" s="1"/>
      <c r="R27" s="1"/>
      <c r="S27" s="1"/>
      <c r="T27" s="1"/>
    </row>
    <row r="28" spans="2:20" ht="19.899999999999999" customHeight="1">
      <c r="B28" s="2">
        <v>25</v>
      </c>
      <c r="C28" s="13" t="s">
        <v>75</v>
      </c>
      <c r="D28" s="11">
        <v>3300</v>
      </c>
      <c r="E28" s="4">
        <f t="shared" si="2"/>
        <v>110</v>
      </c>
      <c r="F28" s="2">
        <v>31</v>
      </c>
      <c r="G28" s="34">
        <v>0.5</v>
      </c>
      <c r="H28" s="2">
        <f t="shared" si="1"/>
        <v>30.5</v>
      </c>
      <c r="I28" s="4">
        <f t="shared" si="0"/>
        <v>3245</v>
      </c>
      <c r="J28" s="2">
        <v>1500</v>
      </c>
      <c r="K28" s="2"/>
      <c r="L28" s="4">
        <f t="shared" si="3"/>
        <v>55</v>
      </c>
      <c r="M28" s="4"/>
      <c r="N28" s="4"/>
      <c r="O28" s="36">
        <f t="shared" si="5"/>
        <v>1745</v>
      </c>
      <c r="P28" s="2"/>
      <c r="Q28" s="1"/>
      <c r="R28" s="1"/>
      <c r="S28" s="1"/>
      <c r="T28" s="1"/>
    </row>
    <row r="29" spans="2:20" ht="19.899999999999999" customHeight="1">
      <c r="B29" s="2">
        <v>26</v>
      </c>
      <c r="C29" s="13" t="s">
        <v>124</v>
      </c>
      <c r="D29" s="11">
        <v>3200</v>
      </c>
      <c r="E29" s="4">
        <f t="shared" si="2"/>
        <v>106.66666666666667</v>
      </c>
      <c r="F29" s="2">
        <v>31</v>
      </c>
      <c r="G29" s="34">
        <v>1</v>
      </c>
      <c r="H29" s="2">
        <f t="shared" si="1"/>
        <v>30</v>
      </c>
      <c r="I29" s="4">
        <f t="shared" si="0"/>
        <v>3093.3333333333335</v>
      </c>
      <c r="J29" s="2"/>
      <c r="K29" s="2"/>
      <c r="L29" s="4">
        <f t="shared" si="3"/>
        <v>106.66666666666667</v>
      </c>
      <c r="M29" s="4"/>
      <c r="N29" s="4"/>
      <c r="O29" s="36">
        <f t="shared" si="5"/>
        <v>3093.3333333333335</v>
      </c>
      <c r="P29" s="2"/>
      <c r="Q29" s="1"/>
      <c r="R29" s="1"/>
      <c r="S29" s="1"/>
      <c r="T29" s="1"/>
    </row>
    <row r="30" spans="2:20" ht="19.899999999999999" customHeight="1">
      <c r="B30" s="2"/>
      <c r="C30" s="13"/>
      <c r="D30" s="11"/>
      <c r="E30" s="4"/>
      <c r="F30" s="2"/>
      <c r="G30" s="34"/>
      <c r="H30" s="2"/>
      <c r="I30" s="4"/>
      <c r="J30" s="2"/>
      <c r="K30" s="2"/>
      <c r="L30" s="4"/>
      <c r="M30" s="4"/>
      <c r="N30" s="4"/>
      <c r="O30" s="36"/>
      <c r="P30" s="2"/>
      <c r="Q30" s="1"/>
      <c r="R30" s="1"/>
      <c r="S30" s="1"/>
      <c r="T30" s="1"/>
    </row>
    <row r="31" spans="2:20" ht="19.899999999999999" customHeight="1">
      <c r="B31" s="2">
        <v>27</v>
      </c>
      <c r="C31" s="13" t="s">
        <v>79</v>
      </c>
      <c r="D31" s="11">
        <v>2500</v>
      </c>
      <c r="E31" s="4">
        <f t="shared" si="2"/>
        <v>83.333333333333329</v>
      </c>
      <c r="F31" s="2">
        <v>31</v>
      </c>
      <c r="G31" s="34">
        <v>1</v>
      </c>
      <c r="H31" s="2">
        <f t="shared" si="1"/>
        <v>30</v>
      </c>
      <c r="I31" s="4">
        <f t="shared" si="0"/>
        <v>2416.6666666666665</v>
      </c>
      <c r="J31" s="2"/>
      <c r="K31" s="2"/>
      <c r="L31" s="4">
        <f t="shared" si="3"/>
        <v>83.333333333333329</v>
      </c>
      <c r="M31" s="4"/>
      <c r="N31" s="4"/>
      <c r="O31" s="36">
        <f t="shared" si="5"/>
        <v>2416.6666666666665</v>
      </c>
      <c r="P31" s="2"/>
      <c r="Q31" s="1"/>
      <c r="R31" s="1"/>
      <c r="S31" s="1"/>
      <c r="T31" s="1"/>
    </row>
    <row r="32" spans="2:20" ht="19.899999999999999" customHeight="1">
      <c r="B32" s="2">
        <v>28</v>
      </c>
      <c r="C32" s="13" t="s">
        <v>85</v>
      </c>
      <c r="D32" s="11">
        <v>2500</v>
      </c>
      <c r="E32" s="4">
        <f t="shared" si="2"/>
        <v>83.333333333333329</v>
      </c>
      <c r="F32" s="2">
        <v>31</v>
      </c>
      <c r="G32" s="34">
        <v>12</v>
      </c>
      <c r="H32" s="2">
        <f t="shared" si="1"/>
        <v>19</v>
      </c>
      <c r="I32" s="4">
        <f t="shared" si="0"/>
        <v>1500</v>
      </c>
      <c r="J32" s="2"/>
      <c r="K32" s="2"/>
      <c r="L32" s="4">
        <f t="shared" si="3"/>
        <v>1000</v>
      </c>
      <c r="M32" s="4"/>
      <c r="N32" s="4"/>
      <c r="O32" s="36">
        <f t="shared" si="5"/>
        <v>1500</v>
      </c>
      <c r="P32" s="2"/>
    </row>
    <row r="33" spans="2:17" ht="19.899999999999999" customHeight="1">
      <c r="B33" s="2">
        <v>29</v>
      </c>
      <c r="C33" s="13" t="s">
        <v>78</v>
      </c>
      <c r="D33" s="11">
        <v>3000</v>
      </c>
      <c r="E33" s="4">
        <f t="shared" si="2"/>
        <v>100</v>
      </c>
      <c r="F33" s="2">
        <v>31</v>
      </c>
      <c r="G33" s="34">
        <v>0</v>
      </c>
      <c r="H33" s="2">
        <f t="shared" si="1"/>
        <v>31</v>
      </c>
      <c r="I33" s="4">
        <f t="shared" si="0"/>
        <v>3000</v>
      </c>
      <c r="J33" s="2">
        <v>1000</v>
      </c>
      <c r="K33" s="2"/>
      <c r="L33" s="4">
        <f t="shared" si="3"/>
        <v>0</v>
      </c>
      <c r="M33" s="4"/>
      <c r="N33" s="4"/>
      <c r="O33" s="36">
        <f t="shared" si="5"/>
        <v>2000</v>
      </c>
      <c r="P33" s="2"/>
    </row>
    <row r="34" spans="2:17" ht="19.899999999999999" customHeight="1">
      <c r="B34" s="2">
        <v>30</v>
      </c>
      <c r="C34" s="13" t="s">
        <v>86</v>
      </c>
      <c r="D34" s="11">
        <v>18000</v>
      </c>
      <c r="E34" s="4">
        <f t="shared" si="2"/>
        <v>600</v>
      </c>
      <c r="F34" s="2">
        <v>31</v>
      </c>
      <c r="G34" s="34">
        <v>0</v>
      </c>
      <c r="H34" s="2">
        <f t="shared" si="1"/>
        <v>31</v>
      </c>
      <c r="I34" s="4">
        <f t="shared" si="0"/>
        <v>18000</v>
      </c>
      <c r="J34" s="2">
        <f>4000+2000+1000+1000+2000+3000+3000</f>
        <v>16000</v>
      </c>
      <c r="K34" s="2">
        <v>1000</v>
      </c>
      <c r="L34" s="4">
        <f>SUM(G34*E34)</f>
        <v>0</v>
      </c>
      <c r="M34" s="4"/>
      <c r="N34" s="4"/>
      <c r="O34" s="36">
        <f t="shared" si="5"/>
        <v>1000</v>
      </c>
      <c r="P34" s="4"/>
      <c r="Q34" s="40"/>
    </row>
    <row r="35" spans="2:17" ht="19.899999999999999" customHeight="1">
      <c r="B35" s="2">
        <v>31</v>
      </c>
      <c r="C35" s="13" t="s">
        <v>31</v>
      </c>
      <c r="D35" s="11">
        <v>5900</v>
      </c>
      <c r="E35" s="4">
        <f t="shared" si="2"/>
        <v>196.66666666666666</v>
      </c>
      <c r="F35" s="2">
        <v>31</v>
      </c>
      <c r="G35" s="34">
        <v>0</v>
      </c>
      <c r="H35" s="2">
        <f t="shared" si="1"/>
        <v>31</v>
      </c>
      <c r="I35" s="4">
        <f t="shared" si="0"/>
        <v>5900</v>
      </c>
      <c r="J35" s="2"/>
      <c r="K35" s="2"/>
      <c r="L35" s="4">
        <f t="shared" si="3"/>
        <v>0</v>
      </c>
      <c r="M35" s="4"/>
      <c r="N35" s="4"/>
      <c r="O35" s="36">
        <f t="shared" si="5"/>
        <v>5900</v>
      </c>
      <c r="P35" s="2"/>
    </row>
    <row r="36" spans="2:17" ht="19.899999999999999" customHeight="1">
      <c r="B36" s="2">
        <v>32</v>
      </c>
      <c r="C36" s="13" t="s">
        <v>89</v>
      </c>
      <c r="D36" s="16">
        <v>2500</v>
      </c>
      <c r="E36" s="17">
        <f t="shared" si="2"/>
        <v>83.333333333333329</v>
      </c>
      <c r="F36" s="2">
        <v>31</v>
      </c>
      <c r="G36" s="35">
        <v>0</v>
      </c>
      <c r="H36" s="2">
        <f t="shared" si="1"/>
        <v>31</v>
      </c>
      <c r="I36" s="17">
        <f t="shared" si="0"/>
        <v>2500</v>
      </c>
      <c r="J36" s="2"/>
      <c r="K36" s="18"/>
      <c r="L36" s="17">
        <f t="shared" si="3"/>
        <v>0</v>
      </c>
      <c r="M36" s="17"/>
      <c r="N36" s="17"/>
      <c r="O36" s="36">
        <f t="shared" si="5"/>
        <v>2500</v>
      </c>
      <c r="P36" s="2"/>
    </row>
    <row r="37" spans="2:17" ht="19.899999999999999" customHeight="1">
      <c r="B37" s="2">
        <v>33</v>
      </c>
      <c r="C37" s="13" t="s">
        <v>93</v>
      </c>
      <c r="D37" s="16">
        <v>2500</v>
      </c>
      <c r="E37" s="17">
        <f t="shared" si="2"/>
        <v>83.333333333333329</v>
      </c>
      <c r="F37" s="2">
        <v>31</v>
      </c>
      <c r="G37" s="35">
        <v>0</v>
      </c>
      <c r="H37" s="2">
        <f t="shared" si="1"/>
        <v>31</v>
      </c>
      <c r="I37" s="17">
        <f t="shared" si="0"/>
        <v>2500</v>
      </c>
      <c r="J37" s="2"/>
      <c r="K37" s="18"/>
      <c r="L37" s="17">
        <f t="shared" si="3"/>
        <v>0</v>
      </c>
      <c r="M37" s="17"/>
      <c r="N37" s="17"/>
      <c r="O37" s="36">
        <f t="shared" si="5"/>
        <v>2500</v>
      </c>
      <c r="P37" s="2"/>
    </row>
    <row r="38" spans="2:17" ht="19.899999999999999" customHeight="1">
      <c r="B38" s="2">
        <v>34</v>
      </c>
      <c r="C38" s="13" t="s">
        <v>94</v>
      </c>
      <c r="D38" s="16">
        <v>2500</v>
      </c>
      <c r="E38" s="17">
        <f t="shared" si="2"/>
        <v>83.333333333333329</v>
      </c>
      <c r="F38" s="2">
        <v>31</v>
      </c>
      <c r="G38" s="35">
        <v>0</v>
      </c>
      <c r="H38" s="2">
        <f t="shared" si="1"/>
        <v>31</v>
      </c>
      <c r="I38" s="17">
        <f t="shared" si="0"/>
        <v>2500</v>
      </c>
      <c r="J38" s="2"/>
      <c r="K38" s="18"/>
      <c r="L38" s="17">
        <f t="shared" si="3"/>
        <v>0</v>
      </c>
      <c r="M38" s="17"/>
      <c r="N38" s="17"/>
      <c r="O38" s="36">
        <f t="shared" si="5"/>
        <v>2500</v>
      </c>
      <c r="P38" s="2"/>
    </row>
    <row r="39" spans="2:17" ht="19.899999999999999" customHeight="1">
      <c r="B39" s="2">
        <v>35</v>
      </c>
      <c r="C39" s="13" t="s">
        <v>101</v>
      </c>
      <c r="D39" s="16">
        <v>2500</v>
      </c>
      <c r="E39" s="17">
        <f t="shared" si="2"/>
        <v>83.333333333333329</v>
      </c>
      <c r="F39" s="2">
        <v>31</v>
      </c>
      <c r="G39" s="35">
        <v>0</v>
      </c>
      <c r="H39" s="2">
        <f t="shared" si="1"/>
        <v>31</v>
      </c>
      <c r="I39" s="17">
        <f t="shared" si="0"/>
        <v>2500</v>
      </c>
      <c r="J39" s="2"/>
      <c r="K39" s="18"/>
      <c r="L39" s="17">
        <f t="shared" si="3"/>
        <v>0</v>
      </c>
      <c r="M39" s="17"/>
      <c r="N39" s="17"/>
      <c r="O39" s="36">
        <f t="shared" si="5"/>
        <v>2500</v>
      </c>
      <c r="P39" s="2"/>
    </row>
    <row r="40" spans="2:17" ht="19.899999999999999" customHeight="1">
      <c r="B40" s="2">
        <v>36</v>
      </c>
      <c r="C40" s="13" t="s">
        <v>97</v>
      </c>
      <c r="D40" s="16">
        <v>2500</v>
      </c>
      <c r="E40" s="17">
        <f t="shared" si="2"/>
        <v>83.333333333333329</v>
      </c>
      <c r="F40" s="2">
        <v>31</v>
      </c>
      <c r="G40" s="35">
        <v>7.5</v>
      </c>
      <c r="H40" s="2">
        <f t="shared" si="1"/>
        <v>23.5</v>
      </c>
      <c r="I40" s="17">
        <f t="shared" si="0"/>
        <v>1875</v>
      </c>
      <c r="J40" s="2"/>
      <c r="K40" s="18"/>
      <c r="L40" s="17">
        <f t="shared" si="3"/>
        <v>625</v>
      </c>
      <c r="M40" s="17"/>
      <c r="N40" s="17"/>
      <c r="O40" s="36">
        <f t="shared" si="5"/>
        <v>1875</v>
      </c>
      <c r="P40" s="2"/>
    </row>
    <row r="41" spans="2:17" ht="19.899999999999999" customHeight="1">
      <c r="B41" s="2">
        <v>37</v>
      </c>
      <c r="C41" s="13" t="s">
        <v>104</v>
      </c>
      <c r="D41" s="16">
        <v>3000</v>
      </c>
      <c r="E41" s="17">
        <f t="shared" si="2"/>
        <v>100</v>
      </c>
      <c r="F41" s="2">
        <v>31</v>
      </c>
      <c r="G41" s="35">
        <v>0</v>
      </c>
      <c r="H41" s="2">
        <f t="shared" si="1"/>
        <v>31</v>
      </c>
      <c r="I41" s="17">
        <f t="shared" si="0"/>
        <v>3000</v>
      </c>
      <c r="J41" s="2"/>
      <c r="K41" s="18"/>
      <c r="L41" s="17">
        <f t="shared" si="3"/>
        <v>0</v>
      </c>
      <c r="M41" s="17"/>
      <c r="N41" s="17"/>
      <c r="O41" s="36">
        <f t="shared" si="5"/>
        <v>3000</v>
      </c>
      <c r="P41" s="2"/>
    </row>
    <row r="42" spans="2:17" ht="19.899999999999999" customHeight="1">
      <c r="B42" s="2">
        <v>38</v>
      </c>
      <c r="C42" s="13" t="s">
        <v>108</v>
      </c>
      <c r="D42" s="16">
        <v>2500</v>
      </c>
      <c r="E42" s="17">
        <f t="shared" si="2"/>
        <v>83.333333333333329</v>
      </c>
      <c r="F42" s="2">
        <v>31</v>
      </c>
      <c r="G42" s="35">
        <v>5</v>
      </c>
      <c r="H42" s="2">
        <f t="shared" si="1"/>
        <v>26</v>
      </c>
      <c r="I42" s="17">
        <f t="shared" si="0"/>
        <v>2083.3333333333335</v>
      </c>
      <c r="J42" s="2"/>
      <c r="K42" s="18"/>
      <c r="L42" s="17">
        <f t="shared" si="3"/>
        <v>416.66666666666663</v>
      </c>
      <c r="M42" s="17"/>
      <c r="N42" s="17"/>
      <c r="O42" s="36">
        <f t="shared" si="5"/>
        <v>2083.3333333333335</v>
      </c>
      <c r="P42" s="2"/>
    </row>
    <row r="43" spans="2:17" ht="19.899999999999999" customHeight="1">
      <c r="B43" s="2">
        <v>39</v>
      </c>
      <c r="C43" s="13" t="s">
        <v>111</v>
      </c>
      <c r="D43" s="38">
        <v>8500</v>
      </c>
      <c r="E43" s="17">
        <f t="shared" si="2"/>
        <v>283.33333333333331</v>
      </c>
      <c r="F43" s="2">
        <v>31</v>
      </c>
      <c r="G43" s="35">
        <v>0</v>
      </c>
      <c r="H43" s="2">
        <f t="shared" si="1"/>
        <v>31</v>
      </c>
      <c r="I43" s="17">
        <f t="shared" si="0"/>
        <v>8500</v>
      </c>
      <c r="J43" s="2">
        <f>2500+275</f>
        <v>2775</v>
      </c>
      <c r="K43" s="18"/>
      <c r="L43" s="17">
        <f t="shared" si="3"/>
        <v>0</v>
      </c>
      <c r="M43" s="17"/>
      <c r="N43" s="17"/>
      <c r="O43" s="36">
        <f t="shared" si="5"/>
        <v>5725</v>
      </c>
      <c r="P43" s="2"/>
    </row>
    <row r="44" spans="2:17" ht="19.899999999999999" customHeight="1">
      <c r="B44" s="2">
        <v>40</v>
      </c>
      <c r="C44" s="13" t="s">
        <v>112</v>
      </c>
      <c r="D44" s="38">
        <v>3500</v>
      </c>
      <c r="E44" s="17">
        <f t="shared" si="2"/>
        <v>116.66666666666667</v>
      </c>
      <c r="F44" s="2">
        <v>31</v>
      </c>
      <c r="G44" s="35">
        <v>1</v>
      </c>
      <c r="H44" s="2">
        <f t="shared" si="1"/>
        <v>30</v>
      </c>
      <c r="I44" s="17">
        <f t="shared" si="0"/>
        <v>3383.3333333333335</v>
      </c>
      <c r="J44" s="2"/>
      <c r="K44" s="18"/>
      <c r="L44" s="17">
        <f t="shared" si="3"/>
        <v>116.66666666666667</v>
      </c>
      <c r="M44" s="17"/>
      <c r="N44" s="17"/>
      <c r="O44" s="36">
        <f t="shared" si="5"/>
        <v>3383.3333333333335</v>
      </c>
      <c r="P44" s="2"/>
    </row>
    <row r="45" spans="2:17" ht="19.899999999999999" customHeight="1">
      <c r="B45" s="2">
        <v>41</v>
      </c>
      <c r="C45" s="13" t="s">
        <v>114</v>
      </c>
      <c r="D45" s="38">
        <v>12500</v>
      </c>
      <c r="E45" s="17">
        <f t="shared" si="2"/>
        <v>416.66666666666669</v>
      </c>
      <c r="F45" s="2">
        <v>31</v>
      </c>
      <c r="G45" s="35">
        <v>1</v>
      </c>
      <c r="H45" s="2">
        <f t="shared" si="1"/>
        <v>30</v>
      </c>
      <c r="I45" s="17">
        <f t="shared" si="0"/>
        <v>12083.333333333334</v>
      </c>
      <c r="J45" s="2"/>
      <c r="K45" s="18"/>
      <c r="L45" s="17">
        <f t="shared" si="3"/>
        <v>416.66666666666669</v>
      </c>
      <c r="M45" s="17"/>
      <c r="N45" s="17"/>
      <c r="O45" s="36">
        <f t="shared" si="5"/>
        <v>12083.333333333334</v>
      </c>
      <c r="P45" s="2"/>
    </row>
    <row r="46" spans="2:17" ht="19.899999999999999" customHeight="1">
      <c r="B46" s="2">
        <v>42</v>
      </c>
      <c r="C46" s="13" t="s">
        <v>117</v>
      </c>
      <c r="D46" s="38">
        <v>2500</v>
      </c>
      <c r="E46" s="17">
        <f t="shared" si="2"/>
        <v>83.333333333333329</v>
      </c>
      <c r="F46" s="2">
        <v>31</v>
      </c>
      <c r="G46" s="35">
        <v>1</v>
      </c>
      <c r="H46" s="2">
        <f t="shared" si="1"/>
        <v>30</v>
      </c>
      <c r="I46" s="17">
        <f t="shared" si="0"/>
        <v>2416.6666666666665</v>
      </c>
      <c r="J46" s="2"/>
      <c r="K46" s="18"/>
      <c r="L46" s="17">
        <f t="shared" si="3"/>
        <v>83.333333333333329</v>
      </c>
      <c r="M46" s="17"/>
      <c r="N46" s="17"/>
      <c r="O46" s="36">
        <f t="shared" si="5"/>
        <v>2416.6666666666665</v>
      </c>
      <c r="P46" s="2"/>
    </row>
    <row r="47" spans="2:17" ht="19.899999999999999" customHeight="1">
      <c r="B47" s="2">
        <v>43</v>
      </c>
      <c r="C47" s="13" t="s">
        <v>120</v>
      </c>
      <c r="D47" s="38">
        <v>2500</v>
      </c>
      <c r="E47" s="17">
        <f t="shared" si="2"/>
        <v>83.333333333333329</v>
      </c>
      <c r="F47" s="2">
        <v>31</v>
      </c>
      <c r="G47" s="35">
        <v>0</v>
      </c>
      <c r="H47" s="2">
        <f t="shared" si="1"/>
        <v>31</v>
      </c>
      <c r="I47" s="17">
        <f t="shared" si="0"/>
        <v>2500</v>
      </c>
      <c r="J47" s="2"/>
      <c r="K47" s="18"/>
      <c r="L47" s="17">
        <f t="shared" si="3"/>
        <v>0</v>
      </c>
      <c r="M47" s="17"/>
      <c r="N47" s="17"/>
      <c r="O47" s="36">
        <f t="shared" si="5"/>
        <v>2500</v>
      </c>
      <c r="P47" s="2"/>
    </row>
    <row r="48" spans="2:17" ht="19.899999999999999" customHeight="1">
      <c r="B48" s="2">
        <v>44</v>
      </c>
      <c r="C48" s="13" t="s">
        <v>126</v>
      </c>
      <c r="D48" s="38">
        <v>10000</v>
      </c>
      <c r="E48" s="17">
        <f t="shared" si="2"/>
        <v>333.33333333333331</v>
      </c>
      <c r="F48" s="2">
        <v>31</v>
      </c>
      <c r="G48" s="35">
        <v>0</v>
      </c>
      <c r="H48" s="2">
        <f t="shared" si="1"/>
        <v>31</v>
      </c>
      <c r="I48" s="17">
        <f>SUM(D48-L48)-930</f>
        <v>9070</v>
      </c>
      <c r="J48" s="2"/>
      <c r="K48" s="18"/>
      <c r="L48" s="17">
        <f t="shared" si="3"/>
        <v>0</v>
      </c>
      <c r="M48" s="17"/>
      <c r="N48" s="17"/>
      <c r="O48" s="36">
        <f t="shared" si="5"/>
        <v>9070</v>
      </c>
      <c r="P48" s="2"/>
    </row>
    <row r="49" spans="2:16" ht="19.899999999999999" customHeight="1">
      <c r="B49" s="2">
        <v>45</v>
      </c>
      <c r="C49" s="13" t="s">
        <v>127</v>
      </c>
      <c r="D49" s="38">
        <v>2500</v>
      </c>
      <c r="E49" s="17">
        <f t="shared" si="2"/>
        <v>83.333333333333329</v>
      </c>
      <c r="F49" s="2">
        <v>31</v>
      </c>
      <c r="G49" s="35">
        <v>2.5</v>
      </c>
      <c r="H49" s="2">
        <f t="shared" si="1"/>
        <v>28.5</v>
      </c>
      <c r="I49" s="17">
        <f t="shared" si="0"/>
        <v>2291.6666666666665</v>
      </c>
      <c r="J49" s="2"/>
      <c r="K49" s="18"/>
      <c r="L49" s="17">
        <f t="shared" si="3"/>
        <v>208.33333333333331</v>
      </c>
      <c r="M49" s="17"/>
      <c r="N49" s="17"/>
      <c r="O49" s="36">
        <f t="shared" si="5"/>
        <v>2291.6666666666665</v>
      </c>
      <c r="P49" s="2"/>
    </row>
    <row r="50" spans="2:16" ht="19.899999999999999" customHeight="1">
      <c r="B50" s="2">
        <v>46</v>
      </c>
      <c r="C50" s="13" t="s">
        <v>128</v>
      </c>
      <c r="D50" s="38">
        <v>2500</v>
      </c>
      <c r="E50" s="17">
        <f t="shared" si="2"/>
        <v>83.333333333333329</v>
      </c>
      <c r="F50" s="2">
        <v>31</v>
      </c>
      <c r="G50" s="35">
        <v>3</v>
      </c>
      <c r="H50" s="2">
        <f t="shared" si="1"/>
        <v>28</v>
      </c>
      <c r="I50" s="17">
        <f t="shared" si="0"/>
        <v>2250</v>
      </c>
      <c r="J50" s="2"/>
      <c r="K50" s="18"/>
      <c r="L50" s="17">
        <f t="shared" si="3"/>
        <v>250</v>
      </c>
      <c r="M50" s="17"/>
      <c r="N50" s="17"/>
      <c r="O50" s="36">
        <f t="shared" si="5"/>
        <v>2250</v>
      </c>
      <c r="P50" s="2"/>
    </row>
    <row r="51" spans="2:16" ht="19.899999999999999" customHeight="1">
      <c r="B51" s="2">
        <v>47</v>
      </c>
      <c r="C51" s="13" t="s">
        <v>129</v>
      </c>
      <c r="D51" s="38">
        <v>2500</v>
      </c>
      <c r="E51" s="17">
        <f t="shared" si="2"/>
        <v>83.333333333333329</v>
      </c>
      <c r="F51" s="2">
        <v>31</v>
      </c>
      <c r="G51" s="35">
        <v>3</v>
      </c>
      <c r="H51" s="2">
        <f t="shared" si="1"/>
        <v>28</v>
      </c>
      <c r="I51" s="17">
        <f t="shared" si="0"/>
        <v>2250</v>
      </c>
      <c r="J51" s="2"/>
      <c r="K51" s="18"/>
      <c r="L51" s="17">
        <f t="shared" si="3"/>
        <v>250</v>
      </c>
      <c r="M51" s="17"/>
      <c r="N51" s="17"/>
      <c r="O51" s="36">
        <f t="shared" si="5"/>
        <v>2250</v>
      </c>
      <c r="P51" s="2"/>
    </row>
    <row r="52" spans="2:16" ht="19.899999999999999" customHeight="1">
      <c r="B52" s="2">
        <v>48</v>
      </c>
      <c r="C52" s="13" t="s">
        <v>130</v>
      </c>
      <c r="D52" s="38">
        <v>12000</v>
      </c>
      <c r="E52" s="17">
        <f t="shared" si="2"/>
        <v>400</v>
      </c>
      <c r="F52" s="2">
        <v>31</v>
      </c>
      <c r="G52" s="35">
        <v>9.5</v>
      </c>
      <c r="H52" s="2">
        <f t="shared" si="1"/>
        <v>21.5</v>
      </c>
      <c r="I52" s="17">
        <f t="shared" si="0"/>
        <v>8200</v>
      </c>
      <c r="J52" s="2"/>
      <c r="K52" s="18"/>
      <c r="L52" s="17">
        <f t="shared" si="3"/>
        <v>3800</v>
      </c>
      <c r="M52" s="17"/>
      <c r="N52" s="17"/>
      <c r="O52" s="36">
        <f t="shared" si="5"/>
        <v>8200</v>
      </c>
      <c r="P52" s="2"/>
    </row>
    <row r="53" spans="2:16" ht="19.899999999999999" customHeight="1">
      <c r="B53" s="2">
        <v>49</v>
      </c>
      <c r="C53" s="66" t="s">
        <v>131</v>
      </c>
      <c r="D53" s="38">
        <v>2500</v>
      </c>
      <c r="E53" s="17">
        <f t="shared" si="2"/>
        <v>83.333333333333329</v>
      </c>
      <c r="F53" s="2">
        <v>31</v>
      </c>
      <c r="G53" s="35">
        <v>11</v>
      </c>
      <c r="H53" s="18">
        <f t="shared" si="1"/>
        <v>20</v>
      </c>
      <c r="I53" s="17">
        <f t="shared" si="0"/>
        <v>1583.3333333333335</v>
      </c>
      <c r="J53" s="18"/>
      <c r="K53" s="18"/>
      <c r="L53" s="17">
        <f t="shared" si="3"/>
        <v>916.66666666666663</v>
      </c>
      <c r="M53" s="17"/>
      <c r="N53" s="17"/>
      <c r="O53" s="36">
        <f t="shared" si="5"/>
        <v>1583.3333333333335</v>
      </c>
      <c r="P53" s="2"/>
    </row>
    <row r="54" spans="2:16" ht="19.899999999999999" customHeight="1">
      <c r="B54" s="2">
        <v>50</v>
      </c>
      <c r="C54" s="66" t="s">
        <v>132</v>
      </c>
      <c r="D54" s="38">
        <v>2500</v>
      </c>
      <c r="E54" s="17">
        <f t="shared" si="2"/>
        <v>83.333333333333329</v>
      </c>
      <c r="F54" s="2">
        <v>31</v>
      </c>
      <c r="G54" s="35">
        <v>7</v>
      </c>
      <c r="H54" s="18">
        <f t="shared" si="1"/>
        <v>24</v>
      </c>
      <c r="I54" s="17">
        <f t="shared" si="0"/>
        <v>1916.6666666666667</v>
      </c>
      <c r="J54" s="18"/>
      <c r="K54" s="18"/>
      <c r="L54" s="17">
        <f t="shared" si="3"/>
        <v>583.33333333333326</v>
      </c>
      <c r="M54" s="17"/>
      <c r="N54" s="17"/>
      <c r="O54" s="36">
        <f t="shared" si="5"/>
        <v>1916.6666666666667</v>
      </c>
      <c r="P54" s="2"/>
    </row>
    <row r="55" spans="2:16" ht="19.899999999999999" customHeight="1" thickBot="1">
      <c r="B55" s="2">
        <v>51</v>
      </c>
      <c r="C55" s="60" t="s">
        <v>39</v>
      </c>
      <c r="D55" s="61">
        <v>3850</v>
      </c>
      <c r="E55" s="62">
        <f t="shared" si="2"/>
        <v>128.33333333333334</v>
      </c>
      <c r="F55" s="2">
        <v>31</v>
      </c>
      <c r="G55" s="63">
        <v>0</v>
      </c>
      <c r="H55" s="63">
        <f t="shared" si="1"/>
        <v>31</v>
      </c>
      <c r="I55" s="62">
        <f t="shared" si="0"/>
        <v>3850</v>
      </c>
      <c r="J55" s="63"/>
      <c r="K55" s="63"/>
      <c r="L55" s="62">
        <f t="shared" si="3"/>
        <v>0</v>
      </c>
      <c r="M55" s="62"/>
      <c r="N55" s="62"/>
      <c r="O55" s="64">
        <f t="shared" si="5"/>
        <v>3850</v>
      </c>
      <c r="P55" s="2"/>
    </row>
    <row r="56" spans="2:16" ht="19.899999999999999" customHeight="1">
      <c r="B56" s="2"/>
      <c r="C56" s="48" t="s">
        <v>40</v>
      </c>
      <c r="D56" s="53">
        <f>SUM(D4:D55)</f>
        <v>271150</v>
      </c>
      <c r="E56" s="54"/>
      <c r="F56" s="55"/>
      <c r="G56" s="54"/>
      <c r="H56" s="55"/>
      <c r="I56" s="56">
        <f>SUM(I4:I55)</f>
        <v>256856.66666666669</v>
      </c>
      <c r="J56" s="57">
        <f>SUM(J4:J55)</f>
        <v>38518</v>
      </c>
      <c r="K56" s="58">
        <f t="shared" ref="K56:N56" si="6">SUM(K4:K55)</f>
        <v>1000</v>
      </c>
      <c r="L56" s="57">
        <f t="shared" si="6"/>
        <v>13363.333333333334</v>
      </c>
      <c r="M56" s="57">
        <f t="shared" si="6"/>
        <v>1344</v>
      </c>
      <c r="N56" s="58">
        <f t="shared" si="6"/>
        <v>282</v>
      </c>
      <c r="O56" s="59">
        <f>SUM(O4:O55)</f>
        <v>215712.66666666666</v>
      </c>
      <c r="P56" s="2"/>
    </row>
    <row r="57" spans="2:16" ht="19.899999999999999" customHeight="1" thickBot="1">
      <c r="B57" s="10"/>
      <c r="C57" s="49"/>
      <c r="D57" s="21"/>
      <c r="E57" s="23"/>
      <c r="F57" s="12"/>
      <c r="G57" s="23"/>
      <c r="H57" s="12"/>
      <c r="I57" s="21"/>
      <c r="J57" s="50"/>
      <c r="K57" s="50"/>
      <c r="L57" s="50"/>
      <c r="M57" s="51"/>
      <c r="N57" s="51"/>
      <c r="O57" s="52"/>
      <c r="P57" s="2"/>
    </row>
    <row r="58" spans="2:16">
      <c r="B58" s="10"/>
      <c r="I58" s="43"/>
      <c r="L58" s="47"/>
    </row>
    <row r="59" spans="2:16" ht="26.25">
      <c r="C59" s="26" t="s">
        <v>121</v>
      </c>
      <c r="D59" s="26"/>
      <c r="E59" s="26"/>
      <c r="F59" s="26"/>
      <c r="G59" s="26" t="s">
        <v>122</v>
      </c>
      <c r="H59" s="26"/>
      <c r="I59" s="26"/>
      <c r="J59" s="26"/>
      <c r="K59" s="26"/>
      <c r="L59" s="65"/>
      <c r="M59" s="26" t="s">
        <v>92</v>
      </c>
      <c r="N59" s="26"/>
    </row>
    <row r="60" spans="2:16" ht="26.2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6">
      <c r="B61" s="1"/>
    </row>
    <row r="62" spans="2:16">
      <c r="B62" s="27"/>
      <c r="K62" s="43"/>
    </row>
    <row r="64" spans="2:16">
      <c r="K64" s="43">
        <f>+I56-J56-K56-M56-N56</f>
        <v>215712.66666666669</v>
      </c>
    </row>
  </sheetData>
  <pageMargins left="0.12" right="0.21" top="0.32" bottom="0.32" header="0.3" footer="0.3"/>
  <pageSetup scale="94" orientation="landscape" horizontalDpi="300" verticalDpi="300" r:id="rId1"/>
  <rowBreaks count="1" manualBreakCount="1">
    <brk id="29" min="1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B1:W60"/>
  <sheetViews>
    <sheetView topLeftCell="A49" workbookViewId="0">
      <selection activeCell="O54" sqref="O54"/>
    </sheetView>
  </sheetViews>
  <sheetFormatPr defaultRowHeight="15"/>
  <cols>
    <col min="1" max="1" width="0.140625" customWidth="1"/>
    <col min="2" max="2" width="2.85546875" customWidth="1"/>
    <col min="3" max="3" width="17.7109375" customWidth="1"/>
    <col min="4" max="4" width="8.7109375" customWidth="1"/>
    <col min="5" max="5" width="11.28515625" customWidth="1"/>
    <col min="6" max="6" width="7.140625" customWidth="1"/>
    <col min="7" max="7" width="5" customWidth="1"/>
    <col min="8" max="8" width="6.85546875" customWidth="1"/>
    <col min="9" max="9" width="10" customWidth="1"/>
    <col min="10" max="10" width="9.5703125" bestFit="1" customWidth="1"/>
    <col min="11" max="11" width="7.28515625" customWidth="1"/>
    <col min="12" max="12" width="9.85546875" customWidth="1"/>
    <col min="13" max="13" width="7.28515625" customWidth="1"/>
    <col min="14" max="14" width="5.42578125" customWidth="1"/>
    <col min="15" max="15" width="11.7109375" customWidth="1"/>
    <col min="16" max="16" width="22.28515625" customWidth="1"/>
    <col min="17" max="17" width="10.42578125" customWidth="1"/>
    <col min="20" max="20" width="22.85546875" customWidth="1"/>
    <col min="21" max="21" width="14.140625" customWidth="1"/>
    <col min="22" max="22" width="19.7109375" customWidth="1"/>
    <col min="23" max="23" width="19.85546875" customWidth="1"/>
  </cols>
  <sheetData>
    <row r="1" spans="2:23">
      <c r="C1" s="6"/>
    </row>
    <row r="2" spans="2:23" ht="36">
      <c r="D2" t="s">
        <v>41</v>
      </c>
      <c r="E2" s="8" t="s">
        <v>125</v>
      </c>
      <c r="F2" s="8"/>
      <c r="G2" s="8"/>
      <c r="H2" s="9"/>
      <c r="I2" s="5"/>
      <c r="J2" s="5"/>
      <c r="K2" s="5"/>
    </row>
    <row r="3" spans="2:23" ht="24.95" customHeight="1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" t="s">
        <v>105</v>
      </c>
      <c r="Q3" s="1"/>
      <c r="R3" s="1"/>
      <c r="S3" s="74" t="s">
        <v>0</v>
      </c>
      <c r="T3" s="74" t="s">
        <v>1</v>
      </c>
      <c r="U3" s="74" t="s">
        <v>5</v>
      </c>
      <c r="V3" s="74" t="s">
        <v>134</v>
      </c>
      <c r="W3" s="75" t="s">
        <v>135</v>
      </c>
    </row>
    <row r="4" spans="2:23" ht="24.95" customHeight="1">
      <c r="B4" s="2">
        <v>1</v>
      </c>
      <c r="C4" s="13" t="s">
        <v>6</v>
      </c>
      <c r="D4" s="11">
        <v>11700</v>
      </c>
      <c r="E4" s="4">
        <f>SUM(D4/30)</f>
        <v>390</v>
      </c>
      <c r="F4" s="2">
        <v>30</v>
      </c>
      <c r="G4" s="33">
        <v>0</v>
      </c>
      <c r="H4" s="2">
        <f>+F4-G4</f>
        <v>30</v>
      </c>
      <c r="I4" s="4">
        <f t="shared" ref="I4:I53" si="0">SUM(D4-L4)</f>
        <v>11700</v>
      </c>
      <c r="J4" s="2">
        <f>2000+2000</f>
        <v>4000</v>
      </c>
      <c r="K4" s="2"/>
      <c r="L4" s="4">
        <f>SUM(G4*E4)</f>
        <v>0</v>
      </c>
      <c r="M4" s="4">
        <v>252</v>
      </c>
      <c r="N4" s="2">
        <v>53</v>
      </c>
      <c r="O4" s="36">
        <f>SUM(I4-J4-M4-N4-K4)</f>
        <v>7395</v>
      </c>
      <c r="P4" s="2"/>
      <c r="Q4" s="1"/>
      <c r="R4" s="1"/>
      <c r="S4" s="2">
        <v>1</v>
      </c>
      <c r="T4" s="13" t="s">
        <v>6</v>
      </c>
      <c r="U4" s="67">
        <v>11700</v>
      </c>
      <c r="V4" s="68">
        <f>SUM(U4/30)</f>
        <v>390</v>
      </c>
      <c r="W4" s="67">
        <v>11700</v>
      </c>
    </row>
    <row r="5" spans="2:23" ht="24.95" customHeight="1">
      <c r="B5" s="2">
        <v>2</v>
      </c>
      <c r="C5" s="13" t="s">
        <v>7</v>
      </c>
      <c r="D5" s="11">
        <v>10200</v>
      </c>
      <c r="E5" s="4">
        <f>SUM(D5/30)</f>
        <v>340</v>
      </c>
      <c r="F5" s="2">
        <v>30</v>
      </c>
      <c r="G5" s="33">
        <v>2</v>
      </c>
      <c r="H5" s="2">
        <f t="shared" ref="H5:H53" si="1">+F5-G5</f>
        <v>28</v>
      </c>
      <c r="I5" s="4">
        <f t="shared" si="0"/>
        <v>9520</v>
      </c>
      <c r="J5" s="2">
        <f>2000+2000</f>
        <v>4000</v>
      </c>
      <c r="K5" s="2"/>
      <c r="L5" s="4">
        <f>SUM(G5*E5)</f>
        <v>680</v>
      </c>
      <c r="M5" s="4">
        <v>252</v>
      </c>
      <c r="N5" s="2">
        <v>53</v>
      </c>
      <c r="O5" s="36">
        <f>SUM(I5-J5-M5-N5)</f>
        <v>5215</v>
      </c>
      <c r="P5" s="2"/>
      <c r="Q5" s="1"/>
      <c r="R5" s="1"/>
      <c r="S5" s="2">
        <v>2</v>
      </c>
      <c r="T5" s="13" t="s">
        <v>7</v>
      </c>
      <c r="U5" s="67">
        <v>10200</v>
      </c>
      <c r="V5" s="68">
        <f>SUM(U5/30)</f>
        <v>340</v>
      </c>
      <c r="W5" s="67">
        <v>10200</v>
      </c>
    </row>
    <row r="6" spans="2:23" ht="24.95" customHeight="1">
      <c r="B6" s="2">
        <v>3</v>
      </c>
      <c r="C6" s="13" t="s">
        <v>8</v>
      </c>
      <c r="D6" s="11">
        <v>9500</v>
      </c>
      <c r="E6" s="4">
        <f t="shared" ref="E6:E53" si="2">SUM(D6/30)</f>
        <v>316.66666666666669</v>
      </c>
      <c r="F6" s="2">
        <v>30</v>
      </c>
      <c r="G6" s="33">
        <v>0</v>
      </c>
      <c r="H6" s="2">
        <f t="shared" si="1"/>
        <v>30</v>
      </c>
      <c r="I6" s="4">
        <f t="shared" si="0"/>
        <v>9500</v>
      </c>
      <c r="J6" s="2"/>
      <c r="K6" s="2"/>
      <c r="L6" s="4">
        <f t="shared" ref="L6:L53" si="3">SUM(G6*E6)</f>
        <v>0</v>
      </c>
      <c r="M6" s="4">
        <v>252</v>
      </c>
      <c r="N6" s="2">
        <v>53</v>
      </c>
      <c r="O6" s="36">
        <f t="shared" ref="O6:O33" si="4">SUM(I6-J6-M6-N6-K6)</f>
        <v>9195</v>
      </c>
      <c r="P6" s="2"/>
      <c r="Q6" s="41"/>
      <c r="R6" s="41"/>
      <c r="S6" s="2">
        <v>3</v>
      </c>
      <c r="T6" s="13" t="s">
        <v>8</v>
      </c>
      <c r="U6" s="67">
        <v>9500</v>
      </c>
      <c r="V6" s="68">
        <f t="shared" ref="V6:V7" si="5">SUM(U6/30)</f>
        <v>316.66666666666669</v>
      </c>
      <c r="W6" s="67">
        <v>9500</v>
      </c>
    </row>
    <row r="7" spans="2:23" ht="24.95" customHeight="1">
      <c r="B7" s="2">
        <v>4</v>
      </c>
      <c r="C7" s="13" t="s">
        <v>9</v>
      </c>
      <c r="D7" s="11">
        <v>8400</v>
      </c>
      <c r="E7" s="4">
        <f t="shared" si="2"/>
        <v>280</v>
      </c>
      <c r="F7" s="2">
        <v>30</v>
      </c>
      <c r="G7" s="34">
        <v>0</v>
      </c>
      <c r="H7" s="2">
        <f t="shared" si="1"/>
        <v>30</v>
      </c>
      <c r="I7" s="4">
        <f t="shared" si="0"/>
        <v>8400</v>
      </c>
      <c r="J7" s="2">
        <v>2000</v>
      </c>
      <c r="K7" s="2"/>
      <c r="L7" s="4">
        <f t="shared" si="3"/>
        <v>0</v>
      </c>
      <c r="M7" s="4">
        <v>252</v>
      </c>
      <c r="N7" s="2">
        <v>53</v>
      </c>
      <c r="O7" s="36">
        <f t="shared" si="4"/>
        <v>6095</v>
      </c>
      <c r="P7" s="2"/>
      <c r="Q7" s="1"/>
      <c r="R7" s="1"/>
      <c r="S7" s="2">
        <v>4</v>
      </c>
      <c r="T7" s="13" t="s">
        <v>9</v>
      </c>
      <c r="U7" s="67">
        <v>8400</v>
      </c>
      <c r="V7" s="68">
        <f t="shared" si="5"/>
        <v>280</v>
      </c>
      <c r="W7" s="67">
        <v>6400</v>
      </c>
    </row>
    <row r="8" spans="2:23" ht="24.95" customHeight="1">
      <c r="B8" s="2">
        <v>5</v>
      </c>
      <c r="C8" s="13" t="s">
        <v>22</v>
      </c>
      <c r="D8" s="11">
        <v>12000</v>
      </c>
      <c r="E8" s="4">
        <f>SUM(D8/30)</f>
        <v>400</v>
      </c>
      <c r="F8" s="2">
        <v>30</v>
      </c>
      <c r="G8" s="33">
        <v>6</v>
      </c>
      <c r="H8" s="2">
        <f t="shared" si="1"/>
        <v>24</v>
      </c>
      <c r="I8" s="4">
        <f t="shared" si="0"/>
        <v>9600</v>
      </c>
      <c r="J8" s="2"/>
      <c r="K8" s="2"/>
      <c r="L8" s="4">
        <f>SUM(G8*E8)</f>
        <v>2400</v>
      </c>
      <c r="M8" s="4">
        <v>336</v>
      </c>
      <c r="N8" s="4">
        <v>70</v>
      </c>
      <c r="O8" s="36">
        <f t="shared" si="4"/>
        <v>9194</v>
      </c>
      <c r="P8" s="46"/>
      <c r="S8" s="2">
        <v>5</v>
      </c>
      <c r="T8" s="13" t="s">
        <v>22</v>
      </c>
      <c r="U8" s="67">
        <v>12000</v>
      </c>
      <c r="V8" s="68">
        <f>SUM(U8/30)</f>
        <v>400</v>
      </c>
      <c r="W8" s="67">
        <v>12000</v>
      </c>
    </row>
    <row r="9" spans="2:23" ht="24.95" customHeight="1">
      <c r="B9" s="2">
        <v>6</v>
      </c>
      <c r="C9" s="13" t="s">
        <v>11</v>
      </c>
      <c r="D9" s="11">
        <v>7800</v>
      </c>
      <c r="E9" s="4">
        <f t="shared" si="2"/>
        <v>260</v>
      </c>
      <c r="F9" s="2">
        <v>30</v>
      </c>
      <c r="G9" s="34">
        <v>0</v>
      </c>
      <c r="H9" s="2">
        <f t="shared" si="1"/>
        <v>30</v>
      </c>
      <c r="I9" s="4">
        <f t="shared" si="0"/>
        <v>7800</v>
      </c>
      <c r="J9" s="2">
        <v>2000</v>
      </c>
      <c r="K9" s="2"/>
      <c r="L9" s="4">
        <f t="shared" si="3"/>
        <v>0</v>
      </c>
      <c r="M9" s="4"/>
      <c r="N9" s="4"/>
      <c r="O9" s="36">
        <f t="shared" si="4"/>
        <v>5800</v>
      </c>
      <c r="P9" s="46"/>
      <c r="Q9" s="1"/>
      <c r="R9" s="1"/>
      <c r="S9" s="2">
        <v>6</v>
      </c>
      <c r="T9" s="13" t="s">
        <v>11</v>
      </c>
      <c r="U9" s="67">
        <v>7800</v>
      </c>
      <c r="V9" s="68">
        <f t="shared" ref="V9:V19" si="6">SUM(U9/30)</f>
        <v>260</v>
      </c>
      <c r="W9" s="67">
        <v>7800</v>
      </c>
    </row>
    <row r="10" spans="2:23" ht="24.95" customHeight="1">
      <c r="B10" s="2">
        <v>7</v>
      </c>
      <c r="C10" s="13" t="s">
        <v>12</v>
      </c>
      <c r="D10" s="11">
        <v>7050</v>
      </c>
      <c r="E10" s="4">
        <f t="shared" si="2"/>
        <v>235</v>
      </c>
      <c r="F10" s="2">
        <v>30</v>
      </c>
      <c r="G10" s="34">
        <v>0.5</v>
      </c>
      <c r="H10" s="2">
        <f t="shared" si="1"/>
        <v>29.5</v>
      </c>
      <c r="I10" s="4">
        <f t="shared" si="0"/>
        <v>6932.5</v>
      </c>
      <c r="J10" s="2">
        <f>100+200</f>
        <v>300</v>
      </c>
      <c r="K10" s="2"/>
      <c r="L10" s="4">
        <f t="shared" si="3"/>
        <v>117.5</v>
      </c>
      <c r="M10" s="4"/>
      <c r="N10" s="4"/>
      <c r="O10" s="36">
        <f t="shared" si="4"/>
        <v>6632.5</v>
      </c>
      <c r="P10" s="2"/>
      <c r="Q10" s="1"/>
      <c r="R10" s="1"/>
      <c r="S10" s="2">
        <v>7</v>
      </c>
      <c r="T10" s="13" t="s">
        <v>12</v>
      </c>
      <c r="U10" s="67">
        <v>7050</v>
      </c>
      <c r="V10" s="68">
        <f t="shared" si="6"/>
        <v>235</v>
      </c>
      <c r="W10" s="67">
        <v>7050</v>
      </c>
    </row>
    <row r="11" spans="2:23" ht="24.95" customHeight="1">
      <c r="B11" s="2">
        <v>8</v>
      </c>
      <c r="C11" s="13" t="s">
        <v>13</v>
      </c>
      <c r="D11" s="11">
        <v>10000</v>
      </c>
      <c r="E11" s="4">
        <f t="shared" si="2"/>
        <v>333.33333333333331</v>
      </c>
      <c r="F11" s="2">
        <v>30</v>
      </c>
      <c r="G11" s="33">
        <v>2</v>
      </c>
      <c r="H11" s="2">
        <f t="shared" si="1"/>
        <v>28</v>
      </c>
      <c r="I11" s="4">
        <f t="shared" si="0"/>
        <v>9333.3333333333339</v>
      </c>
      <c r="J11" s="2"/>
      <c r="K11" s="2"/>
      <c r="L11" s="4">
        <f t="shared" si="3"/>
        <v>666.66666666666663</v>
      </c>
      <c r="M11" s="4"/>
      <c r="N11" s="4"/>
      <c r="O11" s="36">
        <f t="shared" si="4"/>
        <v>9333.3333333333339</v>
      </c>
      <c r="P11" s="2"/>
      <c r="Q11" s="1"/>
      <c r="R11" s="1"/>
      <c r="S11" s="2">
        <v>8</v>
      </c>
      <c r="T11" s="13" t="s">
        <v>13</v>
      </c>
      <c r="U11" s="67">
        <v>10000</v>
      </c>
      <c r="V11" s="68">
        <f t="shared" si="6"/>
        <v>333.33333333333331</v>
      </c>
      <c r="W11" s="67">
        <v>10000</v>
      </c>
    </row>
    <row r="12" spans="2:23" ht="24.95" customHeight="1">
      <c r="B12" s="2">
        <v>9</v>
      </c>
      <c r="C12" s="13" t="s">
        <v>107</v>
      </c>
      <c r="D12" s="11">
        <v>4700</v>
      </c>
      <c r="E12" s="4">
        <f t="shared" si="2"/>
        <v>156.66666666666666</v>
      </c>
      <c r="F12" s="2">
        <v>30</v>
      </c>
      <c r="G12" s="34">
        <v>2</v>
      </c>
      <c r="H12" s="2">
        <f t="shared" si="1"/>
        <v>28</v>
      </c>
      <c r="I12" s="4">
        <f t="shared" si="0"/>
        <v>4386.666666666667</v>
      </c>
      <c r="J12" s="2"/>
      <c r="K12" s="2"/>
      <c r="L12" s="4">
        <f t="shared" si="3"/>
        <v>313.33333333333331</v>
      </c>
      <c r="M12" s="4"/>
      <c r="N12" s="4"/>
      <c r="O12" s="36">
        <f t="shared" si="4"/>
        <v>4386.666666666667</v>
      </c>
      <c r="P12" s="2"/>
      <c r="Q12" s="1"/>
      <c r="R12" s="1"/>
      <c r="S12" s="2">
        <v>9</v>
      </c>
      <c r="T12" s="13" t="s">
        <v>107</v>
      </c>
      <c r="U12" s="67">
        <v>4700</v>
      </c>
      <c r="V12" s="68">
        <f t="shared" si="6"/>
        <v>156.66666666666666</v>
      </c>
      <c r="W12" s="67">
        <v>4700</v>
      </c>
    </row>
    <row r="13" spans="2:23" ht="24.95" customHeight="1">
      <c r="B13" s="2">
        <v>11</v>
      </c>
      <c r="C13" s="13" t="s">
        <v>16</v>
      </c>
      <c r="D13" s="11">
        <v>4300</v>
      </c>
      <c r="E13" s="4">
        <f t="shared" si="2"/>
        <v>143.33333333333334</v>
      </c>
      <c r="F13" s="2">
        <v>30</v>
      </c>
      <c r="G13" s="33">
        <v>0</v>
      </c>
      <c r="H13" s="2">
        <f t="shared" si="1"/>
        <v>30</v>
      </c>
      <c r="I13" s="4">
        <f t="shared" si="0"/>
        <v>4300</v>
      </c>
      <c r="J13" s="2"/>
      <c r="K13" s="2"/>
      <c r="L13" s="4">
        <f t="shared" si="3"/>
        <v>0</v>
      </c>
      <c r="M13" s="4"/>
      <c r="N13" s="4"/>
      <c r="O13" s="36">
        <f t="shared" si="4"/>
        <v>4300</v>
      </c>
      <c r="P13" s="2"/>
      <c r="Q13" s="1"/>
      <c r="R13" s="1"/>
      <c r="S13" s="2">
        <v>10</v>
      </c>
      <c r="T13" s="13" t="s">
        <v>16</v>
      </c>
      <c r="U13" s="67">
        <v>4300</v>
      </c>
      <c r="V13" s="68">
        <f t="shared" si="6"/>
        <v>143.33333333333334</v>
      </c>
      <c r="W13" s="67">
        <v>4300</v>
      </c>
    </row>
    <row r="14" spans="2:23" ht="24.95" customHeight="1">
      <c r="B14" s="2">
        <v>12</v>
      </c>
      <c r="C14" s="13" t="s">
        <v>17</v>
      </c>
      <c r="D14" s="11">
        <v>3850</v>
      </c>
      <c r="E14" s="4">
        <f t="shared" si="2"/>
        <v>128.33333333333334</v>
      </c>
      <c r="F14" s="2">
        <v>30</v>
      </c>
      <c r="G14" s="33">
        <v>0.5</v>
      </c>
      <c r="H14" s="2">
        <f t="shared" si="1"/>
        <v>29.5</v>
      </c>
      <c r="I14" s="4">
        <f t="shared" si="0"/>
        <v>3785.8333333333335</v>
      </c>
      <c r="J14" s="2"/>
      <c r="K14" s="2"/>
      <c r="L14" s="4">
        <f t="shared" si="3"/>
        <v>64.166666666666671</v>
      </c>
      <c r="M14" s="4"/>
      <c r="N14" s="4"/>
      <c r="O14" s="36">
        <f t="shared" si="4"/>
        <v>3785.8333333333335</v>
      </c>
      <c r="P14" s="2"/>
      <c r="Q14" s="1"/>
      <c r="R14" s="1"/>
      <c r="S14" s="2">
        <v>11</v>
      </c>
      <c r="T14" s="13" t="s">
        <v>17</v>
      </c>
      <c r="U14" s="67">
        <v>3850</v>
      </c>
      <c r="V14" s="68">
        <f t="shared" si="6"/>
        <v>128.33333333333334</v>
      </c>
      <c r="W14" s="67">
        <v>3850</v>
      </c>
    </row>
    <row r="15" spans="2:23" ht="24.95" customHeight="1">
      <c r="B15" s="2">
        <v>13</v>
      </c>
      <c r="C15" s="13" t="s">
        <v>77</v>
      </c>
      <c r="D15" s="11">
        <v>2900</v>
      </c>
      <c r="E15" s="4">
        <f t="shared" si="2"/>
        <v>96.666666666666671</v>
      </c>
      <c r="F15" s="2">
        <v>30</v>
      </c>
      <c r="G15" s="34">
        <v>0</v>
      </c>
      <c r="H15" s="2">
        <f t="shared" si="1"/>
        <v>30</v>
      </c>
      <c r="I15" s="4">
        <f t="shared" si="0"/>
        <v>2900</v>
      </c>
      <c r="J15" s="2"/>
      <c r="K15" s="2"/>
      <c r="L15" s="4">
        <f t="shared" si="3"/>
        <v>0</v>
      </c>
      <c r="M15" s="4"/>
      <c r="N15" s="4"/>
      <c r="O15" s="36">
        <f t="shared" si="4"/>
        <v>2900</v>
      </c>
      <c r="P15" s="2"/>
      <c r="Q15" s="1"/>
      <c r="R15" s="1"/>
      <c r="S15" s="2">
        <v>12</v>
      </c>
      <c r="T15" s="13" t="s">
        <v>77</v>
      </c>
      <c r="U15" s="67">
        <v>2900</v>
      </c>
      <c r="V15" s="68">
        <f t="shared" si="6"/>
        <v>96.666666666666671</v>
      </c>
      <c r="W15" s="67">
        <v>2900</v>
      </c>
    </row>
    <row r="16" spans="2:23" ht="24.95" customHeight="1">
      <c r="B16" s="2">
        <v>14</v>
      </c>
      <c r="C16" s="13" t="s">
        <v>18</v>
      </c>
      <c r="D16" s="11">
        <v>4450</v>
      </c>
      <c r="E16" s="4">
        <f t="shared" si="2"/>
        <v>148.33333333333334</v>
      </c>
      <c r="F16" s="2">
        <v>30</v>
      </c>
      <c r="G16" s="33">
        <v>1</v>
      </c>
      <c r="H16" s="2">
        <f t="shared" si="1"/>
        <v>29</v>
      </c>
      <c r="I16" s="4">
        <f t="shared" si="0"/>
        <v>4301.666666666667</v>
      </c>
      <c r="J16" s="2"/>
      <c r="K16" s="2"/>
      <c r="L16" s="4">
        <f t="shared" si="3"/>
        <v>148.33333333333334</v>
      </c>
      <c r="M16" s="4"/>
      <c r="N16" s="4"/>
      <c r="O16" s="36">
        <f t="shared" si="4"/>
        <v>4301.666666666667</v>
      </c>
      <c r="P16" s="2"/>
      <c r="Q16" s="1"/>
      <c r="R16" s="1"/>
      <c r="S16" s="2">
        <v>13</v>
      </c>
      <c r="T16" s="13" t="s">
        <v>18</v>
      </c>
      <c r="U16" s="67">
        <v>4450</v>
      </c>
      <c r="V16" s="68">
        <f t="shared" si="6"/>
        <v>148.33333333333334</v>
      </c>
      <c r="W16" s="67">
        <v>4450</v>
      </c>
    </row>
    <row r="17" spans="2:23" ht="24.95" customHeight="1">
      <c r="B17" s="2">
        <v>15</v>
      </c>
      <c r="C17" s="13" t="s">
        <v>19</v>
      </c>
      <c r="D17" s="11">
        <v>3850</v>
      </c>
      <c r="E17" s="4">
        <f t="shared" si="2"/>
        <v>128.33333333333334</v>
      </c>
      <c r="F17" s="2">
        <v>30</v>
      </c>
      <c r="G17" s="33">
        <v>0</v>
      </c>
      <c r="H17" s="2">
        <f t="shared" si="1"/>
        <v>30</v>
      </c>
      <c r="I17" s="4">
        <f t="shared" si="0"/>
        <v>3850</v>
      </c>
      <c r="J17" s="2"/>
      <c r="K17" s="2"/>
      <c r="L17" s="4">
        <f t="shared" si="3"/>
        <v>0</v>
      </c>
      <c r="M17" s="4"/>
      <c r="N17" s="4"/>
      <c r="O17" s="36">
        <f t="shared" si="4"/>
        <v>3850</v>
      </c>
      <c r="P17" s="2"/>
      <c r="Q17" s="1"/>
      <c r="R17" s="1"/>
      <c r="S17" s="2">
        <v>14</v>
      </c>
      <c r="T17" s="13" t="s">
        <v>19</v>
      </c>
      <c r="U17" s="67">
        <v>3850</v>
      </c>
      <c r="V17" s="68">
        <f t="shared" si="6"/>
        <v>128.33333333333334</v>
      </c>
      <c r="W17" s="67">
        <v>3850</v>
      </c>
    </row>
    <row r="18" spans="2:23" ht="24.95" customHeight="1">
      <c r="B18" s="2">
        <v>16</v>
      </c>
      <c r="C18" s="13" t="s">
        <v>20</v>
      </c>
      <c r="D18" s="11">
        <v>4250</v>
      </c>
      <c r="E18" s="4">
        <f t="shared" si="2"/>
        <v>141.66666666666666</v>
      </c>
      <c r="F18" s="2">
        <v>30</v>
      </c>
      <c r="G18" s="33">
        <v>0.5</v>
      </c>
      <c r="H18" s="2">
        <f t="shared" si="1"/>
        <v>29.5</v>
      </c>
      <c r="I18" s="4">
        <f t="shared" si="0"/>
        <v>4179.166666666667</v>
      </c>
      <c r="J18" s="2">
        <v>1500</v>
      </c>
      <c r="K18" s="2"/>
      <c r="L18" s="4">
        <f t="shared" si="3"/>
        <v>70.833333333333329</v>
      </c>
      <c r="M18" s="4"/>
      <c r="N18" s="4"/>
      <c r="O18" s="36">
        <f t="shared" si="4"/>
        <v>2679.166666666667</v>
      </c>
      <c r="P18" s="2"/>
      <c r="Q18" s="41"/>
      <c r="R18" s="1"/>
      <c r="S18" s="2">
        <v>15</v>
      </c>
      <c r="T18" s="13" t="s">
        <v>20</v>
      </c>
      <c r="U18" s="67">
        <v>4250</v>
      </c>
      <c r="V18" s="68">
        <f t="shared" si="6"/>
        <v>141.66666666666666</v>
      </c>
      <c r="W18" s="67">
        <v>4250</v>
      </c>
    </row>
    <row r="19" spans="2:23" ht="24.95" customHeight="1">
      <c r="B19" s="2">
        <v>17</v>
      </c>
      <c r="C19" s="13" t="s">
        <v>21</v>
      </c>
      <c r="D19" s="11">
        <v>3800</v>
      </c>
      <c r="E19" s="4">
        <f t="shared" si="2"/>
        <v>126.66666666666667</v>
      </c>
      <c r="F19" s="2">
        <v>30</v>
      </c>
      <c r="G19" s="34">
        <v>1</v>
      </c>
      <c r="H19" s="2">
        <f t="shared" si="1"/>
        <v>29</v>
      </c>
      <c r="I19" s="4">
        <f t="shared" si="0"/>
        <v>3673.3333333333335</v>
      </c>
      <c r="J19" s="2"/>
      <c r="K19" s="2"/>
      <c r="L19" s="4">
        <f t="shared" si="3"/>
        <v>126.66666666666667</v>
      </c>
      <c r="M19" s="4"/>
      <c r="N19" s="4"/>
      <c r="O19" s="36">
        <f t="shared" si="4"/>
        <v>3673.3333333333335</v>
      </c>
      <c r="P19" s="2"/>
      <c r="Q19" s="1"/>
      <c r="R19" s="1"/>
      <c r="S19" s="2">
        <v>16</v>
      </c>
      <c r="T19" s="13" t="s">
        <v>21</v>
      </c>
      <c r="U19" s="67">
        <v>3800</v>
      </c>
      <c r="V19" s="68">
        <f t="shared" si="6"/>
        <v>126.66666666666667</v>
      </c>
      <c r="W19" s="67">
        <v>3800</v>
      </c>
    </row>
    <row r="20" spans="2:23" ht="24.95" customHeight="1">
      <c r="B20" s="2">
        <v>18</v>
      </c>
      <c r="C20" s="13" t="s">
        <v>10</v>
      </c>
      <c r="D20" s="11">
        <v>7100</v>
      </c>
      <c r="E20" s="4">
        <f>SUM(D20/30)</f>
        <v>236.66666666666666</v>
      </c>
      <c r="F20" s="2">
        <v>30</v>
      </c>
      <c r="G20" s="34">
        <v>0</v>
      </c>
      <c r="H20" s="2">
        <f t="shared" si="1"/>
        <v>30</v>
      </c>
      <c r="I20" s="4">
        <f t="shared" si="0"/>
        <v>7100</v>
      </c>
      <c r="J20" s="2">
        <f>1000+1500</f>
        <v>2500</v>
      </c>
      <c r="K20" s="2"/>
      <c r="L20" s="4">
        <f>SUM(G20*E20)</f>
        <v>0</v>
      </c>
      <c r="M20" s="4"/>
      <c r="N20" s="4"/>
      <c r="O20" s="36">
        <f t="shared" si="4"/>
        <v>4600</v>
      </c>
      <c r="P20" s="2"/>
      <c r="Q20" s="1"/>
      <c r="R20" s="1"/>
      <c r="S20" s="2">
        <v>17</v>
      </c>
      <c r="T20" s="13" t="s">
        <v>10</v>
      </c>
      <c r="U20" s="67">
        <v>7100</v>
      </c>
      <c r="V20" s="68">
        <f>SUM(U20/30)</f>
        <v>236.66666666666666</v>
      </c>
      <c r="W20" s="67">
        <v>7100</v>
      </c>
    </row>
    <row r="21" spans="2:23" ht="24.95" customHeight="1">
      <c r="B21" s="2">
        <v>19</v>
      </c>
      <c r="C21" s="13" t="s">
        <v>23</v>
      </c>
      <c r="D21" s="11">
        <v>3700</v>
      </c>
      <c r="E21" s="4">
        <f t="shared" si="2"/>
        <v>123.33333333333333</v>
      </c>
      <c r="F21" s="2">
        <v>30</v>
      </c>
      <c r="G21" s="33">
        <v>0</v>
      </c>
      <c r="H21" s="2">
        <f t="shared" si="1"/>
        <v>30</v>
      </c>
      <c r="I21" s="4">
        <f t="shared" si="0"/>
        <v>3700</v>
      </c>
      <c r="J21" s="2"/>
      <c r="K21" s="2"/>
      <c r="L21" s="4">
        <f t="shared" si="3"/>
        <v>0</v>
      </c>
      <c r="M21" s="4"/>
      <c r="N21" s="4"/>
      <c r="O21" s="36">
        <f t="shared" si="4"/>
        <v>3700</v>
      </c>
      <c r="P21" s="2"/>
      <c r="Q21" s="1"/>
      <c r="R21" s="1"/>
      <c r="S21" s="2">
        <v>18</v>
      </c>
      <c r="T21" s="13" t="s">
        <v>23</v>
      </c>
      <c r="U21" s="67">
        <v>3700</v>
      </c>
      <c r="V21" s="68">
        <f t="shared" ref="V21:V28" si="7">SUM(U21/30)</f>
        <v>123.33333333333333</v>
      </c>
      <c r="W21" s="67">
        <v>3700</v>
      </c>
    </row>
    <row r="22" spans="2:23" ht="24.95" customHeight="1">
      <c r="B22" s="2">
        <v>20</v>
      </c>
      <c r="C22" s="13" t="s">
        <v>24</v>
      </c>
      <c r="D22" s="11">
        <v>3600</v>
      </c>
      <c r="E22" s="4">
        <f t="shared" si="2"/>
        <v>120</v>
      </c>
      <c r="F22" s="2">
        <v>30</v>
      </c>
      <c r="G22" s="34">
        <v>0</v>
      </c>
      <c r="H22" s="2">
        <f t="shared" si="1"/>
        <v>30</v>
      </c>
      <c r="I22" s="4">
        <f t="shared" si="0"/>
        <v>3600</v>
      </c>
      <c r="J22" s="2"/>
      <c r="K22" s="2"/>
      <c r="L22" s="4">
        <f t="shared" si="3"/>
        <v>0</v>
      </c>
      <c r="M22" s="4"/>
      <c r="N22" s="4"/>
      <c r="O22" s="36">
        <f t="shared" si="4"/>
        <v>3600</v>
      </c>
      <c r="P22" s="2"/>
      <c r="Q22" s="1"/>
      <c r="R22" s="1"/>
      <c r="S22" s="2">
        <v>19</v>
      </c>
      <c r="T22" s="13" t="s">
        <v>24</v>
      </c>
      <c r="U22" s="67">
        <v>3600</v>
      </c>
      <c r="V22" s="68">
        <f t="shared" si="7"/>
        <v>120</v>
      </c>
      <c r="W22" s="67">
        <v>3600</v>
      </c>
    </row>
    <row r="23" spans="2:23" ht="24.95" customHeight="1">
      <c r="B23" s="2">
        <v>21</v>
      </c>
      <c r="C23" s="13" t="s">
        <v>25</v>
      </c>
      <c r="D23" s="11">
        <v>3700</v>
      </c>
      <c r="E23" s="4">
        <f t="shared" si="2"/>
        <v>123.33333333333333</v>
      </c>
      <c r="F23" s="2">
        <v>30</v>
      </c>
      <c r="G23" s="34">
        <v>0</v>
      </c>
      <c r="H23" s="2">
        <f t="shared" si="1"/>
        <v>30</v>
      </c>
      <c r="I23" s="4">
        <f t="shared" si="0"/>
        <v>3700</v>
      </c>
      <c r="J23" s="2"/>
      <c r="K23" s="2"/>
      <c r="L23" s="4">
        <f t="shared" si="3"/>
        <v>0</v>
      </c>
      <c r="M23" s="4"/>
      <c r="N23" s="4"/>
      <c r="O23" s="36">
        <f t="shared" si="4"/>
        <v>3700</v>
      </c>
      <c r="P23" s="2"/>
      <c r="Q23" s="1"/>
      <c r="R23" s="1"/>
      <c r="S23" s="2">
        <v>20</v>
      </c>
      <c r="T23" s="13" t="s">
        <v>25</v>
      </c>
      <c r="U23" s="67">
        <v>3700</v>
      </c>
      <c r="V23" s="68">
        <f t="shared" si="7"/>
        <v>123.33333333333333</v>
      </c>
      <c r="W23" s="67">
        <v>3700</v>
      </c>
    </row>
    <row r="24" spans="2:23" ht="24.95" customHeight="1">
      <c r="B24" s="2">
        <v>23</v>
      </c>
      <c r="C24" s="13" t="s">
        <v>28</v>
      </c>
      <c r="D24" s="11">
        <v>7000</v>
      </c>
      <c r="E24" s="4">
        <f t="shared" si="2"/>
        <v>233.33333333333334</v>
      </c>
      <c r="F24" s="2">
        <v>30</v>
      </c>
      <c r="G24" s="34">
        <v>6</v>
      </c>
      <c r="H24" s="2">
        <f t="shared" si="1"/>
        <v>24</v>
      </c>
      <c r="I24" s="4">
        <f t="shared" si="0"/>
        <v>5600</v>
      </c>
      <c r="J24" s="2"/>
      <c r="K24" s="2"/>
      <c r="L24" s="4">
        <f t="shared" si="3"/>
        <v>1400</v>
      </c>
      <c r="M24" s="4"/>
      <c r="N24" s="4"/>
      <c r="O24" s="36">
        <f t="shared" si="4"/>
        <v>5600</v>
      </c>
      <c r="P24" s="2"/>
      <c r="Q24" s="1"/>
      <c r="R24" s="1"/>
      <c r="S24" s="2">
        <v>21</v>
      </c>
      <c r="T24" s="13" t="s">
        <v>28</v>
      </c>
      <c r="U24" s="67">
        <v>7000</v>
      </c>
      <c r="V24" s="68">
        <f t="shared" si="7"/>
        <v>233.33333333333334</v>
      </c>
      <c r="W24" s="67">
        <v>7000</v>
      </c>
    </row>
    <row r="25" spans="2:23" ht="24.95" customHeight="1">
      <c r="B25" s="2">
        <v>25</v>
      </c>
      <c r="C25" s="13" t="s">
        <v>15</v>
      </c>
      <c r="D25" s="11">
        <v>2850</v>
      </c>
      <c r="E25" s="4">
        <f t="shared" si="2"/>
        <v>95</v>
      </c>
      <c r="F25" s="2">
        <v>30</v>
      </c>
      <c r="G25" s="34">
        <v>2</v>
      </c>
      <c r="H25" s="2">
        <f t="shared" si="1"/>
        <v>28</v>
      </c>
      <c r="I25" s="4">
        <f t="shared" si="0"/>
        <v>2660</v>
      </c>
      <c r="J25" s="2"/>
      <c r="K25" s="2"/>
      <c r="L25" s="4">
        <f t="shared" si="3"/>
        <v>190</v>
      </c>
      <c r="M25" s="4"/>
      <c r="N25" s="4"/>
      <c r="O25" s="36">
        <f t="shared" si="4"/>
        <v>2660</v>
      </c>
      <c r="P25" s="2"/>
      <c r="Q25" s="1"/>
      <c r="R25" s="1"/>
      <c r="S25" s="2">
        <v>22</v>
      </c>
      <c r="T25" s="13" t="s">
        <v>15</v>
      </c>
      <c r="U25" s="67">
        <v>2850</v>
      </c>
      <c r="V25" s="68">
        <f t="shared" si="7"/>
        <v>95</v>
      </c>
      <c r="W25" s="67">
        <v>2850</v>
      </c>
    </row>
    <row r="26" spans="2:23" ht="24.95" customHeight="1">
      <c r="B26" s="2">
        <v>26</v>
      </c>
      <c r="C26" s="13" t="s">
        <v>88</v>
      </c>
      <c r="D26" s="11">
        <v>3500</v>
      </c>
      <c r="E26" s="4">
        <f t="shared" si="2"/>
        <v>116.66666666666667</v>
      </c>
      <c r="F26" s="2">
        <v>30</v>
      </c>
      <c r="G26" s="34">
        <v>0</v>
      </c>
      <c r="H26" s="2">
        <f t="shared" si="1"/>
        <v>30</v>
      </c>
      <c r="I26" s="4">
        <f t="shared" si="0"/>
        <v>3500</v>
      </c>
      <c r="J26" s="2"/>
      <c r="K26" s="2"/>
      <c r="L26" s="4">
        <f t="shared" si="3"/>
        <v>0</v>
      </c>
      <c r="M26" s="4"/>
      <c r="N26" s="4"/>
      <c r="O26" s="36">
        <f t="shared" si="4"/>
        <v>3500</v>
      </c>
      <c r="P26" s="2"/>
      <c r="Q26" s="1"/>
      <c r="R26" s="1"/>
      <c r="S26" s="2">
        <v>23</v>
      </c>
      <c r="T26" s="13" t="s">
        <v>88</v>
      </c>
      <c r="U26" s="67">
        <v>3500</v>
      </c>
      <c r="V26" s="68">
        <f t="shared" si="7"/>
        <v>116.66666666666667</v>
      </c>
      <c r="W26" s="67">
        <v>3500</v>
      </c>
    </row>
    <row r="27" spans="2:23" ht="24.95" customHeight="1">
      <c r="B27" s="2">
        <v>27</v>
      </c>
      <c r="C27" s="13" t="s">
        <v>75</v>
      </c>
      <c r="D27" s="11">
        <v>3300</v>
      </c>
      <c r="E27" s="4">
        <f t="shared" si="2"/>
        <v>110</v>
      </c>
      <c r="F27" s="2">
        <v>30</v>
      </c>
      <c r="G27" s="34">
        <v>0.5</v>
      </c>
      <c r="H27" s="2">
        <f t="shared" si="1"/>
        <v>29.5</v>
      </c>
      <c r="I27" s="4">
        <f t="shared" si="0"/>
        <v>3245</v>
      </c>
      <c r="J27" s="2">
        <v>1000</v>
      </c>
      <c r="K27" s="2"/>
      <c r="L27" s="4">
        <f t="shared" si="3"/>
        <v>55</v>
      </c>
      <c r="M27" s="4"/>
      <c r="N27" s="4"/>
      <c r="O27" s="36">
        <f t="shared" si="4"/>
        <v>2245</v>
      </c>
      <c r="P27" s="2"/>
      <c r="Q27" s="1"/>
      <c r="R27" s="1"/>
      <c r="S27" s="2">
        <v>24</v>
      </c>
      <c r="T27" s="13" t="s">
        <v>75</v>
      </c>
      <c r="U27" s="67">
        <v>3300</v>
      </c>
      <c r="V27" s="68">
        <f t="shared" si="7"/>
        <v>110</v>
      </c>
      <c r="W27" s="67">
        <v>3300</v>
      </c>
    </row>
    <row r="28" spans="2:23" ht="24.95" customHeight="1">
      <c r="B28" s="2">
        <v>28</v>
      </c>
      <c r="C28" s="13" t="s">
        <v>124</v>
      </c>
      <c r="D28" s="11">
        <v>3200</v>
      </c>
      <c r="E28" s="4">
        <f t="shared" si="2"/>
        <v>106.66666666666667</v>
      </c>
      <c r="F28" s="2">
        <v>30</v>
      </c>
      <c r="G28" s="34">
        <v>2.5</v>
      </c>
      <c r="H28" s="2">
        <f t="shared" si="1"/>
        <v>27.5</v>
      </c>
      <c r="I28" s="4">
        <f t="shared" si="0"/>
        <v>2933.3333333333335</v>
      </c>
      <c r="J28" s="2"/>
      <c r="K28" s="2"/>
      <c r="L28" s="4">
        <f t="shared" si="3"/>
        <v>266.66666666666669</v>
      </c>
      <c r="M28" s="4"/>
      <c r="N28" s="4"/>
      <c r="O28" s="36">
        <f t="shared" si="4"/>
        <v>2933.3333333333335</v>
      </c>
      <c r="P28" s="2"/>
      <c r="Q28" s="1"/>
      <c r="R28" s="1"/>
      <c r="S28" s="2">
        <v>25</v>
      </c>
      <c r="T28" s="13" t="s">
        <v>124</v>
      </c>
      <c r="U28" s="67">
        <v>3200</v>
      </c>
      <c r="V28" s="68">
        <f t="shared" si="7"/>
        <v>106.66666666666667</v>
      </c>
      <c r="W28" s="67">
        <v>3200</v>
      </c>
    </row>
    <row r="29" spans="2:23" ht="24.95" customHeight="1">
      <c r="B29" s="2">
        <v>29</v>
      </c>
      <c r="C29" s="13" t="s">
        <v>79</v>
      </c>
      <c r="D29" s="11">
        <v>2500</v>
      </c>
      <c r="E29" s="4">
        <f t="shared" si="2"/>
        <v>83.333333333333329</v>
      </c>
      <c r="F29" s="2">
        <v>30</v>
      </c>
      <c r="G29" s="34">
        <v>1</v>
      </c>
      <c r="H29" s="2">
        <f t="shared" si="1"/>
        <v>29</v>
      </c>
      <c r="I29" s="4">
        <f t="shared" si="0"/>
        <v>2416.6666666666665</v>
      </c>
      <c r="J29" s="2"/>
      <c r="K29" s="2"/>
      <c r="L29" s="4">
        <f t="shared" si="3"/>
        <v>83.333333333333329</v>
      </c>
      <c r="M29" s="4"/>
      <c r="N29" s="4"/>
      <c r="O29" s="36">
        <f t="shared" si="4"/>
        <v>2416.6666666666665</v>
      </c>
      <c r="P29" s="2"/>
      <c r="Q29" s="1"/>
      <c r="R29" s="1"/>
      <c r="S29" s="2">
        <v>26</v>
      </c>
      <c r="T29" s="13" t="s">
        <v>79</v>
      </c>
      <c r="U29" s="67">
        <v>2500</v>
      </c>
      <c r="V29" s="68">
        <f t="shared" ref="V29:V53" si="8">SUM(U29/30)</f>
        <v>83.333333333333329</v>
      </c>
      <c r="W29" s="67">
        <v>2500</v>
      </c>
    </row>
    <row r="30" spans="2:23" ht="24.95" customHeight="1">
      <c r="B30" s="2">
        <v>30</v>
      </c>
      <c r="C30" s="13" t="s">
        <v>85</v>
      </c>
      <c r="D30" s="11">
        <v>2500</v>
      </c>
      <c r="E30" s="4">
        <f t="shared" si="2"/>
        <v>83.333333333333329</v>
      </c>
      <c r="F30" s="2">
        <v>30</v>
      </c>
      <c r="G30" s="34">
        <v>3</v>
      </c>
      <c r="H30" s="2">
        <f t="shared" si="1"/>
        <v>27</v>
      </c>
      <c r="I30" s="4">
        <f t="shared" si="0"/>
        <v>2250</v>
      </c>
      <c r="J30" s="2"/>
      <c r="K30" s="2"/>
      <c r="L30" s="4">
        <f t="shared" si="3"/>
        <v>250</v>
      </c>
      <c r="M30" s="4"/>
      <c r="N30" s="4"/>
      <c r="O30" s="36">
        <f t="shared" si="4"/>
        <v>2250</v>
      </c>
      <c r="P30" s="2"/>
      <c r="S30" s="2">
        <v>27</v>
      </c>
      <c r="T30" s="13" t="s">
        <v>85</v>
      </c>
      <c r="U30" s="67">
        <v>2500</v>
      </c>
      <c r="V30" s="68">
        <f t="shared" si="8"/>
        <v>83.333333333333329</v>
      </c>
      <c r="W30" s="67">
        <v>2500</v>
      </c>
    </row>
    <row r="31" spans="2:23" ht="24.95" customHeight="1">
      <c r="B31" s="2">
        <v>31</v>
      </c>
      <c r="C31" s="13" t="s">
        <v>78</v>
      </c>
      <c r="D31" s="11">
        <v>3000</v>
      </c>
      <c r="E31" s="4">
        <f t="shared" si="2"/>
        <v>100</v>
      </c>
      <c r="F31" s="2">
        <v>30</v>
      </c>
      <c r="G31" s="34">
        <v>0</v>
      </c>
      <c r="H31" s="2">
        <f t="shared" si="1"/>
        <v>30</v>
      </c>
      <c r="I31" s="4">
        <f t="shared" si="0"/>
        <v>3000</v>
      </c>
      <c r="J31" s="2"/>
      <c r="K31" s="2"/>
      <c r="L31" s="4">
        <f t="shared" si="3"/>
        <v>0</v>
      </c>
      <c r="M31" s="4"/>
      <c r="N31" s="4"/>
      <c r="O31" s="36">
        <f t="shared" si="4"/>
        <v>3000</v>
      </c>
      <c r="P31" s="2"/>
      <c r="S31" s="2">
        <v>28</v>
      </c>
      <c r="T31" s="13" t="s">
        <v>78</v>
      </c>
      <c r="U31" s="67">
        <v>3000</v>
      </c>
      <c r="V31" s="68">
        <f t="shared" si="8"/>
        <v>100</v>
      </c>
      <c r="W31" s="67">
        <v>3000</v>
      </c>
    </row>
    <row r="32" spans="2:23" ht="24.95" customHeight="1">
      <c r="B32" s="2">
        <v>32</v>
      </c>
      <c r="C32" s="13" t="s">
        <v>86</v>
      </c>
      <c r="D32" s="11">
        <v>18000</v>
      </c>
      <c r="E32" s="4">
        <f t="shared" si="2"/>
        <v>600</v>
      </c>
      <c r="F32" s="2">
        <v>30</v>
      </c>
      <c r="G32" s="34">
        <v>0</v>
      </c>
      <c r="H32" s="2">
        <f t="shared" si="1"/>
        <v>30</v>
      </c>
      <c r="I32" s="4">
        <f t="shared" si="0"/>
        <v>18000</v>
      </c>
      <c r="J32" s="2">
        <f>4000+1000+3000+4000+3000</f>
        <v>15000</v>
      </c>
      <c r="K32" s="2">
        <v>1000</v>
      </c>
      <c r="L32" s="4">
        <f>SUM(G32*E32)</f>
        <v>0</v>
      </c>
      <c r="M32" s="4"/>
      <c r="N32" s="4"/>
      <c r="O32" s="36">
        <f t="shared" si="4"/>
        <v>2000</v>
      </c>
      <c r="P32" s="4"/>
      <c r="Q32" s="40"/>
      <c r="S32" s="2">
        <v>29</v>
      </c>
      <c r="T32" s="13" t="s">
        <v>86</v>
      </c>
      <c r="U32" s="67">
        <v>18000</v>
      </c>
      <c r="V32" s="68">
        <f t="shared" si="8"/>
        <v>600</v>
      </c>
      <c r="W32" s="67"/>
    </row>
    <row r="33" spans="2:23" ht="24.95" customHeight="1">
      <c r="B33" s="2">
        <v>33</v>
      </c>
      <c r="C33" s="13" t="s">
        <v>31</v>
      </c>
      <c r="D33" s="11">
        <v>5900</v>
      </c>
      <c r="E33" s="4">
        <f t="shared" si="2"/>
        <v>196.66666666666666</v>
      </c>
      <c r="F33" s="2">
        <v>30</v>
      </c>
      <c r="G33" s="34">
        <v>0.5</v>
      </c>
      <c r="H33" s="2">
        <f t="shared" si="1"/>
        <v>29.5</v>
      </c>
      <c r="I33" s="4">
        <f t="shared" si="0"/>
        <v>5801.666666666667</v>
      </c>
      <c r="J33" s="2"/>
      <c r="K33" s="2"/>
      <c r="L33" s="4">
        <f t="shared" si="3"/>
        <v>98.333333333333329</v>
      </c>
      <c r="M33" s="4"/>
      <c r="N33" s="4"/>
      <c r="O33" s="36">
        <f t="shared" si="4"/>
        <v>5801.666666666667</v>
      </c>
      <c r="P33" s="2"/>
      <c r="S33" s="2">
        <v>30</v>
      </c>
      <c r="T33" s="13" t="s">
        <v>31</v>
      </c>
      <c r="U33" s="67">
        <v>5900</v>
      </c>
      <c r="V33" s="68">
        <f t="shared" si="8"/>
        <v>196.66666666666666</v>
      </c>
      <c r="W33" s="67">
        <v>5900</v>
      </c>
    </row>
    <row r="34" spans="2:23" ht="24.95" customHeight="1">
      <c r="B34" s="2">
        <v>34</v>
      </c>
      <c r="C34" s="13" t="s">
        <v>89</v>
      </c>
      <c r="D34" s="16">
        <v>2500</v>
      </c>
      <c r="E34" s="17">
        <f t="shared" si="2"/>
        <v>83.333333333333329</v>
      </c>
      <c r="F34" s="2">
        <v>30</v>
      </c>
      <c r="G34" s="35">
        <v>2</v>
      </c>
      <c r="H34" s="2">
        <f t="shared" si="1"/>
        <v>28</v>
      </c>
      <c r="I34" s="17">
        <f t="shared" si="0"/>
        <v>2333.3333333333335</v>
      </c>
      <c r="J34" s="2"/>
      <c r="K34" s="18"/>
      <c r="L34" s="17">
        <f t="shared" si="3"/>
        <v>166.66666666666666</v>
      </c>
      <c r="M34" s="17"/>
      <c r="N34" s="17"/>
      <c r="O34" s="36">
        <f t="shared" ref="O34:O53" si="9">SUM(I34-J34-M34-N34-K34)</f>
        <v>2333.3333333333335</v>
      </c>
      <c r="P34" s="2"/>
      <c r="S34" s="2">
        <v>31</v>
      </c>
      <c r="T34" s="13" t="s">
        <v>89</v>
      </c>
      <c r="U34" s="69">
        <v>2500</v>
      </c>
      <c r="V34" s="70">
        <f t="shared" si="8"/>
        <v>83.333333333333329</v>
      </c>
      <c r="W34" s="69">
        <v>2500</v>
      </c>
    </row>
    <row r="35" spans="2:23" ht="24.95" customHeight="1">
      <c r="B35" s="2">
        <v>35</v>
      </c>
      <c r="C35" s="13" t="s">
        <v>93</v>
      </c>
      <c r="D35" s="16">
        <v>2500</v>
      </c>
      <c r="E35" s="17">
        <f t="shared" si="2"/>
        <v>83.333333333333329</v>
      </c>
      <c r="F35" s="2">
        <v>30</v>
      </c>
      <c r="G35" s="35">
        <v>1</v>
      </c>
      <c r="H35" s="2">
        <f t="shared" si="1"/>
        <v>29</v>
      </c>
      <c r="I35" s="17">
        <f t="shared" si="0"/>
        <v>2416.6666666666665</v>
      </c>
      <c r="J35" s="2"/>
      <c r="K35" s="18"/>
      <c r="L35" s="17">
        <f t="shared" si="3"/>
        <v>83.333333333333329</v>
      </c>
      <c r="M35" s="17"/>
      <c r="N35" s="17"/>
      <c r="O35" s="36">
        <f t="shared" si="9"/>
        <v>2416.6666666666665</v>
      </c>
      <c r="P35" s="2"/>
      <c r="S35" s="2">
        <v>32</v>
      </c>
      <c r="T35" s="13" t="s">
        <v>93</v>
      </c>
      <c r="U35" s="69">
        <v>2500</v>
      </c>
      <c r="V35" s="70">
        <f t="shared" si="8"/>
        <v>83.333333333333329</v>
      </c>
      <c r="W35" s="69">
        <v>2500</v>
      </c>
    </row>
    <row r="36" spans="2:23" ht="24.95" customHeight="1">
      <c r="B36" s="2">
        <v>36</v>
      </c>
      <c r="C36" s="13" t="s">
        <v>94</v>
      </c>
      <c r="D36" s="16">
        <v>2500</v>
      </c>
      <c r="E36" s="17">
        <f t="shared" si="2"/>
        <v>83.333333333333329</v>
      </c>
      <c r="F36" s="2">
        <v>30</v>
      </c>
      <c r="G36" s="35">
        <v>0.5</v>
      </c>
      <c r="H36" s="2">
        <f t="shared" si="1"/>
        <v>29.5</v>
      </c>
      <c r="I36" s="17">
        <f t="shared" si="0"/>
        <v>2458.3333333333335</v>
      </c>
      <c r="J36" s="2"/>
      <c r="K36" s="18"/>
      <c r="L36" s="17">
        <f t="shared" si="3"/>
        <v>41.666666666666664</v>
      </c>
      <c r="M36" s="17"/>
      <c r="N36" s="17"/>
      <c r="O36" s="36">
        <f t="shared" si="9"/>
        <v>2458.3333333333335</v>
      </c>
      <c r="P36" s="2"/>
      <c r="S36" s="2">
        <v>33</v>
      </c>
      <c r="T36" s="13" t="s">
        <v>94</v>
      </c>
      <c r="U36" s="69">
        <v>2500</v>
      </c>
      <c r="V36" s="70">
        <f t="shared" si="8"/>
        <v>83.333333333333329</v>
      </c>
      <c r="W36" s="69">
        <v>2500</v>
      </c>
    </row>
    <row r="37" spans="2:23" ht="24.95" customHeight="1">
      <c r="B37" s="2">
        <v>37</v>
      </c>
      <c r="C37" s="13" t="s">
        <v>99</v>
      </c>
      <c r="D37" s="16">
        <v>2500</v>
      </c>
      <c r="E37" s="17">
        <f t="shared" si="2"/>
        <v>83.333333333333329</v>
      </c>
      <c r="F37" s="2">
        <v>30</v>
      </c>
      <c r="G37" s="35">
        <v>2.5</v>
      </c>
      <c r="H37" s="2">
        <f t="shared" si="1"/>
        <v>27.5</v>
      </c>
      <c r="I37" s="17">
        <f t="shared" si="0"/>
        <v>2291.6666666666665</v>
      </c>
      <c r="J37" s="2"/>
      <c r="K37" s="18"/>
      <c r="L37" s="17">
        <f t="shared" si="3"/>
        <v>208.33333333333331</v>
      </c>
      <c r="M37" s="17"/>
      <c r="N37" s="17"/>
      <c r="O37" s="36">
        <f t="shared" si="9"/>
        <v>2291.6666666666665</v>
      </c>
      <c r="P37" s="2"/>
      <c r="S37" s="2">
        <v>34</v>
      </c>
      <c r="T37" s="13" t="s">
        <v>99</v>
      </c>
      <c r="U37" s="69">
        <v>2500</v>
      </c>
      <c r="V37" s="70">
        <f t="shared" si="8"/>
        <v>83.333333333333329</v>
      </c>
      <c r="W37" s="69">
        <v>2500</v>
      </c>
    </row>
    <row r="38" spans="2:23" ht="24.95" customHeight="1">
      <c r="B38" s="2">
        <v>38</v>
      </c>
      <c r="C38" s="13" t="s">
        <v>100</v>
      </c>
      <c r="D38" s="16">
        <v>2500</v>
      </c>
      <c r="E38" s="17">
        <f t="shared" si="2"/>
        <v>83.333333333333329</v>
      </c>
      <c r="F38" s="2">
        <v>30</v>
      </c>
      <c r="G38" s="35">
        <v>21</v>
      </c>
      <c r="H38" s="2">
        <f t="shared" si="1"/>
        <v>9</v>
      </c>
      <c r="I38" s="17">
        <f t="shared" si="0"/>
        <v>750</v>
      </c>
      <c r="J38" s="2"/>
      <c r="K38" s="18"/>
      <c r="L38" s="17">
        <f t="shared" si="3"/>
        <v>1750</v>
      </c>
      <c r="M38" s="17"/>
      <c r="N38" s="17"/>
      <c r="O38" s="36">
        <f t="shared" si="9"/>
        <v>750</v>
      </c>
      <c r="P38" s="2"/>
      <c r="S38" s="2">
        <v>35</v>
      </c>
      <c r="T38" s="13" t="s">
        <v>100</v>
      </c>
      <c r="U38" s="69">
        <v>2500</v>
      </c>
      <c r="V38" s="70">
        <f t="shared" si="8"/>
        <v>83.333333333333329</v>
      </c>
      <c r="W38" s="69"/>
    </row>
    <row r="39" spans="2:23" ht="24.95" customHeight="1">
      <c r="B39" s="2">
        <v>39</v>
      </c>
      <c r="C39" s="13" t="s">
        <v>101</v>
      </c>
      <c r="D39" s="16">
        <v>2500</v>
      </c>
      <c r="E39" s="17">
        <f t="shared" si="2"/>
        <v>83.333333333333329</v>
      </c>
      <c r="F39" s="2">
        <v>30</v>
      </c>
      <c r="G39" s="35">
        <v>4.5</v>
      </c>
      <c r="H39" s="2">
        <f t="shared" si="1"/>
        <v>25.5</v>
      </c>
      <c r="I39" s="17">
        <f t="shared" si="0"/>
        <v>2125</v>
      </c>
      <c r="J39" s="2"/>
      <c r="K39" s="18"/>
      <c r="L39" s="17">
        <f t="shared" si="3"/>
        <v>375</v>
      </c>
      <c r="M39" s="17"/>
      <c r="N39" s="17"/>
      <c r="O39" s="36">
        <f t="shared" si="9"/>
        <v>2125</v>
      </c>
      <c r="P39" s="2"/>
      <c r="S39" s="2">
        <v>36</v>
      </c>
      <c r="T39" s="13" t="s">
        <v>101</v>
      </c>
      <c r="U39" s="69">
        <v>2500</v>
      </c>
      <c r="V39" s="70">
        <f t="shared" si="8"/>
        <v>83.333333333333329</v>
      </c>
      <c r="W39" s="69">
        <v>2500</v>
      </c>
    </row>
    <row r="40" spans="2:23" ht="24.95" customHeight="1">
      <c r="B40" s="2">
        <v>40</v>
      </c>
      <c r="C40" s="13" t="s">
        <v>97</v>
      </c>
      <c r="D40" s="16">
        <v>2500</v>
      </c>
      <c r="E40" s="17">
        <f t="shared" si="2"/>
        <v>83.333333333333329</v>
      </c>
      <c r="F40" s="2">
        <v>30</v>
      </c>
      <c r="G40" s="35">
        <v>3.5</v>
      </c>
      <c r="H40" s="2">
        <f t="shared" si="1"/>
        <v>26.5</v>
      </c>
      <c r="I40" s="17">
        <f t="shared" si="0"/>
        <v>2208.3333333333335</v>
      </c>
      <c r="J40" s="2"/>
      <c r="K40" s="18"/>
      <c r="L40" s="17">
        <f t="shared" si="3"/>
        <v>291.66666666666663</v>
      </c>
      <c r="M40" s="17"/>
      <c r="N40" s="17"/>
      <c r="O40" s="36">
        <f t="shared" si="9"/>
        <v>2208.3333333333335</v>
      </c>
      <c r="P40" s="2"/>
      <c r="S40" s="2">
        <v>37</v>
      </c>
      <c r="T40" s="13" t="s">
        <v>97</v>
      </c>
      <c r="U40" s="69">
        <v>2500</v>
      </c>
      <c r="V40" s="70">
        <f t="shared" si="8"/>
        <v>83.333333333333329</v>
      </c>
      <c r="W40" s="69">
        <v>2500</v>
      </c>
    </row>
    <row r="41" spans="2:23" ht="24.95" customHeight="1">
      <c r="B41" s="2">
        <v>41</v>
      </c>
      <c r="C41" s="13" t="s">
        <v>104</v>
      </c>
      <c r="D41" s="16">
        <v>3000</v>
      </c>
      <c r="E41" s="17">
        <f t="shared" si="2"/>
        <v>100</v>
      </c>
      <c r="F41" s="2">
        <v>30</v>
      </c>
      <c r="G41" s="35">
        <v>1</v>
      </c>
      <c r="H41" s="2">
        <f t="shared" si="1"/>
        <v>29</v>
      </c>
      <c r="I41" s="17">
        <f t="shared" si="0"/>
        <v>2900</v>
      </c>
      <c r="J41" s="2"/>
      <c r="K41" s="18"/>
      <c r="L41" s="17">
        <f t="shared" si="3"/>
        <v>100</v>
      </c>
      <c r="M41" s="17"/>
      <c r="N41" s="17"/>
      <c r="O41" s="36">
        <f t="shared" si="9"/>
        <v>2900</v>
      </c>
      <c r="P41" s="2"/>
      <c r="S41" s="2">
        <v>38</v>
      </c>
      <c r="T41" s="13" t="s">
        <v>104</v>
      </c>
      <c r="U41" s="69">
        <v>3000</v>
      </c>
      <c r="V41" s="70">
        <f t="shared" si="8"/>
        <v>100</v>
      </c>
      <c r="W41" s="69"/>
    </row>
    <row r="42" spans="2:23" ht="24.95" customHeight="1">
      <c r="B42" s="2">
        <v>42</v>
      </c>
      <c r="C42" s="13" t="s">
        <v>108</v>
      </c>
      <c r="D42" s="16">
        <v>2500</v>
      </c>
      <c r="E42" s="17">
        <f t="shared" si="2"/>
        <v>83.333333333333329</v>
      </c>
      <c r="F42" s="2">
        <v>30</v>
      </c>
      <c r="G42" s="35">
        <v>1</v>
      </c>
      <c r="H42" s="2">
        <f t="shared" si="1"/>
        <v>29</v>
      </c>
      <c r="I42" s="17">
        <f t="shared" si="0"/>
        <v>2416.6666666666665</v>
      </c>
      <c r="J42" s="2"/>
      <c r="K42" s="18"/>
      <c r="L42" s="17">
        <f t="shared" si="3"/>
        <v>83.333333333333329</v>
      </c>
      <c r="M42" s="17"/>
      <c r="N42" s="17"/>
      <c r="O42" s="36">
        <f t="shared" si="9"/>
        <v>2416.6666666666665</v>
      </c>
      <c r="P42" s="2"/>
      <c r="S42" s="2">
        <v>39</v>
      </c>
      <c r="T42" s="13" t="s">
        <v>108</v>
      </c>
      <c r="U42" s="69">
        <v>2500</v>
      </c>
      <c r="V42" s="70">
        <f t="shared" si="8"/>
        <v>83.333333333333329</v>
      </c>
      <c r="W42" s="69"/>
    </row>
    <row r="43" spans="2:23" ht="24.95" customHeight="1">
      <c r="B43" s="2">
        <v>43</v>
      </c>
      <c r="C43" s="13" t="s">
        <v>111</v>
      </c>
      <c r="D43" s="38">
        <v>8500</v>
      </c>
      <c r="E43" s="17">
        <f t="shared" si="2"/>
        <v>283.33333333333331</v>
      </c>
      <c r="F43" s="2">
        <v>30</v>
      </c>
      <c r="G43" s="35">
        <v>0.5</v>
      </c>
      <c r="H43" s="2">
        <f t="shared" si="1"/>
        <v>29.5</v>
      </c>
      <c r="I43" s="17">
        <f t="shared" si="0"/>
        <v>8358.3333333333339</v>
      </c>
      <c r="J43" s="2">
        <f>500+2000</f>
        <v>2500</v>
      </c>
      <c r="K43" s="18"/>
      <c r="L43" s="17">
        <f t="shared" si="3"/>
        <v>141.66666666666666</v>
      </c>
      <c r="M43" s="17"/>
      <c r="N43" s="17"/>
      <c r="O43" s="36">
        <f t="shared" si="9"/>
        <v>5858.3333333333339</v>
      </c>
      <c r="P43" s="2"/>
      <c r="S43" s="2">
        <v>40</v>
      </c>
      <c r="T43" s="13" t="s">
        <v>111</v>
      </c>
      <c r="U43" s="71">
        <v>8500</v>
      </c>
      <c r="V43" s="70">
        <f t="shared" si="8"/>
        <v>283.33333333333331</v>
      </c>
      <c r="W43" s="71"/>
    </row>
    <row r="44" spans="2:23" ht="24.95" customHeight="1">
      <c r="B44" s="2">
        <v>44</v>
      </c>
      <c r="C44" s="13" t="s">
        <v>112</v>
      </c>
      <c r="D44" s="38">
        <v>3500</v>
      </c>
      <c r="E44" s="17">
        <f t="shared" si="2"/>
        <v>116.66666666666667</v>
      </c>
      <c r="F44" s="2">
        <v>30</v>
      </c>
      <c r="G44" s="35">
        <v>1</v>
      </c>
      <c r="H44" s="2">
        <f t="shared" si="1"/>
        <v>29</v>
      </c>
      <c r="I44" s="17">
        <f t="shared" si="0"/>
        <v>3383.3333333333335</v>
      </c>
      <c r="J44" s="2">
        <v>1000</v>
      </c>
      <c r="K44" s="18"/>
      <c r="L44" s="17">
        <f t="shared" si="3"/>
        <v>116.66666666666667</v>
      </c>
      <c r="M44" s="17"/>
      <c r="N44" s="17"/>
      <c r="O44" s="36">
        <f t="shared" si="9"/>
        <v>2383.3333333333335</v>
      </c>
      <c r="P44" s="2"/>
      <c r="S44" s="2">
        <v>41</v>
      </c>
      <c r="T44" s="13" t="s">
        <v>112</v>
      </c>
      <c r="U44" s="71">
        <v>3500</v>
      </c>
      <c r="V44" s="70">
        <f t="shared" si="8"/>
        <v>116.66666666666667</v>
      </c>
      <c r="W44" s="71"/>
    </row>
    <row r="45" spans="2:23" ht="24.95" customHeight="1">
      <c r="B45" s="2">
        <v>45</v>
      </c>
      <c r="C45" s="13" t="s">
        <v>114</v>
      </c>
      <c r="D45" s="38">
        <v>12500</v>
      </c>
      <c r="E45" s="17">
        <f t="shared" si="2"/>
        <v>416.66666666666669</v>
      </c>
      <c r="F45" s="2">
        <v>30</v>
      </c>
      <c r="G45" s="35">
        <v>0</v>
      </c>
      <c r="H45" s="2">
        <f t="shared" si="1"/>
        <v>30</v>
      </c>
      <c r="I45" s="17">
        <f t="shared" si="0"/>
        <v>12500</v>
      </c>
      <c r="J45" s="2"/>
      <c r="K45" s="18"/>
      <c r="L45" s="17">
        <f t="shared" si="3"/>
        <v>0</v>
      </c>
      <c r="M45" s="17"/>
      <c r="N45" s="17"/>
      <c r="O45" s="36">
        <f t="shared" si="9"/>
        <v>12500</v>
      </c>
      <c r="P45" s="2"/>
      <c r="S45" s="2">
        <v>42</v>
      </c>
      <c r="T45" s="13" t="s">
        <v>114</v>
      </c>
      <c r="U45" s="71">
        <v>12500</v>
      </c>
      <c r="V45" s="70">
        <f t="shared" si="8"/>
        <v>416.66666666666669</v>
      </c>
      <c r="W45" s="71"/>
    </row>
    <row r="46" spans="2:23" ht="24.95" customHeight="1">
      <c r="B46" s="2">
        <v>46</v>
      </c>
      <c r="C46" s="13" t="s">
        <v>117</v>
      </c>
      <c r="D46" s="38">
        <v>2500</v>
      </c>
      <c r="E46" s="17">
        <f t="shared" si="2"/>
        <v>83.333333333333329</v>
      </c>
      <c r="F46" s="2">
        <v>30</v>
      </c>
      <c r="G46" s="35">
        <v>1</v>
      </c>
      <c r="H46" s="2">
        <f t="shared" si="1"/>
        <v>29</v>
      </c>
      <c r="I46" s="17">
        <f t="shared" si="0"/>
        <v>2416.6666666666665</v>
      </c>
      <c r="J46" s="2"/>
      <c r="K46" s="18"/>
      <c r="L46" s="17">
        <f t="shared" si="3"/>
        <v>83.333333333333329</v>
      </c>
      <c r="M46" s="17"/>
      <c r="N46" s="17"/>
      <c r="O46" s="36">
        <f t="shared" si="9"/>
        <v>2416.6666666666665</v>
      </c>
      <c r="P46" s="2"/>
      <c r="S46" s="2">
        <v>43</v>
      </c>
      <c r="T46" s="13" t="s">
        <v>117</v>
      </c>
      <c r="U46" s="71">
        <v>2500</v>
      </c>
      <c r="V46" s="70">
        <f t="shared" si="8"/>
        <v>83.333333333333329</v>
      </c>
      <c r="W46" s="71">
        <v>2500</v>
      </c>
    </row>
    <row r="47" spans="2:23" ht="24.95" customHeight="1">
      <c r="B47" s="2">
        <v>47</v>
      </c>
      <c r="C47" s="13" t="s">
        <v>120</v>
      </c>
      <c r="D47" s="38">
        <v>2500</v>
      </c>
      <c r="E47" s="17">
        <f t="shared" si="2"/>
        <v>83.333333333333329</v>
      </c>
      <c r="F47" s="2">
        <v>30</v>
      </c>
      <c r="G47" s="35">
        <v>11</v>
      </c>
      <c r="H47" s="2">
        <f t="shared" si="1"/>
        <v>19</v>
      </c>
      <c r="I47" s="17">
        <f t="shared" si="0"/>
        <v>1583.3333333333335</v>
      </c>
      <c r="J47" s="2"/>
      <c r="K47" s="18"/>
      <c r="L47" s="17">
        <f t="shared" si="3"/>
        <v>916.66666666666663</v>
      </c>
      <c r="M47" s="17"/>
      <c r="N47" s="17"/>
      <c r="O47" s="36">
        <f t="shared" si="9"/>
        <v>1583.3333333333335</v>
      </c>
      <c r="P47" s="2"/>
      <c r="S47" s="2">
        <v>44</v>
      </c>
      <c r="T47" s="13" t="s">
        <v>120</v>
      </c>
      <c r="U47" s="71">
        <v>2500</v>
      </c>
      <c r="V47" s="70">
        <f t="shared" si="8"/>
        <v>83.333333333333329</v>
      </c>
      <c r="W47" s="71"/>
    </row>
    <row r="48" spans="2:23" ht="24.95" customHeight="1">
      <c r="B48" s="2">
        <v>48</v>
      </c>
      <c r="C48" s="13" t="s">
        <v>126</v>
      </c>
      <c r="D48" s="38">
        <v>10000</v>
      </c>
      <c r="E48" s="17">
        <f t="shared" si="2"/>
        <v>333.33333333333331</v>
      </c>
      <c r="F48" s="2">
        <v>30</v>
      </c>
      <c r="G48" s="35">
        <v>0</v>
      </c>
      <c r="H48" s="2">
        <f t="shared" si="1"/>
        <v>30</v>
      </c>
      <c r="I48" s="17">
        <f>SUM(D48-L48)-660</f>
        <v>9340</v>
      </c>
      <c r="J48" s="2"/>
      <c r="K48" s="18"/>
      <c r="L48" s="17">
        <f t="shared" si="3"/>
        <v>0</v>
      </c>
      <c r="M48" s="17"/>
      <c r="N48" s="17"/>
      <c r="O48" s="36">
        <f t="shared" si="9"/>
        <v>9340</v>
      </c>
      <c r="P48" s="2"/>
      <c r="S48" s="2">
        <v>45</v>
      </c>
      <c r="T48" s="13" t="s">
        <v>126</v>
      </c>
      <c r="U48" s="71">
        <v>10000</v>
      </c>
      <c r="V48" s="70">
        <f t="shared" si="8"/>
        <v>333.33333333333331</v>
      </c>
      <c r="W48" s="71"/>
    </row>
    <row r="49" spans="2:23" ht="24.95" customHeight="1">
      <c r="B49" s="2">
        <v>49</v>
      </c>
      <c r="C49" s="13" t="s">
        <v>127</v>
      </c>
      <c r="D49" s="38">
        <v>2500</v>
      </c>
      <c r="E49" s="17">
        <f t="shared" si="2"/>
        <v>83.333333333333329</v>
      </c>
      <c r="F49" s="2">
        <v>30</v>
      </c>
      <c r="G49" s="35">
        <v>20</v>
      </c>
      <c r="H49" s="2">
        <f t="shared" si="1"/>
        <v>10</v>
      </c>
      <c r="I49" s="17">
        <f t="shared" si="0"/>
        <v>833.33333333333348</v>
      </c>
      <c r="J49" s="2"/>
      <c r="K49" s="18"/>
      <c r="L49" s="17">
        <f t="shared" si="3"/>
        <v>1666.6666666666665</v>
      </c>
      <c r="M49" s="17"/>
      <c r="N49" s="17"/>
      <c r="O49" s="36">
        <f t="shared" si="9"/>
        <v>833.33333333333348</v>
      </c>
      <c r="P49" s="2"/>
      <c r="S49" s="2">
        <v>46</v>
      </c>
      <c r="T49" s="13" t="s">
        <v>127</v>
      </c>
      <c r="U49" s="71">
        <v>2500</v>
      </c>
      <c r="V49" s="70">
        <f t="shared" si="8"/>
        <v>83.333333333333329</v>
      </c>
      <c r="W49" s="71"/>
    </row>
    <row r="50" spans="2:23" ht="24.95" customHeight="1">
      <c r="B50" s="2">
        <v>50</v>
      </c>
      <c r="C50" s="13" t="s">
        <v>128</v>
      </c>
      <c r="D50" s="38">
        <v>2500</v>
      </c>
      <c r="E50" s="17">
        <f t="shared" si="2"/>
        <v>83.333333333333329</v>
      </c>
      <c r="F50" s="2">
        <v>30</v>
      </c>
      <c r="G50" s="35">
        <v>20</v>
      </c>
      <c r="H50" s="2">
        <f t="shared" si="1"/>
        <v>10</v>
      </c>
      <c r="I50" s="17">
        <f t="shared" si="0"/>
        <v>833.33333333333348</v>
      </c>
      <c r="J50" s="2"/>
      <c r="K50" s="18"/>
      <c r="L50" s="17">
        <f t="shared" si="3"/>
        <v>1666.6666666666665</v>
      </c>
      <c r="M50" s="17"/>
      <c r="N50" s="17"/>
      <c r="O50" s="36">
        <f t="shared" si="9"/>
        <v>833.33333333333348</v>
      </c>
      <c r="P50" s="2"/>
      <c r="S50" s="2">
        <v>47</v>
      </c>
      <c r="T50" s="13" t="s">
        <v>128</v>
      </c>
      <c r="U50" s="71">
        <v>2500</v>
      </c>
      <c r="V50" s="70">
        <f t="shared" si="8"/>
        <v>83.333333333333329</v>
      </c>
      <c r="W50" s="71">
        <v>2500</v>
      </c>
    </row>
    <row r="51" spans="2:23" ht="24.95" customHeight="1">
      <c r="B51" s="2">
        <v>51</v>
      </c>
      <c r="C51" s="13" t="s">
        <v>129</v>
      </c>
      <c r="D51" s="38">
        <v>2500</v>
      </c>
      <c r="E51" s="17">
        <f t="shared" si="2"/>
        <v>83.333333333333329</v>
      </c>
      <c r="F51" s="2">
        <v>30</v>
      </c>
      <c r="G51" s="35">
        <v>20</v>
      </c>
      <c r="H51" s="2">
        <f t="shared" si="1"/>
        <v>10</v>
      </c>
      <c r="I51" s="17">
        <f t="shared" si="0"/>
        <v>833.33333333333348</v>
      </c>
      <c r="J51" s="2"/>
      <c r="K51" s="18"/>
      <c r="L51" s="17">
        <f t="shared" si="3"/>
        <v>1666.6666666666665</v>
      </c>
      <c r="M51" s="17"/>
      <c r="N51" s="17"/>
      <c r="O51" s="36">
        <f t="shared" si="9"/>
        <v>833.33333333333348</v>
      </c>
      <c r="P51" s="2"/>
      <c r="S51" s="2">
        <v>48</v>
      </c>
      <c r="T51" s="13" t="s">
        <v>129</v>
      </c>
      <c r="U51" s="71">
        <v>2500</v>
      </c>
      <c r="V51" s="70">
        <f t="shared" si="8"/>
        <v>83.333333333333329</v>
      </c>
      <c r="W51" s="71"/>
    </row>
    <row r="52" spans="2:23" ht="24.95" customHeight="1">
      <c r="B52" s="2">
        <v>52</v>
      </c>
      <c r="C52" s="13" t="s">
        <v>130</v>
      </c>
      <c r="D52" s="38">
        <v>12000</v>
      </c>
      <c r="E52" s="17">
        <f t="shared" si="2"/>
        <v>400</v>
      </c>
      <c r="F52" s="2">
        <v>30</v>
      </c>
      <c r="G52" s="35">
        <v>3</v>
      </c>
      <c r="H52" s="2">
        <f t="shared" si="1"/>
        <v>27</v>
      </c>
      <c r="I52" s="17">
        <f t="shared" si="0"/>
        <v>10800</v>
      </c>
      <c r="J52" s="2"/>
      <c r="K52" s="18"/>
      <c r="L52" s="17">
        <f t="shared" si="3"/>
        <v>1200</v>
      </c>
      <c r="M52" s="17"/>
      <c r="N52" s="17"/>
      <c r="O52" s="36">
        <f t="shared" si="9"/>
        <v>10800</v>
      </c>
      <c r="P52" s="2"/>
      <c r="S52" s="2">
        <v>49</v>
      </c>
      <c r="T52" s="13" t="s">
        <v>130</v>
      </c>
      <c r="U52" s="71">
        <v>12000</v>
      </c>
      <c r="V52" s="70">
        <f t="shared" si="8"/>
        <v>400</v>
      </c>
      <c r="W52" s="71"/>
    </row>
    <row r="53" spans="2:23" ht="24.95" customHeight="1" thickBot="1">
      <c r="B53" s="2">
        <v>53</v>
      </c>
      <c r="C53" s="60" t="s">
        <v>39</v>
      </c>
      <c r="D53" s="61">
        <v>3850</v>
      </c>
      <c r="E53" s="62">
        <f t="shared" si="2"/>
        <v>128.33333333333334</v>
      </c>
      <c r="F53" s="63">
        <v>30</v>
      </c>
      <c r="G53" s="63">
        <v>0</v>
      </c>
      <c r="H53" s="63">
        <f t="shared" si="1"/>
        <v>30</v>
      </c>
      <c r="I53" s="62">
        <f t="shared" si="0"/>
        <v>3850</v>
      </c>
      <c r="J53" s="63"/>
      <c r="K53" s="63"/>
      <c r="L53" s="62">
        <f t="shared" si="3"/>
        <v>0</v>
      </c>
      <c r="M53" s="62"/>
      <c r="N53" s="62"/>
      <c r="O53" s="64">
        <f t="shared" si="9"/>
        <v>3850</v>
      </c>
      <c r="P53" s="2"/>
      <c r="S53" s="2">
        <v>50</v>
      </c>
      <c r="T53" s="60" t="s">
        <v>39</v>
      </c>
      <c r="U53" s="72">
        <v>3850</v>
      </c>
      <c r="V53" s="73">
        <f t="shared" si="8"/>
        <v>128.33333333333334</v>
      </c>
      <c r="W53" s="72">
        <v>3850</v>
      </c>
    </row>
    <row r="54" spans="2:23" ht="19.899999999999999" customHeight="1">
      <c r="B54" s="2"/>
      <c r="C54" s="48" t="s">
        <v>40</v>
      </c>
      <c r="D54" s="53">
        <f>SUM(D4:D53)</f>
        <v>264450</v>
      </c>
      <c r="E54" s="54"/>
      <c r="F54" s="55"/>
      <c r="G54" s="54"/>
      <c r="H54" s="55"/>
      <c r="I54" s="56">
        <f>SUM(I4:I53)</f>
        <v>246300.83333333337</v>
      </c>
      <c r="J54" s="57">
        <f>SUM(J4:J53)</f>
        <v>35800</v>
      </c>
      <c r="K54" s="58">
        <f t="shared" ref="K54:O54" si="10">SUM(K4:K53)</f>
        <v>1000</v>
      </c>
      <c r="L54" s="57">
        <f t="shared" si="10"/>
        <v>17489.166666666664</v>
      </c>
      <c r="M54" s="57">
        <f t="shared" si="10"/>
        <v>1344</v>
      </c>
      <c r="N54" s="58">
        <f t="shared" si="10"/>
        <v>282</v>
      </c>
      <c r="O54" s="59">
        <f t="shared" si="10"/>
        <v>207874.83333333337</v>
      </c>
      <c r="P54" s="2"/>
    </row>
    <row r="55" spans="2:23" ht="19.899999999999999" customHeight="1" thickBot="1">
      <c r="B55" s="10"/>
      <c r="C55" s="49"/>
      <c r="D55" s="21"/>
      <c r="E55" s="23"/>
      <c r="F55" s="12"/>
      <c r="G55" s="23"/>
      <c r="H55" s="12"/>
      <c r="I55" s="21"/>
      <c r="J55" s="50"/>
      <c r="K55" s="50"/>
      <c r="L55" s="50"/>
      <c r="M55" s="51"/>
      <c r="N55" s="51"/>
      <c r="O55" s="52"/>
      <c r="P55" s="2"/>
    </row>
    <row r="56" spans="2:23">
      <c r="B56" s="10"/>
      <c r="I56" s="43"/>
      <c r="L56" s="47"/>
    </row>
    <row r="57" spans="2:23" ht="26.25">
      <c r="C57" s="26" t="s">
        <v>121</v>
      </c>
      <c r="D57" s="26"/>
      <c r="E57" s="26"/>
      <c r="F57" s="26"/>
      <c r="G57" s="26" t="s">
        <v>122</v>
      </c>
      <c r="H57" s="26"/>
      <c r="I57" s="26"/>
      <c r="J57" s="26"/>
      <c r="K57" s="26"/>
      <c r="L57" s="65"/>
      <c r="M57" s="26" t="s">
        <v>92</v>
      </c>
      <c r="N57" s="26"/>
    </row>
    <row r="58" spans="2:23" ht="26.2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23">
      <c r="B59" s="1"/>
    </row>
    <row r="60" spans="2:23">
      <c r="B60" s="27"/>
    </row>
  </sheetData>
  <pageMargins left="0.12" right="0.21" top="0.32" bottom="0.32" header="0.3" footer="0.3"/>
  <pageSetup scale="94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T63"/>
  <sheetViews>
    <sheetView topLeftCell="A37" workbookViewId="0">
      <selection activeCell="O57" sqref="O57"/>
    </sheetView>
  </sheetViews>
  <sheetFormatPr defaultRowHeight="15"/>
  <cols>
    <col min="1" max="1" width="0.140625" customWidth="1"/>
    <col min="2" max="2" width="2.85546875" customWidth="1"/>
    <col min="3" max="3" width="17.7109375" customWidth="1"/>
    <col min="4" max="4" width="8.7109375" customWidth="1"/>
    <col min="5" max="5" width="11.28515625" customWidth="1"/>
    <col min="6" max="6" width="7.140625" customWidth="1"/>
    <col min="7" max="7" width="5" customWidth="1"/>
    <col min="8" max="8" width="6.85546875" customWidth="1"/>
    <col min="9" max="9" width="10" customWidth="1"/>
    <col min="10" max="10" width="9.5703125" bestFit="1" customWidth="1"/>
    <col min="11" max="11" width="7.28515625" customWidth="1"/>
    <col min="12" max="12" width="9.85546875" customWidth="1"/>
    <col min="13" max="13" width="7.28515625" customWidth="1"/>
    <col min="14" max="14" width="5.42578125" customWidth="1"/>
    <col min="15" max="15" width="11.7109375" customWidth="1"/>
    <col min="16" max="16" width="22.28515625" customWidth="1"/>
    <col min="17" max="17" width="10.42578125" customWidth="1"/>
  </cols>
  <sheetData>
    <row r="1" spans="2:20">
      <c r="C1" s="6"/>
    </row>
    <row r="2" spans="2:20" ht="36">
      <c r="D2" t="s">
        <v>41</v>
      </c>
      <c r="E2" s="8" t="s">
        <v>116</v>
      </c>
      <c r="F2" s="8"/>
      <c r="G2" s="8"/>
      <c r="H2" s="9"/>
      <c r="I2" s="5"/>
      <c r="J2" s="5"/>
      <c r="K2" s="5"/>
    </row>
    <row r="3" spans="2:20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" t="s">
        <v>105</v>
      </c>
      <c r="Q3" s="1"/>
      <c r="R3" s="1"/>
      <c r="S3" s="1"/>
      <c r="T3" s="1"/>
    </row>
    <row r="4" spans="2:20" ht="19.899999999999999" customHeight="1">
      <c r="B4" s="2">
        <v>1</v>
      </c>
      <c r="C4" s="13" t="s">
        <v>6</v>
      </c>
      <c r="D4" s="11">
        <v>11700</v>
      </c>
      <c r="E4" s="4">
        <f>SUM(D4/30)</f>
        <v>390</v>
      </c>
      <c r="F4" s="2">
        <v>31</v>
      </c>
      <c r="G4" s="33">
        <v>2</v>
      </c>
      <c r="H4" s="2">
        <f>30-G4</f>
        <v>28</v>
      </c>
      <c r="I4" s="4">
        <f t="shared" ref="I4:I56" si="0">SUM(D4-L4)</f>
        <v>10920</v>
      </c>
      <c r="J4" s="2">
        <v>3960</v>
      </c>
      <c r="K4" s="2">
        <v>76</v>
      </c>
      <c r="L4" s="4">
        <f>SUM(G4*E4)</f>
        <v>780</v>
      </c>
      <c r="M4" s="4">
        <v>252</v>
      </c>
      <c r="N4" s="2">
        <v>53</v>
      </c>
      <c r="O4" s="36">
        <f>SUM(I4-J4-M4-N4-K4)</f>
        <v>6579</v>
      </c>
      <c r="P4" s="2"/>
      <c r="Q4" s="1"/>
      <c r="R4" s="1"/>
      <c r="S4" s="1"/>
      <c r="T4" s="1"/>
    </row>
    <row r="5" spans="2:20" ht="19.899999999999999" customHeight="1">
      <c r="B5" s="2">
        <v>2</v>
      </c>
      <c r="C5" s="13" t="s">
        <v>7</v>
      </c>
      <c r="D5" s="11">
        <v>10200</v>
      </c>
      <c r="E5" s="4">
        <f>SUM(D5/30)</f>
        <v>340</v>
      </c>
      <c r="F5" s="2">
        <v>31</v>
      </c>
      <c r="G5" s="33">
        <v>9.5</v>
      </c>
      <c r="H5" s="2">
        <f t="shared" ref="H5:H56" si="1">30-G5</f>
        <v>20.5</v>
      </c>
      <c r="I5" s="4">
        <f t="shared" si="0"/>
        <v>6970</v>
      </c>
      <c r="J5" s="2">
        <v>4000</v>
      </c>
      <c r="K5" s="2"/>
      <c r="L5" s="4">
        <f>SUM(G5*E5)</f>
        <v>3230</v>
      </c>
      <c r="M5" s="4">
        <v>252</v>
      </c>
      <c r="N5" s="2">
        <v>53</v>
      </c>
      <c r="O5" s="36">
        <f>SUM(I5-J5-M5-N5)</f>
        <v>2665</v>
      </c>
      <c r="P5" s="2"/>
      <c r="Q5" s="1"/>
      <c r="R5" s="1"/>
      <c r="S5" s="1"/>
      <c r="T5" s="1"/>
    </row>
    <row r="6" spans="2:20" ht="19.899999999999999" customHeight="1">
      <c r="B6" s="2">
        <v>3</v>
      </c>
      <c r="C6" s="13" t="s">
        <v>8</v>
      </c>
      <c r="D6" s="11">
        <v>9500</v>
      </c>
      <c r="E6" s="4">
        <f t="shared" ref="E6:E56" si="2">SUM(D6/30)</f>
        <v>316.66666666666669</v>
      </c>
      <c r="F6" s="2">
        <v>31</v>
      </c>
      <c r="G6" s="33">
        <v>1</v>
      </c>
      <c r="H6" s="2">
        <f t="shared" si="1"/>
        <v>29</v>
      </c>
      <c r="I6" s="4">
        <f t="shared" si="0"/>
        <v>9183.3333333333339</v>
      </c>
      <c r="J6" s="2"/>
      <c r="K6" s="2">
        <v>316</v>
      </c>
      <c r="L6" s="4">
        <f t="shared" ref="L6:L56" si="3">SUM(G6*E6)</f>
        <v>316.66666666666669</v>
      </c>
      <c r="M6" s="4">
        <v>252</v>
      </c>
      <c r="N6" s="2">
        <v>53</v>
      </c>
      <c r="O6" s="36">
        <f>SUM(I6-J6-M6-N6-K6)</f>
        <v>8562.3333333333339</v>
      </c>
      <c r="P6" s="2"/>
      <c r="Q6" s="41"/>
      <c r="R6" s="41"/>
      <c r="S6" s="41"/>
      <c r="T6" s="1"/>
    </row>
    <row r="7" spans="2:20" ht="19.899999999999999" customHeight="1">
      <c r="B7" s="2">
        <v>4</v>
      </c>
      <c r="C7" s="13" t="s">
        <v>9</v>
      </c>
      <c r="D7" s="11">
        <v>8400</v>
      </c>
      <c r="E7" s="4">
        <f t="shared" si="2"/>
        <v>280</v>
      </c>
      <c r="F7" s="2">
        <v>31</v>
      </c>
      <c r="G7" s="34">
        <v>1.5</v>
      </c>
      <c r="H7" s="2">
        <f t="shared" si="1"/>
        <v>28.5</v>
      </c>
      <c r="I7" s="4">
        <f t="shared" si="0"/>
        <v>7980</v>
      </c>
      <c r="J7" s="2"/>
      <c r="K7" s="2"/>
      <c r="L7" s="4">
        <f t="shared" si="3"/>
        <v>420</v>
      </c>
      <c r="M7" s="4">
        <v>252</v>
      </c>
      <c r="N7" s="2">
        <v>53</v>
      </c>
      <c r="O7" s="36">
        <f t="shared" ref="O7:O56" si="4">SUM(I7-J7-M7-N7-K7)</f>
        <v>7675</v>
      </c>
      <c r="P7" s="2"/>
      <c r="Q7" s="1"/>
      <c r="R7" s="1"/>
      <c r="S7" s="1"/>
      <c r="T7" s="1"/>
    </row>
    <row r="8" spans="2:20" ht="19.899999999999999" customHeight="1">
      <c r="B8" s="2">
        <v>5</v>
      </c>
      <c r="C8" s="13" t="s">
        <v>22</v>
      </c>
      <c r="D8" s="11">
        <v>12000</v>
      </c>
      <c r="E8" s="4">
        <f>SUM(D8/30)</f>
        <v>400</v>
      </c>
      <c r="F8" s="2">
        <v>31</v>
      </c>
      <c r="G8" s="33">
        <v>1</v>
      </c>
      <c r="H8" s="2">
        <f t="shared" si="1"/>
        <v>29</v>
      </c>
      <c r="I8" s="4">
        <f t="shared" si="0"/>
        <v>11600</v>
      </c>
      <c r="J8" s="2">
        <v>500</v>
      </c>
      <c r="K8" s="2">
        <v>140</v>
      </c>
      <c r="L8" s="4">
        <f>SUM(G8*E8)</f>
        <v>400</v>
      </c>
      <c r="M8" s="4">
        <v>336</v>
      </c>
      <c r="N8" s="4">
        <v>70</v>
      </c>
      <c r="O8" s="36">
        <f t="shared" si="4"/>
        <v>10554</v>
      </c>
      <c r="P8" s="46"/>
    </row>
    <row r="9" spans="2:20" ht="19.899999999999999" customHeight="1">
      <c r="B9" s="2">
        <v>6</v>
      </c>
      <c r="C9" s="13" t="s">
        <v>11</v>
      </c>
      <c r="D9" s="11">
        <v>7800</v>
      </c>
      <c r="E9" s="4">
        <f t="shared" si="2"/>
        <v>260</v>
      </c>
      <c r="F9" s="2">
        <v>31</v>
      </c>
      <c r="G9" s="34">
        <v>1</v>
      </c>
      <c r="H9" s="2">
        <f t="shared" si="1"/>
        <v>29</v>
      </c>
      <c r="I9" s="4">
        <f t="shared" si="0"/>
        <v>7540</v>
      </c>
      <c r="J9" s="2">
        <v>2000</v>
      </c>
      <c r="K9" s="2">
        <v>97</v>
      </c>
      <c r="L9" s="4">
        <f t="shared" si="3"/>
        <v>260</v>
      </c>
      <c r="M9" s="4"/>
      <c r="N9" s="4"/>
      <c r="O9" s="36">
        <f t="shared" si="4"/>
        <v>5443</v>
      </c>
      <c r="P9" s="46"/>
      <c r="Q9" s="1"/>
      <c r="R9" s="1"/>
      <c r="S9" s="1"/>
      <c r="T9" s="1"/>
    </row>
    <row r="10" spans="2:20" ht="19.899999999999999" customHeight="1">
      <c r="B10" s="2">
        <v>7</v>
      </c>
      <c r="C10" s="13" t="s">
        <v>12</v>
      </c>
      <c r="D10" s="11">
        <v>7050</v>
      </c>
      <c r="E10" s="4">
        <f t="shared" si="2"/>
        <v>235</v>
      </c>
      <c r="F10" s="2">
        <v>31</v>
      </c>
      <c r="G10" s="34">
        <v>3.5</v>
      </c>
      <c r="H10" s="2">
        <f t="shared" si="1"/>
        <v>26.5</v>
      </c>
      <c r="I10" s="4">
        <f t="shared" si="0"/>
        <v>6227.5</v>
      </c>
      <c r="J10" s="2">
        <v>800</v>
      </c>
      <c r="K10" s="2"/>
      <c r="L10" s="4">
        <f t="shared" si="3"/>
        <v>822.5</v>
      </c>
      <c r="M10" s="4"/>
      <c r="N10" s="4"/>
      <c r="O10" s="36">
        <f t="shared" si="4"/>
        <v>5427.5</v>
      </c>
      <c r="P10" s="2"/>
      <c r="Q10" s="1"/>
      <c r="R10" s="1"/>
      <c r="S10" s="1"/>
      <c r="T10" s="1"/>
    </row>
    <row r="11" spans="2:20" ht="19.899999999999999" customHeight="1">
      <c r="B11" s="2">
        <v>8</v>
      </c>
      <c r="C11" s="13" t="s">
        <v>13</v>
      </c>
      <c r="D11" s="11">
        <v>10000</v>
      </c>
      <c r="E11" s="4">
        <f t="shared" si="2"/>
        <v>333.33333333333331</v>
      </c>
      <c r="F11" s="2">
        <v>31</v>
      </c>
      <c r="G11" s="33">
        <v>0</v>
      </c>
      <c r="H11" s="2">
        <f t="shared" si="1"/>
        <v>30</v>
      </c>
      <c r="I11" s="4">
        <f t="shared" si="0"/>
        <v>10000</v>
      </c>
      <c r="J11" s="2"/>
      <c r="K11" s="2"/>
      <c r="L11" s="4">
        <f t="shared" si="3"/>
        <v>0</v>
      </c>
      <c r="M11" s="4"/>
      <c r="N11" s="4"/>
      <c r="O11" s="36">
        <f t="shared" si="4"/>
        <v>10000</v>
      </c>
      <c r="P11" s="2"/>
      <c r="Q11" s="1"/>
      <c r="R11" s="1"/>
      <c r="S11" s="1"/>
      <c r="T11" s="1"/>
    </row>
    <row r="12" spans="2:20" ht="19.899999999999999" customHeight="1">
      <c r="B12" s="2">
        <v>9</v>
      </c>
      <c r="C12" s="13" t="s">
        <v>107</v>
      </c>
      <c r="D12" s="11">
        <v>4700</v>
      </c>
      <c r="E12" s="4">
        <f t="shared" si="2"/>
        <v>156.66666666666666</v>
      </c>
      <c r="F12" s="2">
        <v>31</v>
      </c>
      <c r="G12" s="34">
        <v>1.5</v>
      </c>
      <c r="H12" s="2">
        <f t="shared" si="1"/>
        <v>28.5</v>
      </c>
      <c r="I12" s="4">
        <f t="shared" si="0"/>
        <v>4465</v>
      </c>
      <c r="J12" s="2">
        <v>2000</v>
      </c>
      <c r="K12" s="2"/>
      <c r="L12" s="4">
        <f t="shared" si="3"/>
        <v>235</v>
      </c>
      <c r="M12" s="4"/>
      <c r="N12" s="4"/>
      <c r="O12" s="36">
        <f t="shared" si="4"/>
        <v>2465</v>
      </c>
      <c r="P12" s="2"/>
      <c r="Q12" s="1"/>
      <c r="R12" s="1"/>
      <c r="S12" s="1"/>
      <c r="T12" s="1"/>
    </row>
    <row r="13" spans="2:20" ht="19.899999999999999" customHeight="1">
      <c r="B13" s="2">
        <v>10</v>
      </c>
      <c r="C13" s="13" t="s">
        <v>87</v>
      </c>
      <c r="D13" s="11">
        <v>4500</v>
      </c>
      <c r="E13" s="4">
        <f t="shared" si="2"/>
        <v>150</v>
      </c>
      <c r="F13" s="2">
        <v>31</v>
      </c>
      <c r="G13" s="34">
        <v>2.5</v>
      </c>
      <c r="H13" s="2">
        <f t="shared" si="1"/>
        <v>27.5</v>
      </c>
      <c r="I13" s="4">
        <f t="shared" si="0"/>
        <v>4125</v>
      </c>
      <c r="J13" s="2"/>
      <c r="K13" s="2"/>
      <c r="L13" s="4">
        <f t="shared" si="3"/>
        <v>375</v>
      </c>
      <c r="M13" s="4"/>
      <c r="N13" s="4"/>
      <c r="O13" s="36">
        <f t="shared" si="4"/>
        <v>4125</v>
      </c>
      <c r="P13" s="2"/>
      <c r="Q13" s="1"/>
      <c r="R13" s="1"/>
      <c r="S13" s="1"/>
      <c r="T13" s="1"/>
    </row>
    <row r="14" spans="2:20" ht="19.899999999999999" customHeight="1">
      <c r="B14" s="2">
        <v>11</v>
      </c>
      <c r="C14" s="13" t="s">
        <v>16</v>
      </c>
      <c r="D14" s="11">
        <v>4300</v>
      </c>
      <c r="E14" s="4">
        <f t="shared" si="2"/>
        <v>143.33333333333334</v>
      </c>
      <c r="F14" s="2">
        <v>31</v>
      </c>
      <c r="G14" s="33">
        <v>0</v>
      </c>
      <c r="H14" s="2">
        <f t="shared" si="1"/>
        <v>30</v>
      </c>
      <c r="I14" s="4">
        <f t="shared" si="0"/>
        <v>4300</v>
      </c>
      <c r="J14" s="2"/>
      <c r="K14" s="2"/>
      <c r="L14" s="4">
        <f t="shared" si="3"/>
        <v>0</v>
      </c>
      <c r="M14" s="4"/>
      <c r="N14" s="4"/>
      <c r="O14" s="36">
        <f t="shared" si="4"/>
        <v>4300</v>
      </c>
      <c r="P14" s="2"/>
      <c r="Q14" s="1"/>
      <c r="R14" s="1"/>
      <c r="S14" s="1"/>
      <c r="T14" s="1"/>
    </row>
    <row r="15" spans="2:20" ht="19.899999999999999" customHeight="1">
      <c r="B15" s="2">
        <v>12</v>
      </c>
      <c r="C15" s="13" t="s">
        <v>17</v>
      </c>
      <c r="D15" s="11">
        <v>3850</v>
      </c>
      <c r="E15" s="4">
        <f t="shared" si="2"/>
        <v>128.33333333333334</v>
      </c>
      <c r="F15" s="2">
        <v>31</v>
      </c>
      <c r="G15" s="33">
        <v>1</v>
      </c>
      <c r="H15" s="2">
        <f t="shared" si="1"/>
        <v>29</v>
      </c>
      <c r="I15" s="4">
        <f t="shared" si="0"/>
        <v>3721.6666666666665</v>
      </c>
      <c r="J15" s="2"/>
      <c r="K15" s="2"/>
      <c r="L15" s="4">
        <f t="shared" si="3"/>
        <v>128.33333333333334</v>
      </c>
      <c r="M15" s="4"/>
      <c r="N15" s="4"/>
      <c r="O15" s="36">
        <f t="shared" si="4"/>
        <v>3721.6666666666665</v>
      </c>
      <c r="P15" s="2"/>
      <c r="Q15" s="1"/>
      <c r="R15" s="1"/>
      <c r="S15" s="1"/>
      <c r="T15" s="1"/>
    </row>
    <row r="16" spans="2:20" ht="19.899999999999999" customHeight="1">
      <c r="B16" s="2">
        <v>13</v>
      </c>
      <c r="C16" s="13" t="s">
        <v>77</v>
      </c>
      <c r="D16" s="11">
        <v>2900</v>
      </c>
      <c r="E16" s="4">
        <f t="shared" si="2"/>
        <v>96.666666666666671</v>
      </c>
      <c r="F16" s="2">
        <v>31</v>
      </c>
      <c r="G16" s="34">
        <v>0</v>
      </c>
      <c r="H16" s="2">
        <f t="shared" si="1"/>
        <v>30</v>
      </c>
      <c r="I16" s="4">
        <f t="shared" si="0"/>
        <v>2900</v>
      </c>
      <c r="J16" s="2"/>
      <c r="K16" s="2"/>
      <c r="L16" s="4">
        <f t="shared" si="3"/>
        <v>0</v>
      </c>
      <c r="M16" s="4"/>
      <c r="N16" s="4"/>
      <c r="O16" s="36">
        <f t="shared" si="4"/>
        <v>2900</v>
      </c>
      <c r="P16" s="2"/>
      <c r="Q16" s="1"/>
      <c r="R16" s="1"/>
      <c r="S16" s="1"/>
      <c r="T16" s="1"/>
    </row>
    <row r="17" spans="2:20" ht="19.899999999999999" customHeight="1">
      <c r="B17" s="2">
        <v>14</v>
      </c>
      <c r="C17" s="13" t="s">
        <v>18</v>
      </c>
      <c r="D17" s="11">
        <v>4450</v>
      </c>
      <c r="E17" s="4">
        <f t="shared" si="2"/>
        <v>148.33333333333334</v>
      </c>
      <c r="F17" s="2">
        <v>31</v>
      </c>
      <c r="G17" s="33">
        <v>0</v>
      </c>
      <c r="H17" s="2">
        <f t="shared" si="1"/>
        <v>30</v>
      </c>
      <c r="I17" s="4">
        <f t="shared" si="0"/>
        <v>4450</v>
      </c>
      <c r="J17" s="2"/>
      <c r="K17" s="2"/>
      <c r="L17" s="4">
        <f t="shared" si="3"/>
        <v>0</v>
      </c>
      <c r="M17" s="4"/>
      <c r="N17" s="4"/>
      <c r="O17" s="36">
        <f t="shared" si="4"/>
        <v>4450</v>
      </c>
      <c r="P17" s="2"/>
      <c r="Q17" s="1"/>
      <c r="R17" s="1"/>
      <c r="S17" s="1"/>
      <c r="T17" s="1"/>
    </row>
    <row r="18" spans="2:20" ht="19.899999999999999" customHeight="1">
      <c r="B18" s="2">
        <v>15</v>
      </c>
      <c r="C18" s="13" t="s">
        <v>19</v>
      </c>
      <c r="D18" s="11">
        <v>3850</v>
      </c>
      <c r="E18" s="4">
        <f t="shared" si="2"/>
        <v>128.33333333333334</v>
      </c>
      <c r="F18" s="2">
        <v>31</v>
      </c>
      <c r="G18" s="33">
        <v>0</v>
      </c>
      <c r="H18" s="2">
        <f t="shared" si="1"/>
        <v>30</v>
      </c>
      <c r="I18" s="4">
        <f t="shared" si="0"/>
        <v>3850</v>
      </c>
      <c r="J18" s="2"/>
      <c r="K18" s="2"/>
      <c r="L18" s="4">
        <f t="shared" si="3"/>
        <v>0</v>
      </c>
      <c r="M18" s="4"/>
      <c r="N18" s="4"/>
      <c r="O18" s="36">
        <f t="shared" si="4"/>
        <v>3850</v>
      </c>
      <c r="P18" s="2"/>
      <c r="Q18" s="1"/>
      <c r="R18" s="1"/>
      <c r="S18" s="1"/>
      <c r="T18" s="1"/>
    </row>
    <row r="19" spans="2:20" ht="19.899999999999999" customHeight="1">
      <c r="B19" s="2">
        <v>16</v>
      </c>
      <c r="C19" s="13" t="s">
        <v>20</v>
      </c>
      <c r="D19" s="11">
        <v>4250</v>
      </c>
      <c r="E19" s="4">
        <f t="shared" si="2"/>
        <v>141.66666666666666</v>
      </c>
      <c r="F19" s="2">
        <v>31</v>
      </c>
      <c r="G19" s="33">
        <v>0.5</v>
      </c>
      <c r="H19" s="2">
        <f t="shared" si="1"/>
        <v>29.5</v>
      </c>
      <c r="I19" s="4">
        <f t="shared" si="0"/>
        <v>4179.166666666667</v>
      </c>
      <c r="J19" s="2"/>
      <c r="K19" s="2"/>
      <c r="L19" s="4">
        <f t="shared" si="3"/>
        <v>70.833333333333329</v>
      </c>
      <c r="M19" s="4"/>
      <c r="N19" s="4"/>
      <c r="O19" s="36">
        <f t="shared" si="4"/>
        <v>4179.166666666667</v>
      </c>
      <c r="P19" s="2"/>
      <c r="Q19" s="41"/>
      <c r="R19" s="1"/>
      <c r="S19" s="1"/>
      <c r="T19" s="1"/>
    </row>
    <row r="20" spans="2:20" ht="19.899999999999999" customHeight="1">
      <c r="B20" s="2">
        <v>17</v>
      </c>
      <c r="C20" s="13" t="s">
        <v>21</v>
      </c>
      <c r="D20" s="11">
        <v>3800</v>
      </c>
      <c r="E20" s="4">
        <f t="shared" si="2"/>
        <v>126.66666666666667</v>
      </c>
      <c r="F20" s="2">
        <v>31</v>
      </c>
      <c r="G20" s="34">
        <v>0</v>
      </c>
      <c r="H20" s="2">
        <f t="shared" si="1"/>
        <v>30</v>
      </c>
      <c r="I20" s="4">
        <f t="shared" si="0"/>
        <v>3800</v>
      </c>
      <c r="J20" s="2">
        <v>500</v>
      </c>
      <c r="K20" s="2">
        <v>16</v>
      </c>
      <c r="L20" s="4">
        <f t="shared" si="3"/>
        <v>0</v>
      </c>
      <c r="M20" s="4"/>
      <c r="N20" s="4"/>
      <c r="O20" s="36">
        <f t="shared" si="4"/>
        <v>3284</v>
      </c>
      <c r="P20" s="2"/>
      <c r="Q20" s="1"/>
      <c r="R20" s="1"/>
      <c r="S20" s="1"/>
      <c r="T20" s="1"/>
    </row>
    <row r="21" spans="2:20" ht="19.899999999999999" customHeight="1">
      <c r="B21" s="2">
        <v>18</v>
      </c>
      <c r="C21" s="13" t="s">
        <v>10</v>
      </c>
      <c r="D21" s="11">
        <v>7100</v>
      </c>
      <c r="E21" s="4">
        <f>SUM(D21/30)</f>
        <v>236.66666666666666</v>
      </c>
      <c r="F21" s="2">
        <v>31</v>
      </c>
      <c r="G21" s="34">
        <v>1</v>
      </c>
      <c r="H21" s="2">
        <f t="shared" si="1"/>
        <v>29</v>
      </c>
      <c r="I21" s="4">
        <f t="shared" si="0"/>
        <v>6863.333333333333</v>
      </c>
      <c r="J21" s="2">
        <v>2000</v>
      </c>
      <c r="K21" s="2"/>
      <c r="L21" s="4">
        <f>SUM(G21*E21)</f>
        <v>236.66666666666666</v>
      </c>
      <c r="M21" s="4"/>
      <c r="N21" s="4"/>
      <c r="O21" s="36">
        <f t="shared" si="4"/>
        <v>4863.333333333333</v>
      </c>
      <c r="P21" s="2"/>
      <c r="Q21" s="1"/>
      <c r="R21" s="1"/>
      <c r="S21" s="1"/>
      <c r="T21" s="1"/>
    </row>
    <row r="22" spans="2:20" ht="19.899999999999999" customHeight="1">
      <c r="B22" s="2">
        <v>19</v>
      </c>
      <c r="C22" s="13" t="s">
        <v>23</v>
      </c>
      <c r="D22" s="11">
        <v>3700</v>
      </c>
      <c r="E22" s="4">
        <f t="shared" si="2"/>
        <v>123.33333333333333</v>
      </c>
      <c r="F22" s="2">
        <v>31</v>
      </c>
      <c r="G22" s="33">
        <v>1</v>
      </c>
      <c r="H22" s="2">
        <f t="shared" si="1"/>
        <v>29</v>
      </c>
      <c r="I22" s="4">
        <f t="shared" si="0"/>
        <v>3576.6666666666665</v>
      </c>
      <c r="J22" s="2"/>
      <c r="K22" s="2">
        <v>15</v>
      </c>
      <c r="L22" s="4">
        <f t="shared" si="3"/>
        <v>123.33333333333333</v>
      </c>
      <c r="M22" s="4"/>
      <c r="N22" s="4"/>
      <c r="O22" s="36">
        <f t="shared" si="4"/>
        <v>3561.6666666666665</v>
      </c>
      <c r="P22" s="2"/>
      <c r="Q22" s="1"/>
      <c r="R22" s="1"/>
      <c r="S22" s="1"/>
      <c r="T22" s="1"/>
    </row>
    <row r="23" spans="2:20" ht="19.899999999999999" customHeight="1">
      <c r="B23" s="2">
        <v>20</v>
      </c>
      <c r="C23" s="13" t="s">
        <v>24</v>
      </c>
      <c r="D23" s="11">
        <v>3600</v>
      </c>
      <c r="E23" s="4">
        <f t="shared" si="2"/>
        <v>120</v>
      </c>
      <c r="F23" s="2">
        <v>31</v>
      </c>
      <c r="G23" s="34">
        <v>1.5</v>
      </c>
      <c r="H23" s="2">
        <f t="shared" si="1"/>
        <v>28.5</v>
      </c>
      <c r="I23" s="4">
        <f t="shared" si="0"/>
        <v>3420</v>
      </c>
      <c r="J23" s="2"/>
      <c r="K23" s="2"/>
      <c r="L23" s="4">
        <f t="shared" si="3"/>
        <v>180</v>
      </c>
      <c r="M23" s="4"/>
      <c r="N23" s="4"/>
      <c r="O23" s="36">
        <f t="shared" si="4"/>
        <v>3420</v>
      </c>
      <c r="P23" s="2"/>
      <c r="Q23" s="1"/>
      <c r="R23" s="1"/>
      <c r="S23" s="1"/>
      <c r="T23" s="1"/>
    </row>
    <row r="24" spans="2:20" ht="19.899999999999999" customHeight="1">
      <c r="B24" s="2">
        <v>21</v>
      </c>
      <c r="C24" s="13" t="s">
        <v>25</v>
      </c>
      <c r="D24" s="11">
        <v>3700</v>
      </c>
      <c r="E24" s="4">
        <f t="shared" si="2"/>
        <v>123.33333333333333</v>
      </c>
      <c r="F24" s="2">
        <v>31</v>
      </c>
      <c r="G24" s="34">
        <v>2.5</v>
      </c>
      <c r="H24" s="2">
        <f t="shared" si="1"/>
        <v>27.5</v>
      </c>
      <c r="I24" s="4">
        <f t="shared" si="0"/>
        <v>3391.6666666666665</v>
      </c>
      <c r="J24" s="2"/>
      <c r="K24" s="2"/>
      <c r="L24" s="4">
        <f t="shared" si="3"/>
        <v>308.33333333333331</v>
      </c>
      <c r="M24" s="4"/>
      <c r="N24" s="4"/>
      <c r="O24" s="36">
        <f t="shared" si="4"/>
        <v>3391.6666666666665</v>
      </c>
      <c r="P24" s="2"/>
      <c r="Q24" s="1"/>
      <c r="R24" s="1"/>
      <c r="S24" s="1"/>
      <c r="T24" s="1"/>
    </row>
    <row r="25" spans="2:20" ht="19.899999999999999" customHeight="1">
      <c r="B25" s="2">
        <v>22</v>
      </c>
      <c r="C25" s="13" t="s">
        <v>28</v>
      </c>
      <c r="D25" s="11">
        <v>7000</v>
      </c>
      <c r="E25" s="4">
        <f t="shared" si="2"/>
        <v>233.33333333333334</v>
      </c>
      <c r="F25" s="2">
        <v>31</v>
      </c>
      <c r="G25" s="34">
        <v>2</v>
      </c>
      <c r="H25" s="2">
        <f t="shared" si="1"/>
        <v>28</v>
      </c>
      <c r="I25" s="4">
        <f t="shared" si="0"/>
        <v>6533.333333333333</v>
      </c>
      <c r="J25" s="2">
        <v>3500</v>
      </c>
      <c r="K25" s="2"/>
      <c r="L25" s="4">
        <f t="shared" si="3"/>
        <v>466.66666666666669</v>
      </c>
      <c r="M25" s="4"/>
      <c r="N25" s="4"/>
      <c r="O25" s="36">
        <f t="shared" si="4"/>
        <v>3033.333333333333</v>
      </c>
      <c r="P25" s="2"/>
      <c r="Q25" s="1"/>
      <c r="R25" s="1"/>
      <c r="S25" s="1"/>
      <c r="T25" s="1"/>
    </row>
    <row r="26" spans="2:20" ht="19.899999999999999" customHeight="1">
      <c r="B26" s="2">
        <v>23</v>
      </c>
      <c r="C26" s="13" t="s">
        <v>42</v>
      </c>
      <c r="D26" s="11">
        <v>6000</v>
      </c>
      <c r="E26" s="4">
        <f t="shared" si="2"/>
        <v>200</v>
      </c>
      <c r="F26" s="2">
        <v>31</v>
      </c>
      <c r="G26" s="33">
        <v>11</v>
      </c>
      <c r="H26" s="2">
        <f t="shared" si="1"/>
        <v>19</v>
      </c>
      <c r="I26" s="4">
        <f t="shared" si="0"/>
        <v>3800</v>
      </c>
      <c r="J26" s="2"/>
      <c r="K26" s="2"/>
      <c r="L26" s="4">
        <f t="shared" si="3"/>
        <v>2200</v>
      </c>
      <c r="M26" s="4"/>
      <c r="N26" s="4"/>
      <c r="O26" s="36">
        <f t="shared" si="4"/>
        <v>3800</v>
      </c>
      <c r="P26" s="2"/>
      <c r="Q26" s="1"/>
      <c r="R26" s="1"/>
      <c r="S26" s="1"/>
      <c r="T26" s="1"/>
    </row>
    <row r="27" spans="2:20" ht="19.899999999999999" customHeight="1">
      <c r="B27" s="2">
        <v>24</v>
      </c>
      <c r="C27" s="13" t="s">
        <v>29</v>
      </c>
      <c r="D27" s="11">
        <v>6700</v>
      </c>
      <c r="E27" s="4">
        <f t="shared" si="2"/>
        <v>223.33333333333334</v>
      </c>
      <c r="F27" s="2">
        <v>31</v>
      </c>
      <c r="G27" s="34">
        <v>2</v>
      </c>
      <c r="H27" s="2">
        <f t="shared" si="1"/>
        <v>28</v>
      </c>
      <c r="I27" s="4">
        <f t="shared" si="0"/>
        <v>6253.333333333333</v>
      </c>
      <c r="J27" s="2"/>
      <c r="K27" s="2"/>
      <c r="L27" s="4">
        <f t="shared" si="3"/>
        <v>446.66666666666669</v>
      </c>
      <c r="M27" s="4"/>
      <c r="N27" s="4"/>
      <c r="O27" s="36">
        <f t="shared" si="4"/>
        <v>6253.333333333333</v>
      </c>
      <c r="P27" s="2"/>
      <c r="Q27" s="1"/>
      <c r="R27" s="1"/>
      <c r="S27" s="1"/>
      <c r="T27" s="1"/>
    </row>
    <row r="28" spans="2:20" ht="19.899999999999999" customHeight="1">
      <c r="B28" s="2">
        <v>25</v>
      </c>
      <c r="C28" s="13" t="s">
        <v>119</v>
      </c>
      <c r="D28" s="11">
        <v>2850</v>
      </c>
      <c r="E28" s="4">
        <f t="shared" si="2"/>
        <v>95</v>
      </c>
      <c r="F28" s="2">
        <v>31</v>
      </c>
      <c r="G28" s="34">
        <v>3</v>
      </c>
      <c r="H28" s="2">
        <f t="shared" si="1"/>
        <v>27</v>
      </c>
      <c r="I28" s="4">
        <f t="shared" si="0"/>
        <v>2565</v>
      </c>
      <c r="J28" s="2"/>
      <c r="K28" s="2"/>
      <c r="L28" s="4">
        <f t="shared" si="3"/>
        <v>285</v>
      </c>
      <c r="M28" s="4"/>
      <c r="N28" s="4"/>
      <c r="O28" s="36">
        <f t="shared" si="4"/>
        <v>2565</v>
      </c>
      <c r="P28" s="2"/>
      <c r="Q28" s="1"/>
      <c r="R28" s="1"/>
      <c r="S28" s="1"/>
      <c r="T28" s="1"/>
    </row>
    <row r="29" spans="2:20" ht="19.899999999999999" customHeight="1">
      <c r="B29" s="2">
        <v>26</v>
      </c>
      <c r="C29" s="13" t="s">
        <v>15</v>
      </c>
      <c r="D29" s="11">
        <v>2850</v>
      </c>
      <c r="E29" s="4">
        <f t="shared" si="2"/>
        <v>95</v>
      </c>
      <c r="F29" s="2">
        <v>31</v>
      </c>
      <c r="G29" s="34">
        <v>1.5</v>
      </c>
      <c r="H29" s="2">
        <f t="shared" si="1"/>
        <v>28.5</v>
      </c>
      <c r="I29" s="4">
        <f t="shared" si="0"/>
        <v>2707.5</v>
      </c>
      <c r="J29" s="2"/>
      <c r="K29" s="2"/>
      <c r="L29" s="4">
        <f t="shared" si="3"/>
        <v>142.5</v>
      </c>
      <c r="M29" s="4"/>
      <c r="N29" s="4"/>
      <c r="O29" s="36">
        <f t="shared" si="4"/>
        <v>2707.5</v>
      </c>
      <c r="P29" s="2"/>
      <c r="Q29" s="1"/>
      <c r="R29" s="1"/>
      <c r="S29" s="1"/>
      <c r="T29" s="1"/>
    </row>
    <row r="30" spans="2:20" ht="19.899999999999999" customHeight="1">
      <c r="B30" s="2">
        <v>27</v>
      </c>
      <c r="C30" s="13" t="s">
        <v>88</v>
      </c>
      <c r="D30" s="11">
        <v>3500</v>
      </c>
      <c r="E30" s="4">
        <f t="shared" si="2"/>
        <v>116.66666666666667</v>
      </c>
      <c r="F30" s="2">
        <v>31</v>
      </c>
      <c r="G30" s="34">
        <v>0</v>
      </c>
      <c r="H30" s="2">
        <f t="shared" si="1"/>
        <v>30</v>
      </c>
      <c r="I30" s="4">
        <f t="shared" si="0"/>
        <v>3500</v>
      </c>
      <c r="J30" s="2">
        <v>500</v>
      </c>
      <c r="K30" s="2"/>
      <c r="L30" s="4">
        <f t="shared" si="3"/>
        <v>0</v>
      </c>
      <c r="M30" s="4"/>
      <c r="N30" s="4"/>
      <c r="O30" s="36">
        <f t="shared" si="4"/>
        <v>3000</v>
      </c>
      <c r="P30" s="2"/>
      <c r="Q30" s="1"/>
      <c r="R30" s="1"/>
      <c r="S30" s="1"/>
      <c r="T30" s="1"/>
    </row>
    <row r="31" spans="2:20" ht="19.899999999999999" customHeight="1">
      <c r="B31" s="2">
        <v>28</v>
      </c>
      <c r="C31" s="13" t="s">
        <v>83</v>
      </c>
      <c r="D31" s="11">
        <v>20000</v>
      </c>
      <c r="E31" s="4">
        <f t="shared" si="2"/>
        <v>666.66666666666663</v>
      </c>
      <c r="F31" s="2">
        <v>31</v>
      </c>
      <c r="G31" s="34">
        <v>2.5</v>
      </c>
      <c r="H31" s="2">
        <f t="shared" si="1"/>
        <v>27.5</v>
      </c>
      <c r="I31" s="4">
        <f t="shared" si="0"/>
        <v>18333.333333333332</v>
      </c>
      <c r="J31" s="2"/>
      <c r="K31" s="2">
        <v>125</v>
      </c>
      <c r="L31" s="4">
        <f t="shared" si="3"/>
        <v>1666.6666666666665</v>
      </c>
      <c r="M31" s="4"/>
      <c r="N31" s="4"/>
      <c r="O31" s="36">
        <f t="shared" si="4"/>
        <v>18208.333333333332</v>
      </c>
      <c r="P31" s="2"/>
      <c r="Q31" s="1"/>
      <c r="R31" s="1"/>
      <c r="S31" s="1"/>
      <c r="T31" s="1"/>
    </row>
    <row r="32" spans="2:20" ht="19.899999999999999" customHeight="1">
      <c r="B32" s="2"/>
      <c r="C32" s="13"/>
      <c r="D32" s="11"/>
      <c r="E32" s="4"/>
      <c r="F32" s="2"/>
      <c r="G32" s="34"/>
      <c r="H32" s="2"/>
      <c r="I32" s="4"/>
      <c r="J32" s="2"/>
      <c r="K32" s="2"/>
      <c r="L32" s="4"/>
      <c r="M32" s="4"/>
      <c r="N32" s="4"/>
      <c r="O32" s="36"/>
      <c r="P32" s="2"/>
      <c r="Q32" s="1"/>
      <c r="R32" s="1"/>
      <c r="S32" s="1"/>
      <c r="T32" s="1"/>
    </row>
    <row r="33" spans="2:20" ht="19.899999999999999" customHeight="1">
      <c r="B33" s="2">
        <v>29</v>
      </c>
      <c r="C33" s="13" t="s">
        <v>124</v>
      </c>
      <c r="D33" s="11">
        <v>3100</v>
      </c>
      <c r="E33" s="4">
        <f t="shared" si="2"/>
        <v>103.33333333333333</v>
      </c>
      <c r="F33" s="2">
        <v>31</v>
      </c>
      <c r="G33" s="34">
        <v>1</v>
      </c>
      <c r="H33" s="2">
        <f t="shared" si="1"/>
        <v>29</v>
      </c>
      <c r="I33" s="4">
        <f t="shared" si="0"/>
        <v>2996.6666666666665</v>
      </c>
      <c r="J33" s="2"/>
      <c r="K33" s="2"/>
      <c r="L33" s="4">
        <f t="shared" si="3"/>
        <v>103.33333333333333</v>
      </c>
      <c r="M33" s="4"/>
      <c r="N33" s="4"/>
      <c r="O33" s="36">
        <f t="shared" si="4"/>
        <v>2996.6666666666665</v>
      </c>
      <c r="P33" s="2"/>
      <c r="Q33" s="1"/>
      <c r="R33" s="1"/>
      <c r="S33" s="1"/>
      <c r="T33" s="1"/>
    </row>
    <row r="34" spans="2:20" ht="19.899999999999999" customHeight="1">
      <c r="B34" s="2">
        <v>30</v>
      </c>
      <c r="C34" s="13" t="s">
        <v>79</v>
      </c>
      <c r="D34" s="11">
        <v>2500</v>
      </c>
      <c r="E34" s="4">
        <f t="shared" si="2"/>
        <v>83.333333333333329</v>
      </c>
      <c r="F34" s="2">
        <v>31</v>
      </c>
      <c r="G34" s="34">
        <v>0</v>
      </c>
      <c r="H34" s="2">
        <f t="shared" si="1"/>
        <v>30</v>
      </c>
      <c r="I34" s="4">
        <f t="shared" si="0"/>
        <v>2500</v>
      </c>
      <c r="J34" s="2"/>
      <c r="K34" s="2"/>
      <c r="L34" s="4">
        <f t="shared" si="3"/>
        <v>0</v>
      </c>
      <c r="M34" s="4"/>
      <c r="N34" s="4"/>
      <c r="O34" s="36">
        <f t="shared" si="4"/>
        <v>2500</v>
      </c>
      <c r="P34" s="2"/>
      <c r="Q34" s="1"/>
      <c r="R34" s="1"/>
      <c r="S34" s="1"/>
      <c r="T34" s="1"/>
    </row>
    <row r="35" spans="2:20" ht="19.899999999999999" customHeight="1">
      <c r="B35" s="2">
        <v>31</v>
      </c>
      <c r="C35" s="13" t="s">
        <v>85</v>
      </c>
      <c r="D35" s="11">
        <v>2500</v>
      </c>
      <c r="E35" s="4">
        <f t="shared" si="2"/>
        <v>83.333333333333329</v>
      </c>
      <c r="F35" s="2">
        <v>31</v>
      </c>
      <c r="G35" s="34">
        <v>3.5</v>
      </c>
      <c r="H35" s="2">
        <f t="shared" si="1"/>
        <v>26.5</v>
      </c>
      <c r="I35" s="4">
        <f t="shared" si="0"/>
        <v>2208.3333333333335</v>
      </c>
      <c r="J35" s="2"/>
      <c r="K35" s="2"/>
      <c r="L35" s="4">
        <f t="shared" si="3"/>
        <v>291.66666666666663</v>
      </c>
      <c r="M35" s="4"/>
      <c r="N35" s="4"/>
      <c r="O35" s="36">
        <f t="shared" si="4"/>
        <v>2208.3333333333335</v>
      </c>
      <c r="P35" s="2"/>
    </row>
    <row r="36" spans="2:20" ht="19.899999999999999" customHeight="1">
      <c r="B36" s="2">
        <v>32</v>
      </c>
      <c r="C36" s="13" t="s">
        <v>78</v>
      </c>
      <c r="D36" s="11">
        <v>3000</v>
      </c>
      <c r="E36" s="4">
        <f t="shared" si="2"/>
        <v>100</v>
      </c>
      <c r="F36" s="2">
        <v>31</v>
      </c>
      <c r="G36" s="34">
        <v>1.5</v>
      </c>
      <c r="H36" s="2">
        <f t="shared" si="1"/>
        <v>28.5</v>
      </c>
      <c r="I36" s="4">
        <f t="shared" si="0"/>
        <v>2850</v>
      </c>
      <c r="J36" s="2"/>
      <c r="K36" s="2"/>
      <c r="L36" s="4">
        <f t="shared" si="3"/>
        <v>150</v>
      </c>
      <c r="M36" s="4"/>
      <c r="N36" s="4"/>
      <c r="O36" s="36">
        <f t="shared" si="4"/>
        <v>2850</v>
      </c>
      <c r="P36" s="2"/>
    </row>
    <row r="37" spans="2:20" ht="19.899999999999999" customHeight="1">
      <c r="B37" s="2">
        <v>33</v>
      </c>
      <c r="C37" s="13" t="s">
        <v>86</v>
      </c>
      <c r="D37" s="11">
        <v>18000</v>
      </c>
      <c r="E37" s="4">
        <f t="shared" si="2"/>
        <v>600</v>
      </c>
      <c r="F37" s="2">
        <v>31</v>
      </c>
      <c r="G37" s="34">
        <v>0</v>
      </c>
      <c r="H37" s="2">
        <f t="shared" si="1"/>
        <v>30</v>
      </c>
      <c r="I37" s="4">
        <f t="shared" si="0"/>
        <v>18000</v>
      </c>
      <c r="J37" s="2">
        <v>17000</v>
      </c>
      <c r="K37" s="2">
        <v>1000</v>
      </c>
      <c r="L37" s="4">
        <f>SUM(G37*E37)</f>
        <v>0</v>
      </c>
      <c r="M37" s="4"/>
      <c r="N37" s="4"/>
      <c r="O37" s="36">
        <f t="shared" si="4"/>
        <v>0</v>
      </c>
      <c r="P37" s="4"/>
      <c r="Q37" s="40"/>
    </row>
    <row r="38" spans="2:20" ht="19.899999999999999" customHeight="1">
      <c r="B38" s="2">
        <v>34</v>
      </c>
      <c r="C38" s="13" t="s">
        <v>31</v>
      </c>
      <c r="D38" s="11">
        <v>5900</v>
      </c>
      <c r="E38" s="4">
        <f t="shared" si="2"/>
        <v>196.66666666666666</v>
      </c>
      <c r="F38" s="2">
        <v>31</v>
      </c>
      <c r="G38" s="34">
        <v>3</v>
      </c>
      <c r="H38" s="2">
        <f t="shared" si="1"/>
        <v>27</v>
      </c>
      <c r="I38" s="4">
        <f t="shared" si="0"/>
        <v>5310</v>
      </c>
      <c r="J38" s="2"/>
      <c r="K38" s="2"/>
      <c r="L38" s="4">
        <f t="shared" si="3"/>
        <v>590</v>
      </c>
      <c r="M38" s="4"/>
      <c r="N38" s="4"/>
      <c r="O38" s="36">
        <f t="shared" si="4"/>
        <v>5310</v>
      </c>
      <c r="P38" s="2"/>
    </row>
    <row r="39" spans="2:20" ht="19.899999999999999" customHeight="1">
      <c r="B39" s="2">
        <v>35</v>
      </c>
      <c r="C39" s="13" t="s">
        <v>89</v>
      </c>
      <c r="D39" s="16">
        <v>2500</v>
      </c>
      <c r="E39" s="17">
        <f t="shared" si="2"/>
        <v>83.333333333333329</v>
      </c>
      <c r="F39" s="2">
        <v>31</v>
      </c>
      <c r="G39" s="35">
        <v>0</v>
      </c>
      <c r="H39" s="2">
        <f t="shared" si="1"/>
        <v>30</v>
      </c>
      <c r="I39" s="17">
        <f t="shared" si="0"/>
        <v>2500</v>
      </c>
      <c r="J39" s="18"/>
      <c r="K39" s="18"/>
      <c r="L39" s="17">
        <f t="shared" si="3"/>
        <v>0</v>
      </c>
      <c r="M39" s="17"/>
      <c r="N39" s="17"/>
      <c r="O39" s="36">
        <f t="shared" si="4"/>
        <v>2500</v>
      </c>
      <c r="P39" s="2"/>
    </row>
    <row r="40" spans="2:20" ht="19.899999999999999" customHeight="1">
      <c r="B40" s="2">
        <v>36</v>
      </c>
      <c r="C40" s="13" t="s">
        <v>93</v>
      </c>
      <c r="D40" s="16">
        <v>2500</v>
      </c>
      <c r="E40" s="17">
        <f t="shared" si="2"/>
        <v>83.333333333333329</v>
      </c>
      <c r="F40" s="2">
        <v>31</v>
      </c>
      <c r="G40" s="35">
        <v>0</v>
      </c>
      <c r="H40" s="2">
        <f t="shared" si="1"/>
        <v>30</v>
      </c>
      <c r="I40" s="17">
        <f t="shared" si="0"/>
        <v>2500</v>
      </c>
      <c r="J40" s="18"/>
      <c r="K40" s="18"/>
      <c r="L40" s="17">
        <f t="shared" si="3"/>
        <v>0</v>
      </c>
      <c r="M40" s="17"/>
      <c r="N40" s="17"/>
      <c r="O40" s="36">
        <f t="shared" si="4"/>
        <v>2500</v>
      </c>
      <c r="P40" s="2"/>
    </row>
    <row r="41" spans="2:20" ht="19.899999999999999" customHeight="1">
      <c r="B41" s="2">
        <v>37</v>
      </c>
      <c r="C41" s="13" t="s">
        <v>94</v>
      </c>
      <c r="D41" s="16">
        <v>2500</v>
      </c>
      <c r="E41" s="17">
        <f t="shared" si="2"/>
        <v>83.333333333333329</v>
      </c>
      <c r="F41" s="2">
        <v>31</v>
      </c>
      <c r="G41" s="35">
        <v>0</v>
      </c>
      <c r="H41" s="2">
        <f t="shared" si="1"/>
        <v>30</v>
      </c>
      <c r="I41" s="17">
        <f t="shared" si="0"/>
        <v>2500</v>
      </c>
      <c r="J41" s="18"/>
      <c r="K41" s="18"/>
      <c r="L41" s="17">
        <f t="shared" si="3"/>
        <v>0</v>
      </c>
      <c r="M41" s="17"/>
      <c r="N41" s="17"/>
      <c r="O41" s="36">
        <f t="shared" si="4"/>
        <v>2500</v>
      </c>
      <c r="P41" s="2"/>
    </row>
    <row r="42" spans="2:20" ht="19.899999999999999" customHeight="1">
      <c r="B42" s="2">
        <v>38</v>
      </c>
      <c r="C42" s="13" t="s">
        <v>99</v>
      </c>
      <c r="D42" s="16">
        <v>2500</v>
      </c>
      <c r="E42" s="17">
        <f t="shared" si="2"/>
        <v>83.333333333333329</v>
      </c>
      <c r="F42" s="2">
        <v>31</v>
      </c>
      <c r="G42" s="35">
        <v>4</v>
      </c>
      <c r="H42" s="2">
        <f t="shared" si="1"/>
        <v>26</v>
      </c>
      <c r="I42" s="17">
        <f t="shared" si="0"/>
        <v>2166.6666666666665</v>
      </c>
      <c r="J42" s="18"/>
      <c r="K42" s="18"/>
      <c r="L42" s="17">
        <f t="shared" si="3"/>
        <v>333.33333333333331</v>
      </c>
      <c r="M42" s="17"/>
      <c r="N42" s="17"/>
      <c r="O42" s="36">
        <f t="shared" si="4"/>
        <v>2166.6666666666665</v>
      </c>
      <c r="P42" s="2"/>
    </row>
    <row r="43" spans="2:20" ht="19.899999999999999" customHeight="1">
      <c r="B43" s="2">
        <v>39</v>
      </c>
      <c r="C43" s="13" t="s">
        <v>100</v>
      </c>
      <c r="D43" s="16">
        <v>2500</v>
      </c>
      <c r="E43" s="17">
        <f t="shared" si="2"/>
        <v>83.333333333333329</v>
      </c>
      <c r="F43" s="2">
        <v>31</v>
      </c>
      <c r="G43" s="35">
        <v>7.5</v>
      </c>
      <c r="H43" s="2">
        <f t="shared" si="1"/>
        <v>22.5</v>
      </c>
      <c r="I43" s="17">
        <f t="shared" si="0"/>
        <v>1875</v>
      </c>
      <c r="J43" s="18"/>
      <c r="K43" s="18"/>
      <c r="L43" s="17">
        <f t="shared" si="3"/>
        <v>625</v>
      </c>
      <c r="M43" s="17"/>
      <c r="N43" s="17"/>
      <c r="O43" s="36">
        <f t="shared" si="4"/>
        <v>1875</v>
      </c>
      <c r="P43" s="2"/>
    </row>
    <row r="44" spans="2:20" ht="19.899999999999999" customHeight="1">
      <c r="B44" s="2">
        <v>40</v>
      </c>
      <c r="C44" s="13" t="s">
        <v>101</v>
      </c>
      <c r="D44" s="16">
        <v>2500</v>
      </c>
      <c r="E44" s="17">
        <f t="shared" si="2"/>
        <v>83.333333333333329</v>
      </c>
      <c r="F44" s="2">
        <v>31</v>
      </c>
      <c r="G44" s="35">
        <v>0.5</v>
      </c>
      <c r="H44" s="2">
        <f t="shared" si="1"/>
        <v>29.5</v>
      </c>
      <c r="I44" s="17">
        <f t="shared" si="0"/>
        <v>2458.3333333333335</v>
      </c>
      <c r="J44" s="18"/>
      <c r="K44" s="18"/>
      <c r="L44" s="17">
        <f t="shared" si="3"/>
        <v>41.666666666666664</v>
      </c>
      <c r="M44" s="17"/>
      <c r="N44" s="17"/>
      <c r="O44" s="36">
        <f t="shared" si="4"/>
        <v>2458.3333333333335</v>
      </c>
      <c r="P44" s="2"/>
    </row>
    <row r="45" spans="2:20" ht="19.899999999999999" customHeight="1">
      <c r="B45" s="2">
        <v>41</v>
      </c>
      <c r="C45" s="13" t="s">
        <v>97</v>
      </c>
      <c r="D45" s="16">
        <v>2500</v>
      </c>
      <c r="E45" s="17">
        <f t="shared" si="2"/>
        <v>83.333333333333329</v>
      </c>
      <c r="F45" s="2">
        <v>31</v>
      </c>
      <c r="G45" s="35">
        <v>2.5</v>
      </c>
      <c r="H45" s="2">
        <f t="shared" si="1"/>
        <v>27.5</v>
      </c>
      <c r="I45" s="17">
        <f t="shared" si="0"/>
        <v>2291.6666666666665</v>
      </c>
      <c r="J45" s="18"/>
      <c r="K45" s="18"/>
      <c r="L45" s="17">
        <f t="shared" si="3"/>
        <v>208.33333333333331</v>
      </c>
      <c r="M45" s="17"/>
      <c r="N45" s="17"/>
      <c r="O45" s="36">
        <f t="shared" si="4"/>
        <v>2291.6666666666665</v>
      </c>
      <c r="P45" s="2"/>
    </row>
    <row r="46" spans="2:20" ht="19.899999999999999" customHeight="1">
      <c r="B46" s="2">
        <v>42</v>
      </c>
      <c r="C46" s="13" t="s">
        <v>103</v>
      </c>
      <c r="D46" s="16">
        <v>5000</v>
      </c>
      <c r="E46" s="17">
        <f t="shared" si="2"/>
        <v>166.66666666666666</v>
      </c>
      <c r="F46" s="2">
        <v>31</v>
      </c>
      <c r="G46" s="35">
        <v>6</v>
      </c>
      <c r="H46" s="2">
        <f t="shared" si="1"/>
        <v>24</v>
      </c>
      <c r="I46" s="17">
        <f t="shared" si="0"/>
        <v>4000</v>
      </c>
      <c r="J46" s="18"/>
      <c r="K46" s="18"/>
      <c r="L46" s="17">
        <f t="shared" si="3"/>
        <v>1000</v>
      </c>
      <c r="M46" s="17"/>
      <c r="N46" s="17"/>
      <c r="O46" s="36">
        <f t="shared" si="4"/>
        <v>4000</v>
      </c>
      <c r="P46" s="2"/>
    </row>
    <row r="47" spans="2:20" ht="19.899999999999999" customHeight="1">
      <c r="B47" s="2">
        <v>43</v>
      </c>
      <c r="C47" s="13" t="s">
        <v>104</v>
      </c>
      <c r="D47" s="16">
        <v>3000</v>
      </c>
      <c r="E47" s="17">
        <f t="shared" si="2"/>
        <v>100</v>
      </c>
      <c r="F47" s="2">
        <v>31</v>
      </c>
      <c r="G47" s="35">
        <v>1</v>
      </c>
      <c r="H47" s="2">
        <f t="shared" si="1"/>
        <v>29</v>
      </c>
      <c r="I47" s="17">
        <f t="shared" si="0"/>
        <v>2900</v>
      </c>
      <c r="J47" s="18"/>
      <c r="K47" s="18"/>
      <c r="L47" s="17">
        <f t="shared" si="3"/>
        <v>100</v>
      </c>
      <c r="M47" s="17"/>
      <c r="N47" s="17"/>
      <c r="O47" s="36">
        <f t="shared" si="4"/>
        <v>2900</v>
      </c>
      <c r="P47" s="2"/>
    </row>
    <row r="48" spans="2:20" ht="19.899999999999999" customHeight="1">
      <c r="B48" s="2">
        <v>44</v>
      </c>
      <c r="C48" s="13" t="s">
        <v>108</v>
      </c>
      <c r="D48" s="16">
        <v>2500</v>
      </c>
      <c r="E48" s="17">
        <f t="shared" si="2"/>
        <v>83.333333333333329</v>
      </c>
      <c r="F48" s="2">
        <v>31</v>
      </c>
      <c r="G48" s="35">
        <v>2</v>
      </c>
      <c r="H48" s="2">
        <f t="shared" si="1"/>
        <v>28</v>
      </c>
      <c r="I48" s="17">
        <f t="shared" si="0"/>
        <v>2333.3333333333335</v>
      </c>
      <c r="J48" s="18"/>
      <c r="K48" s="18"/>
      <c r="L48" s="17">
        <f t="shared" si="3"/>
        <v>166.66666666666666</v>
      </c>
      <c r="M48" s="17"/>
      <c r="N48" s="17"/>
      <c r="O48" s="36">
        <f t="shared" si="4"/>
        <v>2333.3333333333335</v>
      </c>
      <c r="P48" s="2"/>
    </row>
    <row r="49" spans="2:16" ht="19.899999999999999" customHeight="1">
      <c r="B49" s="2">
        <v>45</v>
      </c>
      <c r="C49" s="13" t="s">
        <v>111</v>
      </c>
      <c r="D49" s="38">
        <v>8500</v>
      </c>
      <c r="E49" s="17">
        <f t="shared" si="2"/>
        <v>283.33333333333331</v>
      </c>
      <c r="F49" s="2">
        <v>31</v>
      </c>
      <c r="G49" s="35">
        <v>1</v>
      </c>
      <c r="H49" s="2">
        <f t="shared" si="1"/>
        <v>29</v>
      </c>
      <c r="I49" s="17">
        <f t="shared" si="0"/>
        <v>8216.6666666666661</v>
      </c>
      <c r="J49" s="18">
        <v>4960</v>
      </c>
      <c r="K49" s="18">
        <f>35+35</f>
        <v>70</v>
      </c>
      <c r="L49" s="17">
        <f t="shared" si="3"/>
        <v>283.33333333333331</v>
      </c>
      <c r="M49" s="17"/>
      <c r="N49" s="17"/>
      <c r="O49" s="36">
        <f t="shared" si="4"/>
        <v>3186.6666666666661</v>
      </c>
      <c r="P49" s="2"/>
    </row>
    <row r="50" spans="2:16" ht="19.899999999999999" customHeight="1">
      <c r="B50" s="2">
        <v>46</v>
      </c>
      <c r="C50" s="13" t="s">
        <v>112</v>
      </c>
      <c r="D50" s="38">
        <v>3500</v>
      </c>
      <c r="E50" s="17">
        <f t="shared" si="2"/>
        <v>116.66666666666667</v>
      </c>
      <c r="F50" s="2">
        <v>31</v>
      </c>
      <c r="G50" s="35">
        <v>5.5</v>
      </c>
      <c r="H50" s="2">
        <f t="shared" si="1"/>
        <v>24.5</v>
      </c>
      <c r="I50" s="17">
        <f t="shared" si="0"/>
        <v>2858.333333333333</v>
      </c>
      <c r="J50" s="18">
        <v>1000</v>
      </c>
      <c r="K50" s="18"/>
      <c r="L50" s="17">
        <f t="shared" si="3"/>
        <v>641.66666666666674</v>
      </c>
      <c r="M50" s="17"/>
      <c r="N50" s="17"/>
      <c r="O50" s="36">
        <f t="shared" si="4"/>
        <v>1858.333333333333</v>
      </c>
      <c r="P50" s="2"/>
    </row>
    <row r="51" spans="2:16" ht="19.899999999999999" customHeight="1">
      <c r="B51" s="2">
        <v>47</v>
      </c>
      <c r="C51" s="13" t="s">
        <v>114</v>
      </c>
      <c r="D51" s="38">
        <v>12500</v>
      </c>
      <c r="E51" s="17">
        <f t="shared" si="2"/>
        <v>416.66666666666669</v>
      </c>
      <c r="F51" s="2">
        <v>31</v>
      </c>
      <c r="G51" s="35">
        <v>1</v>
      </c>
      <c r="H51" s="2">
        <f t="shared" si="1"/>
        <v>29</v>
      </c>
      <c r="I51" s="17">
        <f t="shared" si="0"/>
        <v>12083.333333333334</v>
      </c>
      <c r="J51" s="18"/>
      <c r="K51" s="18"/>
      <c r="L51" s="17">
        <f t="shared" si="3"/>
        <v>416.66666666666669</v>
      </c>
      <c r="M51" s="17"/>
      <c r="N51" s="17"/>
      <c r="O51" s="36">
        <f t="shared" si="4"/>
        <v>12083.333333333334</v>
      </c>
      <c r="P51" s="2"/>
    </row>
    <row r="52" spans="2:16" ht="19.899999999999999" customHeight="1">
      <c r="B52" s="2">
        <v>48</v>
      </c>
      <c r="C52" s="13" t="s">
        <v>110</v>
      </c>
      <c r="D52" s="38">
        <v>8000</v>
      </c>
      <c r="E52" s="17">
        <f t="shared" si="2"/>
        <v>266.66666666666669</v>
      </c>
      <c r="F52" s="2">
        <v>31</v>
      </c>
      <c r="G52" s="35">
        <v>18</v>
      </c>
      <c r="H52" s="2">
        <f t="shared" si="1"/>
        <v>12</v>
      </c>
      <c r="I52" s="17">
        <f t="shared" si="0"/>
        <v>3200</v>
      </c>
      <c r="J52" s="18"/>
      <c r="K52" s="18"/>
      <c r="L52" s="17">
        <f t="shared" si="3"/>
        <v>4800</v>
      </c>
      <c r="M52" s="17"/>
      <c r="N52" s="17"/>
      <c r="O52" s="36">
        <f t="shared" si="4"/>
        <v>3200</v>
      </c>
      <c r="P52" s="2"/>
    </row>
    <row r="53" spans="2:16" ht="19.899999999999999" customHeight="1">
      <c r="B53" s="2">
        <v>49</v>
      </c>
      <c r="C53" s="13" t="s">
        <v>117</v>
      </c>
      <c r="D53" s="38">
        <v>2500</v>
      </c>
      <c r="E53" s="17">
        <f t="shared" si="2"/>
        <v>83.333333333333329</v>
      </c>
      <c r="F53" s="2">
        <v>31</v>
      </c>
      <c r="G53" s="35">
        <v>2</v>
      </c>
      <c r="H53" s="2">
        <f t="shared" si="1"/>
        <v>28</v>
      </c>
      <c r="I53" s="17">
        <f t="shared" si="0"/>
        <v>2333.3333333333335</v>
      </c>
      <c r="J53" s="18"/>
      <c r="K53" s="18"/>
      <c r="L53" s="17">
        <f t="shared" si="3"/>
        <v>166.66666666666666</v>
      </c>
      <c r="M53" s="17"/>
      <c r="N53" s="17"/>
      <c r="O53" s="36">
        <f t="shared" si="4"/>
        <v>2333.3333333333335</v>
      </c>
      <c r="P53" s="2"/>
    </row>
    <row r="54" spans="2:16" ht="19.899999999999999" customHeight="1">
      <c r="B54" s="2">
        <v>50</v>
      </c>
      <c r="C54" s="13" t="s">
        <v>118</v>
      </c>
      <c r="D54" s="38">
        <v>2500</v>
      </c>
      <c r="E54" s="17">
        <f t="shared" si="2"/>
        <v>83.333333333333329</v>
      </c>
      <c r="F54" s="2">
        <v>31</v>
      </c>
      <c r="G54" s="35">
        <v>10</v>
      </c>
      <c r="H54" s="2">
        <f t="shared" si="1"/>
        <v>20</v>
      </c>
      <c r="I54" s="17">
        <f t="shared" si="0"/>
        <v>1666.6666666666667</v>
      </c>
      <c r="J54" s="18"/>
      <c r="K54" s="18"/>
      <c r="L54" s="17">
        <f t="shared" si="3"/>
        <v>833.33333333333326</v>
      </c>
      <c r="M54" s="17"/>
      <c r="N54" s="17"/>
      <c r="O54" s="36">
        <f t="shared" si="4"/>
        <v>1666.6666666666667</v>
      </c>
      <c r="P54" s="2"/>
    </row>
    <row r="55" spans="2:16" ht="19.899999999999999" customHeight="1">
      <c r="B55" s="2">
        <v>51</v>
      </c>
      <c r="C55" s="13" t="s">
        <v>120</v>
      </c>
      <c r="D55" s="38">
        <v>2500</v>
      </c>
      <c r="E55" s="17">
        <f t="shared" si="2"/>
        <v>83.333333333333329</v>
      </c>
      <c r="F55" s="2">
        <v>31</v>
      </c>
      <c r="G55" s="35">
        <v>8.5</v>
      </c>
      <c r="H55" s="2">
        <f t="shared" si="1"/>
        <v>21.5</v>
      </c>
      <c r="I55" s="17">
        <f t="shared" si="0"/>
        <v>1791.6666666666667</v>
      </c>
      <c r="J55" s="18"/>
      <c r="K55" s="18"/>
      <c r="L55" s="17">
        <f t="shared" si="3"/>
        <v>708.33333333333326</v>
      </c>
      <c r="M55" s="17"/>
      <c r="N55" s="17"/>
      <c r="O55" s="36">
        <f t="shared" si="4"/>
        <v>1791.6666666666667</v>
      </c>
      <c r="P55" s="2"/>
    </row>
    <row r="56" spans="2:16" ht="19.899999999999999" customHeight="1" thickBot="1">
      <c r="B56" s="2">
        <v>52</v>
      </c>
      <c r="C56" s="13" t="s">
        <v>39</v>
      </c>
      <c r="D56" s="16">
        <v>3850</v>
      </c>
      <c r="E56" s="17">
        <f t="shared" si="2"/>
        <v>128.33333333333334</v>
      </c>
      <c r="F56" s="2">
        <v>31</v>
      </c>
      <c r="G56" s="18">
        <v>1</v>
      </c>
      <c r="H56" s="2">
        <f t="shared" si="1"/>
        <v>29</v>
      </c>
      <c r="I56" s="17">
        <f t="shared" si="0"/>
        <v>3721.6666666666665</v>
      </c>
      <c r="J56" s="18"/>
      <c r="K56" s="18"/>
      <c r="L56" s="17">
        <f t="shared" si="3"/>
        <v>128.33333333333334</v>
      </c>
      <c r="M56" s="17"/>
      <c r="N56" s="17"/>
      <c r="O56" s="36">
        <f t="shared" si="4"/>
        <v>3721.6666666666665</v>
      </c>
      <c r="P56" s="2"/>
    </row>
    <row r="57" spans="2:16" ht="19.899999999999999" customHeight="1">
      <c r="B57" s="2"/>
      <c r="C57" s="14" t="s">
        <v>40</v>
      </c>
      <c r="D57" s="19">
        <f>SUM(D4:D56)</f>
        <v>287100</v>
      </c>
      <c r="E57" s="22"/>
      <c r="F57" s="20"/>
      <c r="G57" s="22"/>
      <c r="H57" s="20"/>
      <c r="I57" s="24">
        <f>SUM(I4:I56)</f>
        <v>262417.50000000006</v>
      </c>
      <c r="J57" s="20">
        <f>SUM(J4:J56)</f>
        <v>42720</v>
      </c>
      <c r="K57" s="20">
        <f t="shared" ref="K57:O57" si="5">SUM(K4:K56)</f>
        <v>1855</v>
      </c>
      <c r="L57" s="44">
        <f t="shared" si="5"/>
        <v>24682.5</v>
      </c>
      <c r="M57" s="44">
        <f t="shared" si="5"/>
        <v>1344</v>
      </c>
      <c r="N57" s="20">
        <f t="shared" si="5"/>
        <v>282</v>
      </c>
      <c r="O57" s="39">
        <f t="shared" si="5"/>
        <v>216216.5</v>
      </c>
      <c r="P57" s="2"/>
    </row>
    <row r="58" spans="2:16" ht="19.899999999999999" customHeight="1" thickBot="1">
      <c r="B58" s="10"/>
      <c r="C58" s="15"/>
      <c r="D58" s="21"/>
      <c r="E58" s="23"/>
      <c r="F58" s="12"/>
      <c r="G58" s="23"/>
      <c r="H58" s="12"/>
      <c r="I58" s="23"/>
      <c r="J58" s="45"/>
      <c r="K58" s="12"/>
      <c r="L58" s="45"/>
      <c r="M58" s="23"/>
      <c r="N58" s="23"/>
      <c r="O58" s="32"/>
      <c r="P58" s="2"/>
    </row>
    <row r="59" spans="2:16">
      <c r="B59" s="10"/>
      <c r="I59" s="43"/>
      <c r="L59" s="43"/>
    </row>
    <row r="60" spans="2:16" ht="26.25">
      <c r="C60" s="26" t="s">
        <v>121</v>
      </c>
      <c r="D60" s="26"/>
      <c r="E60" s="26"/>
      <c r="F60" s="26"/>
      <c r="G60" s="26" t="s">
        <v>122</v>
      </c>
      <c r="H60" s="26"/>
      <c r="I60" s="26"/>
      <c r="J60" s="26"/>
      <c r="K60" s="26"/>
      <c r="L60" s="26"/>
      <c r="M60" s="26" t="s">
        <v>92</v>
      </c>
      <c r="N60" s="26"/>
    </row>
    <row r="61" spans="2:16" ht="26.2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2:16">
      <c r="B62" s="1"/>
    </row>
    <row r="63" spans="2:16">
      <c r="B63" s="27"/>
    </row>
  </sheetData>
  <pageMargins left="0.12" right="0.21" top="0.32" bottom="0.32" header="0.3" footer="0.3"/>
  <pageSetup scale="95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S64"/>
  <sheetViews>
    <sheetView topLeftCell="A43" workbookViewId="0">
      <selection activeCell="I58" sqref="I58"/>
    </sheetView>
  </sheetViews>
  <sheetFormatPr defaultRowHeight="15"/>
  <cols>
    <col min="1" max="1" width="0.140625" customWidth="1"/>
    <col min="2" max="2" width="2.85546875" customWidth="1"/>
    <col min="3" max="3" width="35.42578125" bestFit="1" customWidth="1"/>
    <col min="4" max="4" width="8.7109375" customWidth="1"/>
    <col min="5" max="5" width="11.28515625" customWidth="1"/>
    <col min="6" max="6" width="7.140625" customWidth="1"/>
    <col min="7" max="7" width="5" customWidth="1"/>
    <col min="8" max="8" width="6.85546875" customWidth="1"/>
    <col min="9" max="9" width="10" customWidth="1"/>
    <col min="10" max="10" width="7.28515625" customWidth="1"/>
    <col min="11" max="11" width="9.85546875" customWidth="1"/>
    <col min="12" max="12" width="7.28515625" customWidth="1"/>
    <col min="13" max="13" width="5.42578125" customWidth="1"/>
    <col min="14" max="14" width="11.7109375" customWidth="1"/>
    <col min="15" max="15" width="22.28515625" customWidth="1"/>
    <col min="16" max="16" width="10.42578125" customWidth="1"/>
  </cols>
  <sheetData>
    <row r="1" spans="2:19">
      <c r="C1" s="6"/>
    </row>
    <row r="2" spans="2:19" ht="36">
      <c r="D2" t="s">
        <v>41</v>
      </c>
      <c r="E2" s="8" t="s">
        <v>106</v>
      </c>
      <c r="F2" s="8"/>
      <c r="G2" s="8"/>
      <c r="H2" s="9"/>
      <c r="I2" s="5"/>
      <c r="J2" s="5"/>
    </row>
    <row r="3" spans="2:19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33</v>
      </c>
      <c r="L3" s="2" t="s">
        <v>37</v>
      </c>
      <c r="M3" s="2" t="s">
        <v>38</v>
      </c>
      <c r="N3" s="28" t="s">
        <v>40</v>
      </c>
      <c r="O3" s="2" t="s">
        <v>105</v>
      </c>
      <c r="P3" s="1"/>
      <c r="Q3" s="1"/>
      <c r="R3" s="1"/>
      <c r="S3" s="1"/>
    </row>
    <row r="4" spans="2:19" ht="19.899999999999999" customHeight="1">
      <c r="B4" s="2">
        <v>1</v>
      </c>
      <c r="C4" s="13" t="s">
        <v>6</v>
      </c>
      <c r="D4" s="11">
        <v>11700</v>
      </c>
      <c r="E4" s="4">
        <f>SUM(D4/30)</f>
        <v>390</v>
      </c>
      <c r="F4" s="2">
        <v>30</v>
      </c>
      <c r="G4" s="33">
        <v>1</v>
      </c>
      <c r="H4" s="2">
        <f>30-G4</f>
        <v>29</v>
      </c>
      <c r="I4" s="4">
        <f t="shared" ref="I4:I35" si="0">SUM(D4-K4)</f>
        <v>11310</v>
      </c>
      <c r="J4" s="2">
        <v>4000</v>
      </c>
      <c r="K4" s="4">
        <f>SUM(G4*E4)</f>
        <v>390</v>
      </c>
      <c r="L4" s="4">
        <v>252</v>
      </c>
      <c r="M4" s="2">
        <v>53</v>
      </c>
      <c r="N4" s="36">
        <f>SUM(I4-J4-L4-M4)</f>
        <v>7005</v>
      </c>
      <c r="O4" s="2"/>
      <c r="P4" s="1"/>
      <c r="Q4" s="1"/>
      <c r="R4" s="1"/>
      <c r="S4" s="1"/>
    </row>
    <row r="5" spans="2:19" ht="19.899999999999999" customHeight="1">
      <c r="B5" s="2">
        <v>2</v>
      </c>
      <c r="C5" s="13" t="s">
        <v>7</v>
      </c>
      <c r="D5" s="11">
        <v>10200</v>
      </c>
      <c r="E5" s="4">
        <f>SUM(D5/30)</f>
        <v>340</v>
      </c>
      <c r="F5" s="2">
        <v>30</v>
      </c>
      <c r="G5" s="33">
        <v>3</v>
      </c>
      <c r="H5" s="2">
        <f t="shared" ref="H5:H57" si="1">30-G5</f>
        <v>27</v>
      </c>
      <c r="I5" s="4">
        <f t="shared" si="0"/>
        <v>9180</v>
      </c>
      <c r="J5" s="2">
        <v>4000</v>
      </c>
      <c r="K5" s="4">
        <f>SUM(G5*E5)</f>
        <v>1020</v>
      </c>
      <c r="L5" s="4">
        <v>252</v>
      </c>
      <c r="M5" s="2">
        <v>53</v>
      </c>
      <c r="N5" s="36">
        <f>SUM(I5-J5-L5-M5)</f>
        <v>4875</v>
      </c>
      <c r="O5" s="2"/>
      <c r="P5" s="1"/>
      <c r="Q5" s="1"/>
      <c r="R5" s="1"/>
      <c r="S5" s="1"/>
    </row>
    <row r="6" spans="2:19" ht="19.899999999999999" customHeight="1">
      <c r="B6" s="2">
        <v>3</v>
      </c>
      <c r="C6" s="13" t="s">
        <v>8</v>
      </c>
      <c r="D6" s="11">
        <v>9500</v>
      </c>
      <c r="E6" s="4">
        <f t="shared" ref="E6:E57" si="2">SUM(D6/30)</f>
        <v>316.66666666666669</v>
      </c>
      <c r="F6" s="2">
        <v>30</v>
      </c>
      <c r="G6" s="33">
        <v>1.5</v>
      </c>
      <c r="H6" s="2">
        <f t="shared" si="1"/>
        <v>28.5</v>
      </c>
      <c r="I6" s="4">
        <f t="shared" si="0"/>
        <v>9025</v>
      </c>
      <c r="J6" s="2"/>
      <c r="K6" s="4">
        <f t="shared" ref="K6:K57" si="3">SUM(G6*E6)</f>
        <v>475</v>
      </c>
      <c r="L6" s="4">
        <v>252</v>
      </c>
      <c r="M6" s="2">
        <v>53</v>
      </c>
      <c r="N6" s="36">
        <f>SUM(I6-J6-L6-M6)</f>
        <v>8720</v>
      </c>
      <c r="O6">
        <v>8036</v>
      </c>
      <c r="P6" s="41">
        <v>1000</v>
      </c>
      <c r="Q6" s="41">
        <f>+N6-P6</f>
        <v>7720</v>
      </c>
      <c r="R6" s="41">
        <f>+O6-Q6</f>
        <v>316</v>
      </c>
      <c r="S6" s="1"/>
    </row>
    <row r="7" spans="2:19" ht="19.899999999999999" customHeight="1">
      <c r="B7" s="2">
        <v>4</v>
      </c>
      <c r="C7" s="13" t="s">
        <v>9</v>
      </c>
      <c r="D7" s="11">
        <v>8400</v>
      </c>
      <c r="E7" s="4">
        <f t="shared" si="2"/>
        <v>280</v>
      </c>
      <c r="F7" s="2">
        <v>30</v>
      </c>
      <c r="G7" s="34">
        <v>0</v>
      </c>
      <c r="H7" s="2">
        <f t="shared" si="1"/>
        <v>30</v>
      </c>
      <c r="I7" s="4">
        <f t="shared" si="0"/>
        <v>8400</v>
      </c>
      <c r="J7" s="2">
        <v>2000</v>
      </c>
      <c r="K7" s="4">
        <f t="shared" si="3"/>
        <v>0</v>
      </c>
      <c r="L7" s="4">
        <v>252</v>
      </c>
      <c r="M7" s="2">
        <v>53</v>
      </c>
      <c r="N7" s="36">
        <f t="shared" ref="N7:N38" si="4">SUM(I7-J7-L7-M7)</f>
        <v>6095</v>
      </c>
      <c r="O7" s="2">
        <v>1000</v>
      </c>
      <c r="P7" s="1"/>
      <c r="Q7" s="1"/>
      <c r="R7" s="1"/>
      <c r="S7" s="1"/>
    </row>
    <row r="8" spans="2:19" ht="19.899999999999999" customHeight="1">
      <c r="B8" s="2">
        <v>5</v>
      </c>
      <c r="C8" s="13" t="s">
        <v>22</v>
      </c>
      <c r="D8" s="11">
        <v>12000</v>
      </c>
      <c r="E8" s="4">
        <f>SUM(D8/30)</f>
        <v>400</v>
      </c>
      <c r="F8" s="2">
        <v>30</v>
      </c>
      <c r="G8" s="33">
        <v>4</v>
      </c>
      <c r="H8" s="2">
        <f t="shared" si="1"/>
        <v>26</v>
      </c>
      <c r="I8" s="4">
        <f t="shared" si="0"/>
        <v>10400</v>
      </c>
      <c r="J8" s="2">
        <v>2000</v>
      </c>
      <c r="K8" s="4">
        <f>SUM(G8*E8)</f>
        <v>1600</v>
      </c>
      <c r="L8" s="4">
        <v>336</v>
      </c>
      <c r="M8" s="4">
        <v>70</v>
      </c>
      <c r="N8" s="36">
        <f t="shared" si="4"/>
        <v>7994</v>
      </c>
      <c r="O8" s="46">
        <f>+N6-O7</f>
        <v>7720</v>
      </c>
    </row>
    <row r="9" spans="2:19" ht="19.899999999999999" customHeight="1">
      <c r="B9" s="2">
        <v>6</v>
      </c>
      <c r="C9" s="13" t="s">
        <v>11</v>
      </c>
      <c r="D9" s="11">
        <v>7800</v>
      </c>
      <c r="E9" s="4">
        <f t="shared" si="2"/>
        <v>260</v>
      </c>
      <c r="F9" s="2">
        <v>30</v>
      </c>
      <c r="G9" s="34">
        <v>1</v>
      </c>
      <c r="H9" s="2">
        <f t="shared" si="1"/>
        <v>29</v>
      </c>
      <c r="I9" s="4">
        <f t="shared" si="0"/>
        <v>7540</v>
      </c>
      <c r="J9" s="2">
        <v>2000</v>
      </c>
      <c r="K9" s="4">
        <f t="shared" si="3"/>
        <v>260</v>
      </c>
      <c r="L9" s="4"/>
      <c r="M9" s="4"/>
      <c r="N9" s="36">
        <f t="shared" si="4"/>
        <v>5540</v>
      </c>
      <c r="O9" s="46">
        <f>+O6-O8</f>
        <v>316</v>
      </c>
      <c r="P9" s="1" t="s">
        <v>115</v>
      </c>
      <c r="Q9" s="1"/>
      <c r="R9" s="1"/>
      <c r="S9" s="1"/>
    </row>
    <row r="10" spans="2:19" ht="19.899999999999999" customHeight="1">
      <c r="B10" s="2">
        <v>7</v>
      </c>
      <c r="C10" s="13" t="s">
        <v>12</v>
      </c>
      <c r="D10" s="11">
        <v>7050</v>
      </c>
      <c r="E10" s="4">
        <f t="shared" si="2"/>
        <v>235</v>
      </c>
      <c r="F10" s="2">
        <v>30</v>
      </c>
      <c r="G10" s="34">
        <v>1.5</v>
      </c>
      <c r="H10" s="2">
        <f t="shared" si="1"/>
        <v>28.5</v>
      </c>
      <c r="I10" s="4">
        <f t="shared" si="0"/>
        <v>6697.5</v>
      </c>
      <c r="J10" s="2">
        <v>500</v>
      </c>
      <c r="K10" s="4">
        <f t="shared" si="3"/>
        <v>352.5</v>
      </c>
      <c r="L10" s="4"/>
      <c r="M10" s="4"/>
      <c r="N10" s="36">
        <f t="shared" si="4"/>
        <v>6197.5</v>
      </c>
      <c r="O10" s="2"/>
      <c r="P10" s="1"/>
      <c r="Q10" s="1"/>
      <c r="R10" s="1"/>
      <c r="S10" s="1"/>
    </row>
    <row r="11" spans="2:19" ht="19.899999999999999" customHeight="1">
      <c r="B11" s="2">
        <v>8</v>
      </c>
      <c r="C11" s="13" t="s">
        <v>13</v>
      </c>
      <c r="D11" s="11">
        <v>10000</v>
      </c>
      <c r="E11" s="4">
        <f t="shared" si="2"/>
        <v>333.33333333333331</v>
      </c>
      <c r="F11" s="2">
        <v>30</v>
      </c>
      <c r="G11" s="33">
        <v>0</v>
      </c>
      <c r="H11" s="2">
        <f t="shared" si="1"/>
        <v>30</v>
      </c>
      <c r="I11" s="4">
        <f t="shared" si="0"/>
        <v>10000</v>
      </c>
      <c r="J11" s="2"/>
      <c r="K11" s="4">
        <f t="shared" si="3"/>
        <v>0</v>
      </c>
      <c r="L11" s="4"/>
      <c r="M11" s="4"/>
      <c r="N11" s="36">
        <f t="shared" si="4"/>
        <v>10000</v>
      </c>
      <c r="O11" s="2"/>
      <c r="P11" s="1"/>
      <c r="Q11" s="1"/>
      <c r="R11" s="1"/>
      <c r="S11" s="1"/>
    </row>
    <row r="12" spans="2:19" ht="19.899999999999999" customHeight="1">
      <c r="B12" s="2">
        <v>9</v>
      </c>
      <c r="C12" s="13" t="s">
        <v>14</v>
      </c>
      <c r="D12" s="11">
        <v>3300</v>
      </c>
      <c r="E12" s="4">
        <f t="shared" si="2"/>
        <v>110</v>
      </c>
      <c r="F12" s="2">
        <v>30</v>
      </c>
      <c r="G12" s="33">
        <v>22.5</v>
      </c>
      <c r="H12" s="2">
        <f t="shared" si="1"/>
        <v>7.5</v>
      </c>
      <c r="I12" s="4">
        <f t="shared" si="0"/>
        <v>825</v>
      </c>
      <c r="J12" s="2"/>
      <c r="K12" s="4">
        <f t="shared" si="3"/>
        <v>2475</v>
      </c>
      <c r="L12" s="4"/>
      <c r="M12" s="4"/>
      <c r="N12" s="36">
        <f t="shared" si="4"/>
        <v>825</v>
      </c>
      <c r="O12" s="2"/>
      <c r="P12" s="1"/>
      <c r="Q12" s="1"/>
      <c r="R12" s="1"/>
      <c r="S12" s="1"/>
    </row>
    <row r="13" spans="2:19" ht="19.899999999999999" customHeight="1">
      <c r="B13" s="2">
        <v>10</v>
      </c>
      <c r="C13" s="13" t="s">
        <v>107</v>
      </c>
      <c r="D13" s="11">
        <v>4700</v>
      </c>
      <c r="E13" s="4">
        <f t="shared" si="2"/>
        <v>156.66666666666666</v>
      </c>
      <c r="F13" s="2">
        <v>30</v>
      </c>
      <c r="G13" s="34">
        <v>0</v>
      </c>
      <c r="H13" s="2">
        <f t="shared" si="1"/>
        <v>30</v>
      </c>
      <c r="I13" s="4">
        <f t="shared" si="0"/>
        <v>4700</v>
      </c>
      <c r="J13" s="2"/>
      <c r="K13" s="4">
        <f t="shared" si="3"/>
        <v>0</v>
      </c>
      <c r="L13" s="4"/>
      <c r="M13" s="4"/>
      <c r="N13" s="36">
        <f t="shared" si="4"/>
        <v>4700</v>
      </c>
      <c r="O13" s="2"/>
      <c r="P13" s="1"/>
      <c r="Q13" s="1"/>
      <c r="R13" s="1"/>
      <c r="S13" s="1"/>
    </row>
    <row r="14" spans="2:19" ht="19.899999999999999" customHeight="1">
      <c r="B14" s="2">
        <v>11</v>
      </c>
      <c r="C14" s="13" t="s">
        <v>87</v>
      </c>
      <c r="D14" s="11">
        <v>4500</v>
      </c>
      <c r="E14" s="4">
        <f t="shared" si="2"/>
        <v>150</v>
      </c>
      <c r="F14" s="2">
        <v>30</v>
      </c>
      <c r="G14" s="34">
        <v>0.5</v>
      </c>
      <c r="H14" s="2">
        <f t="shared" si="1"/>
        <v>29.5</v>
      </c>
      <c r="I14" s="4">
        <f t="shared" si="0"/>
        <v>4425</v>
      </c>
      <c r="J14" s="2">
        <v>500</v>
      </c>
      <c r="K14" s="4">
        <f t="shared" si="3"/>
        <v>75</v>
      </c>
      <c r="L14" s="4"/>
      <c r="M14" s="4"/>
      <c r="N14" s="36">
        <f t="shared" si="4"/>
        <v>3925</v>
      </c>
      <c r="O14" s="2"/>
      <c r="P14" s="1"/>
      <c r="Q14" s="1"/>
      <c r="R14" s="1"/>
      <c r="S14" s="1"/>
    </row>
    <row r="15" spans="2:19" ht="19.899999999999999" customHeight="1">
      <c r="B15" s="2">
        <v>12</v>
      </c>
      <c r="C15" s="13" t="s">
        <v>16</v>
      </c>
      <c r="D15" s="11">
        <v>4300</v>
      </c>
      <c r="E15" s="4">
        <f t="shared" si="2"/>
        <v>143.33333333333334</v>
      </c>
      <c r="F15" s="2">
        <v>30</v>
      </c>
      <c r="G15" s="33">
        <v>1.5</v>
      </c>
      <c r="H15" s="2">
        <f t="shared" si="1"/>
        <v>28.5</v>
      </c>
      <c r="I15" s="4">
        <f t="shared" si="0"/>
        <v>4085</v>
      </c>
      <c r="J15" s="2">
        <v>1000</v>
      </c>
      <c r="K15" s="4">
        <f t="shared" si="3"/>
        <v>215</v>
      </c>
      <c r="L15" s="4"/>
      <c r="M15" s="4"/>
      <c r="N15" s="36">
        <f t="shared" si="4"/>
        <v>3085</v>
      </c>
      <c r="O15" s="2"/>
      <c r="P15" s="1"/>
      <c r="Q15" s="1"/>
      <c r="R15" s="1"/>
      <c r="S15" s="1"/>
    </row>
    <row r="16" spans="2:19" ht="19.899999999999999" customHeight="1">
      <c r="B16" s="2">
        <v>13</v>
      </c>
      <c r="C16" s="13" t="s">
        <v>17</v>
      </c>
      <c r="D16" s="11">
        <v>3850</v>
      </c>
      <c r="E16" s="4">
        <f t="shared" si="2"/>
        <v>128.33333333333334</v>
      </c>
      <c r="F16" s="2">
        <v>30</v>
      </c>
      <c r="G16" s="33">
        <v>0</v>
      </c>
      <c r="H16" s="2">
        <f t="shared" si="1"/>
        <v>30</v>
      </c>
      <c r="I16" s="4">
        <f t="shared" si="0"/>
        <v>3850</v>
      </c>
      <c r="J16" s="2"/>
      <c r="K16" s="4">
        <f t="shared" si="3"/>
        <v>0</v>
      </c>
      <c r="L16" s="4"/>
      <c r="M16" s="4"/>
      <c r="N16" s="36">
        <f t="shared" si="4"/>
        <v>3850</v>
      </c>
      <c r="O16" s="2"/>
      <c r="P16" s="1"/>
      <c r="Q16" s="1"/>
      <c r="R16" s="1"/>
      <c r="S16" s="1"/>
    </row>
    <row r="17" spans="2:19" ht="19.899999999999999" customHeight="1">
      <c r="B17" s="2">
        <v>14</v>
      </c>
      <c r="C17" s="13" t="s">
        <v>77</v>
      </c>
      <c r="D17" s="11">
        <v>2900</v>
      </c>
      <c r="E17" s="4">
        <f t="shared" si="2"/>
        <v>96.666666666666671</v>
      </c>
      <c r="F17" s="2">
        <v>30</v>
      </c>
      <c r="G17" s="34">
        <v>0</v>
      </c>
      <c r="H17" s="2">
        <f t="shared" si="1"/>
        <v>30</v>
      </c>
      <c r="I17" s="4">
        <f t="shared" si="0"/>
        <v>2900</v>
      </c>
      <c r="J17" s="2"/>
      <c r="K17" s="4">
        <f t="shared" si="3"/>
        <v>0</v>
      </c>
      <c r="L17" s="4"/>
      <c r="M17" s="4"/>
      <c r="N17" s="36">
        <f t="shared" si="4"/>
        <v>2900</v>
      </c>
      <c r="O17" s="2"/>
      <c r="P17" s="1"/>
      <c r="Q17" s="1"/>
      <c r="R17" s="1"/>
      <c r="S17" s="1"/>
    </row>
    <row r="18" spans="2:19" ht="19.899999999999999" customHeight="1">
      <c r="B18" s="2">
        <v>15</v>
      </c>
      <c r="C18" s="13" t="s">
        <v>18</v>
      </c>
      <c r="D18" s="11">
        <v>4450</v>
      </c>
      <c r="E18" s="4">
        <f t="shared" si="2"/>
        <v>148.33333333333334</v>
      </c>
      <c r="F18" s="2">
        <v>30</v>
      </c>
      <c r="G18" s="33">
        <v>3</v>
      </c>
      <c r="H18" s="2">
        <f t="shared" si="1"/>
        <v>27</v>
      </c>
      <c r="I18" s="4">
        <f t="shared" si="0"/>
        <v>4005</v>
      </c>
      <c r="J18" s="2"/>
      <c r="K18" s="4">
        <f t="shared" si="3"/>
        <v>445</v>
      </c>
      <c r="L18" s="4"/>
      <c r="M18" s="4"/>
      <c r="N18" s="36">
        <f t="shared" si="4"/>
        <v>4005</v>
      </c>
      <c r="O18" s="2"/>
      <c r="P18" s="1"/>
      <c r="Q18" s="1"/>
      <c r="R18" s="1"/>
      <c r="S18" s="1"/>
    </row>
    <row r="19" spans="2:19" ht="19.899999999999999" customHeight="1">
      <c r="B19" s="2">
        <v>16</v>
      </c>
      <c r="C19" s="13" t="s">
        <v>19</v>
      </c>
      <c r="D19" s="11">
        <v>3850</v>
      </c>
      <c r="E19" s="4">
        <f t="shared" si="2"/>
        <v>128.33333333333334</v>
      </c>
      <c r="F19" s="2">
        <v>30</v>
      </c>
      <c r="G19" s="33">
        <v>2.5</v>
      </c>
      <c r="H19" s="2">
        <f t="shared" si="1"/>
        <v>27.5</v>
      </c>
      <c r="I19" s="4">
        <f t="shared" si="0"/>
        <v>3529.1666666666665</v>
      </c>
      <c r="J19" s="2"/>
      <c r="K19" s="4">
        <f t="shared" si="3"/>
        <v>320.83333333333337</v>
      </c>
      <c r="L19" s="4"/>
      <c r="M19" s="4"/>
      <c r="N19" s="36">
        <f t="shared" si="4"/>
        <v>3529.1666666666665</v>
      </c>
      <c r="O19" s="2"/>
      <c r="P19" s="1"/>
      <c r="Q19" s="1"/>
      <c r="R19" s="1"/>
      <c r="S19" s="1"/>
    </row>
    <row r="20" spans="2:19" ht="19.899999999999999" customHeight="1">
      <c r="B20" s="2">
        <v>17</v>
      </c>
      <c r="C20" s="13" t="s">
        <v>20</v>
      </c>
      <c r="D20" s="11">
        <v>4250</v>
      </c>
      <c r="E20" s="4">
        <f t="shared" si="2"/>
        <v>141.66666666666666</v>
      </c>
      <c r="F20" s="2">
        <v>30</v>
      </c>
      <c r="G20" s="33">
        <v>1</v>
      </c>
      <c r="H20" s="2">
        <f t="shared" si="1"/>
        <v>29</v>
      </c>
      <c r="I20" s="4">
        <f t="shared" si="0"/>
        <v>4108.333333333333</v>
      </c>
      <c r="J20" s="2">
        <v>500</v>
      </c>
      <c r="K20" s="4">
        <f t="shared" si="3"/>
        <v>141.66666666666666</v>
      </c>
      <c r="L20" s="4"/>
      <c r="M20" s="4"/>
      <c r="N20" s="36">
        <f t="shared" si="4"/>
        <v>3608.333333333333</v>
      </c>
      <c r="O20" s="2"/>
      <c r="P20" s="41"/>
      <c r="Q20" s="1"/>
      <c r="R20" s="1"/>
      <c r="S20" s="1"/>
    </row>
    <row r="21" spans="2:19" ht="19.899999999999999" customHeight="1">
      <c r="B21" s="2">
        <v>18</v>
      </c>
      <c r="C21" s="13" t="s">
        <v>21</v>
      </c>
      <c r="D21" s="11">
        <v>3800</v>
      </c>
      <c r="E21" s="4">
        <f t="shared" si="2"/>
        <v>126.66666666666667</v>
      </c>
      <c r="F21" s="2">
        <v>30</v>
      </c>
      <c r="G21" s="34">
        <v>1.5</v>
      </c>
      <c r="H21" s="2">
        <f t="shared" si="1"/>
        <v>28.5</v>
      </c>
      <c r="I21" s="4">
        <f t="shared" si="0"/>
        <v>3610</v>
      </c>
      <c r="J21" s="2">
        <v>500</v>
      </c>
      <c r="K21" s="4">
        <f t="shared" si="3"/>
        <v>190</v>
      </c>
      <c r="L21" s="4"/>
      <c r="M21" s="4"/>
      <c r="N21" s="36">
        <f t="shared" si="4"/>
        <v>3110</v>
      </c>
      <c r="O21" s="2"/>
      <c r="P21" s="1"/>
      <c r="Q21" s="1"/>
      <c r="R21" s="1"/>
      <c r="S21" s="1"/>
    </row>
    <row r="22" spans="2:19" ht="19.899999999999999" customHeight="1">
      <c r="B22" s="2">
        <v>19</v>
      </c>
      <c r="C22" s="13" t="s">
        <v>10</v>
      </c>
      <c r="D22" s="11">
        <v>7100</v>
      </c>
      <c r="E22" s="4">
        <f>SUM(D22/30)</f>
        <v>236.66666666666666</v>
      </c>
      <c r="F22" s="2">
        <v>30</v>
      </c>
      <c r="G22" s="34">
        <v>3</v>
      </c>
      <c r="H22" s="2">
        <f t="shared" si="1"/>
        <v>27</v>
      </c>
      <c r="I22" s="4">
        <f t="shared" si="0"/>
        <v>6390</v>
      </c>
      <c r="J22" s="2">
        <v>3000</v>
      </c>
      <c r="K22" s="4">
        <f>SUM(G22*E22)</f>
        <v>710</v>
      </c>
      <c r="L22" s="4"/>
      <c r="M22" s="4"/>
      <c r="N22" s="36">
        <f t="shared" si="4"/>
        <v>3390</v>
      </c>
      <c r="O22" s="2"/>
      <c r="P22" s="1"/>
      <c r="Q22" s="1"/>
      <c r="R22" s="1"/>
      <c r="S22" s="1"/>
    </row>
    <row r="23" spans="2:19" ht="19.899999999999999" customHeight="1">
      <c r="B23" s="2">
        <v>20</v>
      </c>
      <c r="C23" s="13" t="s">
        <v>23</v>
      </c>
      <c r="D23" s="11">
        <v>3700</v>
      </c>
      <c r="E23" s="4">
        <f t="shared" si="2"/>
        <v>123.33333333333333</v>
      </c>
      <c r="F23" s="2">
        <v>30</v>
      </c>
      <c r="G23" s="33">
        <v>0</v>
      </c>
      <c r="H23" s="2">
        <f t="shared" si="1"/>
        <v>30</v>
      </c>
      <c r="I23" s="4">
        <f t="shared" si="0"/>
        <v>3700</v>
      </c>
      <c r="J23" s="2"/>
      <c r="K23" s="4">
        <f t="shared" si="3"/>
        <v>0</v>
      </c>
      <c r="L23" s="4"/>
      <c r="M23" s="4"/>
      <c r="N23" s="36">
        <f t="shared" si="4"/>
        <v>3700</v>
      </c>
      <c r="O23" s="2"/>
      <c r="P23" s="1"/>
      <c r="Q23" s="1"/>
      <c r="R23" s="1"/>
      <c r="S23" s="1"/>
    </row>
    <row r="24" spans="2:19" ht="19.899999999999999" customHeight="1">
      <c r="B24" s="2">
        <v>21</v>
      </c>
      <c r="C24" s="13" t="s">
        <v>24</v>
      </c>
      <c r="D24" s="11">
        <v>3600</v>
      </c>
      <c r="E24" s="4">
        <f t="shared" si="2"/>
        <v>120</v>
      </c>
      <c r="F24" s="2">
        <v>30</v>
      </c>
      <c r="G24" s="34">
        <v>1</v>
      </c>
      <c r="H24" s="2">
        <f t="shared" si="1"/>
        <v>29</v>
      </c>
      <c r="I24" s="4">
        <f t="shared" si="0"/>
        <v>3480</v>
      </c>
      <c r="J24" s="2"/>
      <c r="K24" s="4">
        <f t="shared" si="3"/>
        <v>120</v>
      </c>
      <c r="L24" s="4"/>
      <c r="M24" s="4"/>
      <c r="N24" s="36">
        <f t="shared" si="4"/>
        <v>3480</v>
      </c>
      <c r="O24" s="2"/>
      <c r="P24" s="1"/>
      <c r="Q24" s="1"/>
      <c r="R24" s="1"/>
      <c r="S24" s="1"/>
    </row>
    <row r="25" spans="2:19" ht="19.899999999999999" customHeight="1">
      <c r="B25" s="2">
        <v>22</v>
      </c>
      <c r="C25" s="13" t="s">
        <v>25</v>
      </c>
      <c r="D25" s="11">
        <v>3700</v>
      </c>
      <c r="E25" s="4">
        <f t="shared" si="2"/>
        <v>123.33333333333333</v>
      </c>
      <c r="F25" s="2">
        <v>30</v>
      </c>
      <c r="G25" s="34">
        <v>0</v>
      </c>
      <c r="H25" s="2">
        <f t="shared" si="1"/>
        <v>30</v>
      </c>
      <c r="I25" s="4">
        <f t="shared" si="0"/>
        <v>3700</v>
      </c>
      <c r="J25" s="2"/>
      <c r="K25" s="4">
        <f t="shared" si="3"/>
        <v>0</v>
      </c>
      <c r="L25" s="4"/>
      <c r="M25" s="4"/>
      <c r="N25" s="36">
        <f t="shared" si="4"/>
        <v>3700</v>
      </c>
      <c r="O25" s="2"/>
      <c r="P25" s="1"/>
      <c r="Q25" s="1"/>
      <c r="R25" s="1"/>
      <c r="S25" s="1"/>
    </row>
    <row r="26" spans="2:19" ht="19.899999999999999" customHeight="1">
      <c r="B26" s="2">
        <v>23</v>
      </c>
      <c r="C26" s="13" t="s">
        <v>27</v>
      </c>
      <c r="D26" s="11">
        <v>3000</v>
      </c>
      <c r="E26" s="4">
        <f t="shared" si="2"/>
        <v>100</v>
      </c>
      <c r="F26" s="2">
        <v>30</v>
      </c>
      <c r="G26" s="34">
        <v>12</v>
      </c>
      <c r="H26" s="2">
        <f t="shared" si="1"/>
        <v>18</v>
      </c>
      <c r="I26" s="4">
        <f t="shared" si="0"/>
        <v>1800</v>
      </c>
      <c r="J26" s="2"/>
      <c r="K26" s="4">
        <f t="shared" si="3"/>
        <v>1200</v>
      </c>
      <c r="L26" s="4"/>
      <c r="M26" s="4"/>
      <c r="N26" s="36">
        <f t="shared" si="4"/>
        <v>1800</v>
      </c>
      <c r="O26" s="2"/>
      <c r="P26" s="1"/>
      <c r="Q26" s="1"/>
      <c r="R26" s="1"/>
      <c r="S26" s="1"/>
    </row>
    <row r="27" spans="2:19" ht="19.899999999999999" customHeight="1">
      <c r="B27" s="2">
        <v>24</v>
      </c>
      <c r="C27" s="13" t="s">
        <v>28</v>
      </c>
      <c r="D27" s="11">
        <v>7000</v>
      </c>
      <c r="E27" s="4">
        <f t="shared" si="2"/>
        <v>233.33333333333334</v>
      </c>
      <c r="F27" s="2">
        <v>30</v>
      </c>
      <c r="G27" s="34">
        <v>3.5</v>
      </c>
      <c r="H27" s="2">
        <f t="shared" si="1"/>
        <v>26.5</v>
      </c>
      <c r="I27" s="4">
        <f t="shared" si="0"/>
        <v>6183.333333333333</v>
      </c>
      <c r="J27" s="2"/>
      <c r="K27" s="4">
        <f t="shared" si="3"/>
        <v>816.66666666666674</v>
      </c>
      <c r="L27" s="4"/>
      <c r="M27" s="4"/>
      <c r="N27" s="36">
        <f t="shared" si="4"/>
        <v>6183.333333333333</v>
      </c>
      <c r="O27" s="2"/>
      <c r="P27" s="1"/>
      <c r="Q27" s="1"/>
      <c r="R27" s="1"/>
      <c r="S27" s="1"/>
    </row>
    <row r="28" spans="2:19" ht="19.899999999999999" customHeight="1">
      <c r="B28" s="2">
        <v>25</v>
      </c>
      <c r="C28" s="13" t="s">
        <v>42</v>
      </c>
      <c r="D28" s="11">
        <v>6000</v>
      </c>
      <c r="E28" s="4">
        <f t="shared" si="2"/>
        <v>200</v>
      </c>
      <c r="F28" s="2">
        <v>30</v>
      </c>
      <c r="G28" s="33">
        <v>1.5</v>
      </c>
      <c r="H28" s="2">
        <f t="shared" si="1"/>
        <v>28.5</v>
      </c>
      <c r="I28" s="4">
        <f t="shared" si="0"/>
        <v>5700</v>
      </c>
      <c r="J28" s="2"/>
      <c r="K28" s="4">
        <f t="shared" si="3"/>
        <v>300</v>
      </c>
      <c r="L28" s="4"/>
      <c r="M28" s="4"/>
      <c r="N28" s="36">
        <f t="shared" si="4"/>
        <v>5700</v>
      </c>
      <c r="O28" s="2"/>
      <c r="P28" s="1"/>
      <c r="Q28" s="1"/>
      <c r="R28" s="1"/>
      <c r="S28" s="1"/>
    </row>
    <row r="29" spans="2:19" ht="19.899999999999999" customHeight="1">
      <c r="B29" s="2">
        <v>26</v>
      </c>
      <c r="C29" s="13" t="s">
        <v>29</v>
      </c>
      <c r="D29" s="11">
        <v>6700</v>
      </c>
      <c r="E29" s="4">
        <f t="shared" si="2"/>
        <v>223.33333333333334</v>
      </c>
      <c r="F29" s="2">
        <v>30</v>
      </c>
      <c r="G29" s="34">
        <v>6.5</v>
      </c>
      <c r="H29" s="2">
        <f t="shared" si="1"/>
        <v>23.5</v>
      </c>
      <c r="I29" s="4">
        <f t="shared" si="0"/>
        <v>5248.333333333333</v>
      </c>
      <c r="J29" s="2">
        <v>500</v>
      </c>
      <c r="K29" s="4">
        <f t="shared" si="3"/>
        <v>1451.6666666666667</v>
      </c>
      <c r="L29" s="4"/>
      <c r="M29" s="4"/>
      <c r="N29" s="36">
        <f t="shared" si="4"/>
        <v>4748.333333333333</v>
      </c>
      <c r="O29" s="2"/>
      <c r="P29" s="1"/>
      <c r="Q29" s="1"/>
      <c r="R29" s="1"/>
      <c r="S29" s="1"/>
    </row>
    <row r="30" spans="2:19" ht="19.899999999999999" customHeight="1">
      <c r="B30" s="2">
        <v>27</v>
      </c>
      <c r="C30" s="13" t="s">
        <v>76</v>
      </c>
      <c r="D30" s="11">
        <v>2850</v>
      </c>
      <c r="E30" s="4">
        <f t="shared" si="2"/>
        <v>95</v>
      </c>
      <c r="F30" s="2">
        <v>30</v>
      </c>
      <c r="G30" s="34">
        <v>1</v>
      </c>
      <c r="H30" s="2">
        <f t="shared" si="1"/>
        <v>29</v>
      </c>
      <c r="I30" s="4">
        <f t="shared" si="0"/>
        <v>2755</v>
      </c>
      <c r="J30" s="2"/>
      <c r="K30" s="4">
        <f t="shared" si="3"/>
        <v>95</v>
      </c>
      <c r="L30" s="4"/>
      <c r="M30" s="4"/>
      <c r="N30" s="36">
        <f t="shared" si="4"/>
        <v>2755</v>
      </c>
      <c r="O30" s="2"/>
      <c r="P30" s="1"/>
      <c r="Q30" s="1"/>
      <c r="R30" s="1"/>
      <c r="S30" s="1"/>
    </row>
    <row r="31" spans="2:19" ht="19.899999999999999" customHeight="1">
      <c r="B31" s="2">
        <v>28</v>
      </c>
      <c r="C31" s="13" t="s">
        <v>15</v>
      </c>
      <c r="D31" s="11">
        <v>2850</v>
      </c>
      <c r="E31" s="4">
        <f t="shared" si="2"/>
        <v>95</v>
      </c>
      <c r="F31" s="2">
        <v>30</v>
      </c>
      <c r="G31" s="34">
        <v>0</v>
      </c>
      <c r="H31" s="2">
        <f t="shared" si="1"/>
        <v>30</v>
      </c>
      <c r="I31" s="4">
        <f t="shared" si="0"/>
        <v>2850</v>
      </c>
      <c r="J31" s="2"/>
      <c r="K31" s="4">
        <f t="shared" si="3"/>
        <v>0</v>
      </c>
      <c r="L31" s="4"/>
      <c r="M31" s="4"/>
      <c r="N31" s="36">
        <f t="shared" si="4"/>
        <v>2850</v>
      </c>
      <c r="O31" s="2"/>
      <c r="P31" s="1"/>
      <c r="Q31" s="1"/>
      <c r="R31" s="1"/>
      <c r="S31" s="1"/>
    </row>
    <row r="32" spans="2:19" ht="19.899999999999999" customHeight="1">
      <c r="B32" s="2">
        <v>29</v>
      </c>
      <c r="C32" s="13" t="s">
        <v>88</v>
      </c>
      <c r="D32" s="11">
        <v>3500</v>
      </c>
      <c r="E32" s="4">
        <f t="shared" si="2"/>
        <v>116.66666666666667</v>
      </c>
      <c r="F32" s="2">
        <v>30</v>
      </c>
      <c r="G32" s="34">
        <v>0</v>
      </c>
      <c r="H32" s="2">
        <f t="shared" si="1"/>
        <v>30</v>
      </c>
      <c r="I32" s="4">
        <f t="shared" si="0"/>
        <v>3500</v>
      </c>
      <c r="J32" s="2"/>
      <c r="K32" s="4">
        <f t="shared" si="3"/>
        <v>0</v>
      </c>
      <c r="L32" s="4"/>
      <c r="M32" s="4"/>
      <c r="N32" s="36">
        <f t="shared" si="4"/>
        <v>3500</v>
      </c>
      <c r="O32" s="2"/>
      <c r="P32" s="1"/>
      <c r="Q32" s="1"/>
      <c r="R32" s="1"/>
      <c r="S32" s="1"/>
    </row>
    <row r="33" spans="2:19" ht="19.899999999999999" customHeight="1">
      <c r="B33" s="2">
        <v>30</v>
      </c>
      <c r="C33" s="13" t="s">
        <v>82</v>
      </c>
      <c r="D33" s="11">
        <v>7500</v>
      </c>
      <c r="E33" s="4">
        <f t="shared" si="2"/>
        <v>250</v>
      </c>
      <c r="F33" s="2">
        <v>30</v>
      </c>
      <c r="G33" s="34">
        <v>8</v>
      </c>
      <c r="H33" s="2">
        <f t="shared" si="1"/>
        <v>22</v>
      </c>
      <c r="I33" s="4">
        <f t="shared" si="0"/>
        <v>5500</v>
      </c>
      <c r="J33" s="2">
        <v>2000</v>
      </c>
      <c r="K33" s="4">
        <f t="shared" si="3"/>
        <v>2000</v>
      </c>
      <c r="L33" s="4"/>
      <c r="M33" s="4"/>
      <c r="N33" s="36">
        <f t="shared" si="4"/>
        <v>3500</v>
      </c>
      <c r="O33" s="2"/>
      <c r="P33" s="1"/>
      <c r="Q33" s="1"/>
      <c r="R33" s="1"/>
      <c r="S33" s="1"/>
    </row>
    <row r="34" spans="2:19" ht="19.899999999999999" customHeight="1">
      <c r="B34" s="2">
        <v>31</v>
      </c>
      <c r="C34" s="13" t="s">
        <v>83</v>
      </c>
      <c r="D34" s="11">
        <v>20000</v>
      </c>
      <c r="E34" s="4">
        <f t="shared" si="2"/>
        <v>666.66666666666663</v>
      </c>
      <c r="F34" s="2">
        <v>30</v>
      </c>
      <c r="G34" s="34">
        <v>1</v>
      </c>
      <c r="H34" s="2">
        <f t="shared" si="1"/>
        <v>29</v>
      </c>
      <c r="I34" s="4">
        <f t="shared" si="0"/>
        <v>19333.333333333332</v>
      </c>
      <c r="J34" s="2"/>
      <c r="K34" s="4">
        <f t="shared" si="3"/>
        <v>666.66666666666663</v>
      </c>
      <c r="L34" s="4"/>
      <c r="M34" s="4"/>
      <c r="N34" s="36">
        <f t="shared" si="4"/>
        <v>19333.333333333332</v>
      </c>
      <c r="O34" s="2"/>
      <c r="P34" s="1"/>
      <c r="Q34" s="1"/>
      <c r="R34" s="1"/>
      <c r="S34" s="1"/>
    </row>
    <row r="35" spans="2:19" ht="19.899999999999999" customHeight="1">
      <c r="B35" s="2">
        <v>32</v>
      </c>
      <c r="C35" s="13" t="s">
        <v>79</v>
      </c>
      <c r="D35" s="11">
        <v>2500</v>
      </c>
      <c r="E35" s="4">
        <f t="shared" si="2"/>
        <v>83.333333333333329</v>
      </c>
      <c r="F35" s="2">
        <v>30</v>
      </c>
      <c r="G35" s="34">
        <v>1</v>
      </c>
      <c r="H35" s="2">
        <f t="shared" si="1"/>
        <v>29</v>
      </c>
      <c r="I35" s="4">
        <f t="shared" si="0"/>
        <v>2416.6666666666665</v>
      </c>
      <c r="J35" s="2"/>
      <c r="K35" s="4">
        <f t="shared" si="3"/>
        <v>83.333333333333329</v>
      </c>
      <c r="L35" s="4"/>
      <c r="M35" s="4"/>
      <c r="N35" s="36">
        <f t="shared" si="4"/>
        <v>2416.6666666666665</v>
      </c>
      <c r="O35" s="2"/>
      <c r="P35" s="1"/>
      <c r="Q35" s="1">
        <v>18000</v>
      </c>
      <c r="R35" s="1"/>
      <c r="S35" s="1"/>
    </row>
    <row r="36" spans="2:19" ht="19.899999999999999" customHeight="1">
      <c r="B36" s="2">
        <v>33</v>
      </c>
      <c r="C36" s="13" t="s">
        <v>85</v>
      </c>
      <c r="D36" s="11">
        <v>2500</v>
      </c>
      <c r="E36" s="4">
        <f t="shared" si="2"/>
        <v>83.333333333333329</v>
      </c>
      <c r="F36" s="2">
        <v>30</v>
      </c>
      <c r="G36" s="34">
        <v>0.5</v>
      </c>
      <c r="H36" s="2">
        <f t="shared" si="1"/>
        <v>29.5</v>
      </c>
      <c r="I36" s="4">
        <f t="shared" ref="I36:I57" si="5">SUM(D36-K36)</f>
        <v>2458.3333333333335</v>
      </c>
      <c r="J36" s="2"/>
      <c r="K36" s="4">
        <f t="shared" si="3"/>
        <v>41.666666666666664</v>
      </c>
      <c r="L36" s="4"/>
      <c r="M36" s="4"/>
      <c r="N36" s="36">
        <f t="shared" si="4"/>
        <v>2458.3333333333335</v>
      </c>
      <c r="O36" s="2"/>
      <c r="Q36">
        <f>600*4.5</f>
        <v>2700</v>
      </c>
    </row>
    <row r="37" spans="2:19" ht="19.899999999999999" customHeight="1">
      <c r="B37" s="2">
        <v>34</v>
      </c>
      <c r="C37" s="13" t="s">
        <v>78</v>
      </c>
      <c r="D37" s="11">
        <v>3000</v>
      </c>
      <c r="E37" s="4">
        <f t="shared" si="2"/>
        <v>100</v>
      </c>
      <c r="F37" s="2">
        <v>30</v>
      </c>
      <c r="G37" s="34">
        <v>1.5</v>
      </c>
      <c r="H37" s="2">
        <f t="shared" si="1"/>
        <v>28.5</v>
      </c>
      <c r="I37" s="4">
        <f t="shared" si="5"/>
        <v>2850</v>
      </c>
      <c r="J37" s="2">
        <v>1000</v>
      </c>
      <c r="K37" s="4">
        <f t="shared" si="3"/>
        <v>150</v>
      </c>
      <c r="L37" s="4"/>
      <c r="M37" s="4"/>
      <c r="N37" s="36">
        <f t="shared" si="4"/>
        <v>1850</v>
      </c>
      <c r="O37" s="2"/>
      <c r="Q37">
        <v>13000</v>
      </c>
    </row>
    <row r="38" spans="2:19" ht="19.899999999999999" customHeight="1">
      <c r="B38" s="2">
        <v>35</v>
      </c>
      <c r="C38" s="13" t="s">
        <v>86</v>
      </c>
      <c r="D38" s="11">
        <v>18000</v>
      </c>
      <c r="E38" s="4">
        <f t="shared" si="2"/>
        <v>600</v>
      </c>
      <c r="F38" s="2">
        <v>30</v>
      </c>
      <c r="G38" s="34">
        <v>4.5</v>
      </c>
      <c r="H38" s="2">
        <f t="shared" si="1"/>
        <v>25.5</v>
      </c>
      <c r="I38" s="4">
        <f t="shared" si="5"/>
        <v>15300</v>
      </c>
      <c r="J38" s="2">
        <v>13000</v>
      </c>
      <c r="K38" s="4">
        <f>SUM(G38*E38)</f>
        <v>2700</v>
      </c>
      <c r="L38" s="4"/>
      <c r="M38" s="4"/>
      <c r="N38" s="36">
        <f t="shared" si="4"/>
        <v>2300</v>
      </c>
      <c r="O38" s="4">
        <f>+I38-J38</f>
        <v>2300</v>
      </c>
      <c r="P38" s="40">
        <f>+N38+O38</f>
        <v>4600</v>
      </c>
      <c r="Q38">
        <f>+Q35-Q36-Q37</f>
        <v>2300</v>
      </c>
    </row>
    <row r="39" spans="2:19" ht="19.899999999999999" customHeight="1">
      <c r="B39" s="2">
        <v>36</v>
      </c>
      <c r="C39" s="13" t="s">
        <v>31</v>
      </c>
      <c r="D39" s="11">
        <v>5900</v>
      </c>
      <c r="E39" s="4">
        <f t="shared" si="2"/>
        <v>196.66666666666666</v>
      </c>
      <c r="F39" s="2">
        <v>30</v>
      </c>
      <c r="G39" s="34">
        <v>0</v>
      </c>
      <c r="H39" s="2">
        <f t="shared" si="1"/>
        <v>30</v>
      </c>
      <c r="I39" s="4">
        <f t="shared" si="5"/>
        <v>5900</v>
      </c>
      <c r="J39" s="2"/>
      <c r="K39" s="4">
        <f t="shared" si="3"/>
        <v>0</v>
      </c>
      <c r="L39" s="4"/>
      <c r="M39" s="4"/>
      <c r="N39" s="36">
        <f t="shared" ref="N39:N57" si="6">SUM(I39-J39-L39-M39)</f>
        <v>5900</v>
      </c>
      <c r="O39" s="2"/>
      <c r="Q39">
        <v>1000</v>
      </c>
    </row>
    <row r="40" spans="2:19" ht="19.899999999999999" customHeight="1">
      <c r="B40" s="2">
        <v>37</v>
      </c>
      <c r="C40" s="13" t="s">
        <v>89</v>
      </c>
      <c r="D40" s="16">
        <v>2500</v>
      </c>
      <c r="E40" s="17">
        <f t="shared" si="2"/>
        <v>83.333333333333329</v>
      </c>
      <c r="F40" s="2">
        <v>30</v>
      </c>
      <c r="G40" s="35">
        <v>2</v>
      </c>
      <c r="H40" s="2">
        <f t="shared" si="1"/>
        <v>28</v>
      </c>
      <c r="I40" s="17">
        <f t="shared" si="5"/>
        <v>2333.3333333333335</v>
      </c>
      <c r="J40" s="18"/>
      <c r="K40" s="17">
        <f t="shared" si="3"/>
        <v>166.66666666666666</v>
      </c>
      <c r="L40" s="17"/>
      <c r="M40" s="17"/>
      <c r="N40" s="37">
        <f t="shared" si="6"/>
        <v>2333.3333333333335</v>
      </c>
      <c r="O40" s="2"/>
      <c r="P40">
        <v>1775</v>
      </c>
      <c r="Q40">
        <f>+Q38-Q39</f>
        <v>1300</v>
      </c>
      <c r="R40">
        <f>+P40-Q40</f>
        <v>475</v>
      </c>
    </row>
    <row r="41" spans="2:19" ht="19.899999999999999" customHeight="1">
      <c r="B41" s="2">
        <v>38</v>
      </c>
      <c r="C41" s="13" t="s">
        <v>93</v>
      </c>
      <c r="D41" s="16">
        <v>2500</v>
      </c>
      <c r="E41" s="17">
        <f t="shared" si="2"/>
        <v>83.333333333333329</v>
      </c>
      <c r="F41" s="2">
        <v>30</v>
      </c>
      <c r="G41" s="35">
        <v>0.5</v>
      </c>
      <c r="H41" s="2">
        <f t="shared" si="1"/>
        <v>29.5</v>
      </c>
      <c r="I41" s="17">
        <f t="shared" si="5"/>
        <v>2458.3333333333335</v>
      </c>
      <c r="J41" s="18"/>
      <c r="K41" s="17">
        <f t="shared" si="3"/>
        <v>41.666666666666664</v>
      </c>
      <c r="L41" s="17"/>
      <c r="M41" s="17"/>
      <c r="N41" s="37">
        <f t="shared" si="6"/>
        <v>2458.3333333333335</v>
      </c>
      <c r="O41" s="2"/>
    </row>
    <row r="42" spans="2:19" ht="19.899999999999999" customHeight="1">
      <c r="B42" s="2">
        <v>39</v>
      </c>
      <c r="C42" s="13" t="s">
        <v>94</v>
      </c>
      <c r="D42" s="16">
        <v>2500</v>
      </c>
      <c r="E42" s="17">
        <f t="shared" si="2"/>
        <v>83.333333333333329</v>
      </c>
      <c r="F42" s="2">
        <v>30</v>
      </c>
      <c r="G42" s="35">
        <v>0</v>
      </c>
      <c r="H42" s="2">
        <f t="shared" si="1"/>
        <v>30</v>
      </c>
      <c r="I42" s="17">
        <f t="shared" si="5"/>
        <v>2500</v>
      </c>
      <c r="J42" s="18"/>
      <c r="K42" s="17">
        <f t="shared" si="3"/>
        <v>0</v>
      </c>
      <c r="L42" s="17"/>
      <c r="M42" s="17"/>
      <c r="N42" s="37">
        <f t="shared" si="6"/>
        <v>2500</v>
      </c>
      <c r="O42" s="2"/>
    </row>
    <row r="43" spans="2:19" ht="19.899999999999999" customHeight="1">
      <c r="B43" s="2">
        <v>40</v>
      </c>
      <c r="C43" s="13" t="s">
        <v>96</v>
      </c>
      <c r="D43" s="16">
        <v>2500</v>
      </c>
      <c r="E43" s="17">
        <f t="shared" si="2"/>
        <v>83.333333333333329</v>
      </c>
      <c r="F43" s="2">
        <v>30</v>
      </c>
      <c r="G43" s="35">
        <v>24</v>
      </c>
      <c r="H43" s="2">
        <f t="shared" si="1"/>
        <v>6</v>
      </c>
      <c r="I43" s="17">
        <f t="shared" si="5"/>
        <v>500</v>
      </c>
      <c r="J43" s="18"/>
      <c r="K43" s="17">
        <f t="shared" si="3"/>
        <v>2000</v>
      </c>
      <c r="L43" s="17"/>
      <c r="M43" s="17"/>
      <c r="N43" s="37">
        <f t="shared" si="6"/>
        <v>500</v>
      </c>
      <c r="O43" s="2"/>
    </row>
    <row r="44" spans="2:19" ht="19.899999999999999" customHeight="1">
      <c r="B44" s="2">
        <v>41</v>
      </c>
      <c r="C44" s="13" t="s">
        <v>98</v>
      </c>
      <c r="D44" s="16">
        <v>2500</v>
      </c>
      <c r="E44" s="17">
        <f t="shared" si="2"/>
        <v>83.333333333333329</v>
      </c>
      <c r="F44" s="2">
        <v>30</v>
      </c>
      <c r="G44" s="35">
        <v>28</v>
      </c>
      <c r="H44" s="2">
        <f t="shared" si="1"/>
        <v>2</v>
      </c>
      <c r="I44" s="17">
        <f t="shared" si="5"/>
        <v>166.66666666666697</v>
      </c>
      <c r="J44" s="18"/>
      <c r="K44" s="17">
        <f t="shared" si="3"/>
        <v>2333.333333333333</v>
      </c>
      <c r="L44" s="17"/>
      <c r="M44" s="17"/>
      <c r="N44" s="37">
        <f t="shared" si="6"/>
        <v>166.66666666666697</v>
      </c>
      <c r="O44" s="2"/>
    </row>
    <row r="45" spans="2:19" ht="19.899999999999999" customHeight="1">
      <c r="B45" s="2">
        <v>42</v>
      </c>
      <c r="C45" s="13" t="s">
        <v>99</v>
      </c>
      <c r="D45" s="16">
        <v>2500</v>
      </c>
      <c r="E45" s="17">
        <f t="shared" si="2"/>
        <v>83.333333333333329</v>
      </c>
      <c r="F45" s="2">
        <v>30</v>
      </c>
      <c r="G45" s="35">
        <v>1.5</v>
      </c>
      <c r="H45" s="2">
        <f>30-G45</f>
        <v>28.5</v>
      </c>
      <c r="I45" s="17">
        <f t="shared" si="5"/>
        <v>2375</v>
      </c>
      <c r="J45" s="18"/>
      <c r="K45" s="17">
        <f t="shared" si="3"/>
        <v>125</v>
      </c>
      <c r="L45" s="17"/>
      <c r="M45" s="17"/>
      <c r="N45" s="37">
        <f t="shared" si="6"/>
        <v>2375</v>
      </c>
      <c r="O45" s="2"/>
    </row>
    <row r="46" spans="2:19" ht="19.899999999999999" customHeight="1">
      <c r="B46" s="2">
        <v>43</v>
      </c>
      <c r="C46" s="13" t="s">
        <v>100</v>
      </c>
      <c r="D46" s="16">
        <v>2500</v>
      </c>
      <c r="E46" s="17">
        <f t="shared" si="2"/>
        <v>83.333333333333329</v>
      </c>
      <c r="F46" s="2">
        <v>30</v>
      </c>
      <c r="G46" s="35">
        <v>0.5</v>
      </c>
      <c r="H46" s="2">
        <f t="shared" si="1"/>
        <v>29.5</v>
      </c>
      <c r="I46" s="17">
        <f t="shared" si="5"/>
        <v>2458.3333333333335</v>
      </c>
      <c r="J46" s="18"/>
      <c r="K46" s="17">
        <f t="shared" si="3"/>
        <v>41.666666666666664</v>
      </c>
      <c r="L46" s="17"/>
      <c r="M46" s="17"/>
      <c r="N46" s="37">
        <f t="shared" si="6"/>
        <v>2458.3333333333335</v>
      </c>
      <c r="O46" s="2"/>
    </row>
    <row r="47" spans="2:19" ht="19.899999999999999" customHeight="1">
      <c r="B47" s="2">
        <v>44</v>
      </c>
      <c r="C47" s="13" t="s">
        <v>101</v>
      </c>
      <c r="D47" s="16">
        <v>2500</v>
      </c>
      <c r="E47" s="17">
        <f t="shared" si="2"/>
        <v>83.333333333333329</v>
      </c>
      <c r="F47" s="2">
        <v>30</v>
      </c>
      <c r="G47" s="35">
        <v>0.5</v>
      </c>
      <c r="H47" s="2">
        <f t="shared" si="1"/>
        <v>29.5</v>
      </c>
      <c r="I47" s="17">
        <f t="shared" si="5"/>
        <v>2458.3333333333335</v>
      </c>
      <c r="J47" s="18"/>
      <c r="K47" s="17">
        <f t="shared" si="3"/>
        <v>41.666666666666664</v>
      </c>
      <c r="L47" s="17"/>
      <c r="M47" s="17"/>
      <c r="N47" s="37">
        <f t="shared" si="6"/>
        <v>2458.3333333333335</v>
      </c>
      <c r="O47" s="2"/>
    </row>
    <row r="48" spans="2:19" ht="19.899999999999999" customHeight="1">
      <c r="B48" s="2">
        <v>45</v>
      </c>
      <c r="C48" s="13" t="s">
        <v>103</v>
      </c>
      <c r="D48" s="16">
        <v>5000</v>
      </c>
      <c r="E48" s="17">
        <f t="shared" si="2"/>
        <v>166.66666666666666</v>
      </c>
      <c r="F48" s="2">
        <v>30</v>
      </c>
      <c r="G48" s="35">
        <v>5.5</v>
      </c>
      <c r="H48" s="2">
        <f t="shared" si="1"/>
        <v>24.5</v>
      </c>
      <c r="I48" s="17">
        <f t="shared" si="5"/>
        <v>4083.3333333333335</v>
      </c>
      <c r="J48" s="18"/>
      <c r="K48" s="17">
        <f t="shared" si="3"/>
        <v>916.66666666666663</v>
      </c>
      <c r="L48" s="17"/>
      <c r="M48" s="17"/>
      <c r="N48" s="37">
        <f t="shared" si="6"/>
        <v>4083.3333333333335</v>
      </c>
      <c r="O48" s="2"/>
    </row>
    <row r="49" spans="2:15" ht="19.899999999999999" customHeight="1">
      <c r="B49" s="2">
        <v>46</v>
      </c>
      <c r="C49" s="13" t="s">
        <v>104</v>
      </c>
      <c r="D49" s="16">
        <v>3000</v>
      </c>
      <c r="E49" s="17">
        <f t="shared" si="2"/>
        <v>100</v>
      </c>
      <c r="F49" s="2">
        <v>30</v>
      </c>
      <c r="G49" s="35">
        <v>0.5</v>
      </c>
      <c r="H49" s="2">
        <f t="shared" si="1"/>
        <v>29.5</v>
      </c>
      <c r="I49" s="17">
        <f t="shared" si="5"/>
        <v>2950</v>
      </c>
      <c r="J49" s="18"/>
      <c r="K49" s="17">
        <f t="shared" si="3"/>
        <v>50</v>
      </c>
      <c r="L49" s="17"/>
      <c r="M49" s="17"/>
      <c r="N49" s="37">
        <f t="shared" si="6"/>
        <v>2950</v>
      </c>
      <c r="O49" s="2"/>
    </row>
    <row r="50" spans="2:15" ht="19.899999999999999" customHeight="1">
      <c r="B50" s="2">
        <v>47</v>
      </c>
      <c r="C50" s="13" t="s">
        <v>108</v>
      </c>
      <c r="D50" s="16">
        <v>2500</v>
      </c>
      <c r="E50" s="17">
        <f t="shared" si="2"/>
        <v>83.333333333333329</v>
      </c>
      <c r="F50" s="2">
        <v>30</v>
      </c>
      <c r="G50" s="35">
        <v>0.5</v>
      </c>
      <c r="H50" s="2">
        <f t="shared" si="1"/>
        <v>29.5</v>
      </c>
      <c r="I50" s="17">
        <f t="shared" si="5"/>
        <v>2458.3333333333335</v>
      </c>
      <c r="J50" s="18"/>
      <c r="K50" s="17">
        <f t="shared" si="3"/>
        <v>41.666666666666664</v>
      </c>
      <c r="L50" s="17"/>
      <c r="M50" s="17"/>
      <c r="N50" s="37">
        <f t="shared" si="6"/>
        <v>2458.3333333333335</v>
      </c>
      <c r="O50" s="2"/>
    </row>
    <row r="51" spans="2:15" ht="19.899999999999999" customHeight="1">
      <c r="B51" s="2">
        <v>48</v>
      </c>
      <c r="C51" s="13" t="s">
        <v>109</v>
      </c>
      <c r="D51" s="16">
        <v>2500</v>
      </c>
      <c r="E51" s="17">
        <f t="shared" si="2"/>
        <v>83.333333333333329</v>
      </c>
      <c r="F51" s="2">
        <v>30</v>
      </c>
      <c r="G51" s="35">
        <v>9.5</v>
      </c>
      <c r="H51" s="2">
        <f t="shared" si="1"/>
        <v>20.5</v>
      </c>
      <c r="I51" s="17">
        <f t="shared" si="5"/>
        <v>1708.3333333333335</v>
      </c>
      <c r="J51" s="18"/>
      <c r="K51" s="17">
        <f t="shared" si="3"/>
        <v>791.66666666666663</v>
      </c>
      <c r="L51" s="17"/>
      <c r="M51" s="17"/>
      <c r="N51" s="37">
        <f t="shared" si="6"/>
        <v>1708.3333333333335</v>
      </c>
      <c r="O51" s="2"/>
    </row>
    <row r="52" spans="2:15" ht="19.899999999999999" customHeight="1">
      <c r="B52" s="2">
        <v>49</v>
      </c>
      <c r="C52" s="13" t="s">
        <v>111</v>
      </c>
      <c r="D52" s="38">
        <v>7000</v>
      </c>
      <c r="E52" s="17">
        <f t="shared" si="2"/>
        <v>233.33333333333334</v>
      </c>
      <c r="F52" s="2">
        <v>30</v>
      </c>
      <c r="G52" s="35">
        <v>0</v>
      </c>
      <c r="H52" s="2">
        <f t="shared" si="1"/>
        <v>30</v>
      </c>
      <c r="I52" s="17">
        <f t="shared" si="5"/>
        <v>7000</v>
      </c>
      <c r="J52" s="18">
        <v>1000</v>
      </c>
      <c r="K52" s="17">
        <f t="shared" si="3"/>
        <v>0</v>
      </c>
      <c r="L52" s="17"/>
      <c r="M52" s="17"/>
      <c r="N52" s="37">
        <f t="shared" si="6"/>
        <v>6000</v>
      </c>
      <c r="O52" s="2"/>
    </row>
    <row r="53" spans="2:15" ht="19.899999999999999" customHeight="1">
      <c r="B53" s="2">
        <v>50</v>
      </c>
      <c r="C53" s="13" t="s">
        <v>112</v>
      </c>
      <c r="D53" s="38">
        <v>3000</v>
      </c>
      <c r="E53" s="17">
        <f t="shared" si="2"/>
        <v>100</v>
      </c>
      <c r="F53" s="2">
        <v>30</v>
      </c>
      <c r="G53" s="35">
        <v>2</v>
      </c>
      <c r="H53" s="2">
        <f t="shared" si="1"/>
        <v>28</v>
      </c>
      <c r="I53" s="17">
        <f t="shared" si="5"/>
        <v>2800</v>
      </c>
      <c r="J53" s="18">
        <v>1500</v>
      </c>
      <c r="K53" s="17">
        <f t="shared" si="3"/>
        <v>200</v>
      </c>
      <c r="L53" s="17"/>
      <c r="M53" s="17"/>
      <c r="N53" s="37">
        <f t="shared" si="6"/>
        <v>1300</v>
      </c>
      <c r="O53" s="2"/>
    </row>
    <row r="54" spans="2:15" ht="19.899999999999999" customHeight="1">
      <c r="B54" s="2">
        <v>51</v>
      </c>
      <c r="C54" s="13" t="s">
        <v>113</v>
      </c>
      <c r="D54" s="38">
        <v>12500</v>
      </c>
      <c r="E54" s="17">
        <f t="shared" si="2"/>
        <v>416.66666666666669</v>
      </c>
      <c r="F54" s="2">
        <v>30</v>
      </c>
      <c r="G54" s="35">
        <v>0</v>
      </c>
      <c r="H54" s="2">
        <f t="shared" si="1"/>
        <v>30</v>
      </c>
      <c r="I54" s="17">
        <f t="shared" si="5"/>
        <v>12500</v>
      </c>
      <c r="J54" s="18"/>
      <c r="K54" s="17">
        <f t="shared" si="3"/>
        <v>0</v>
      </c>
      <c r="L54" s="17"/>
      <c r="M54" s="17"/>
      <c r="N54" s="37">
        <f t="shared" si="6"/>
        <v>12500</v>
      </c>
      <c r="O54" s="2"/>
    </row>
    <row r="55" spans="2:15" ht="19.899999999999999" customHeight="1">
      <c r="B55" s="2">
        <v>52</v>
      </c>
      <c r="C55" s="13" t="s">
        <v>114</v>
      </c>
      <c r="D55" s="38">
        <v>12500</v>
      </c>
      <c r="E55" s="17">
        <f t="shared" si="2"/>
        <v>416.66666666666669</v>
      </c>
      <c r="F55" s="2">
        <v>30</v>
      </c>
      <c r="G55" s="35">
        <v>0</v>
      </c>
      <c r="H55" s="2">
        <f t="shared" si="1"/>
        <v>30</v>
      </c>
      <c r="I55" s="17">
        <f t="shared" si="5"/>
        <v>12500</v>
      </c>
      <c r="J55" s="18"/>
      <c r="K55" s="17">
        <f t="shared" si="3"/>
        <v>0</v>
      </c>
      <c r="L55" s="17"/>
      <c r="M55" s="17"/>
      <c r="N55" s="37">
        <f t="shared" si="6"/>
        <v>12500</v>
      </c>
      <c r="O55" s="2"/>
    </row>
    <row r="56" spans="2:15" ht="19.899999999999999" customHeight="1">
      <c r="B56" s="2">
        <v>53</v>
      </c>
      <c r="C56" s="13" t="s">
        <v>110</v>
      </c>
      <c r="D56" s="38">
        <v>8000</v>
      </c>
      <c r="E56" s="17">
        <f t="shared" si="2"/>
        <v>266.66666666666669</v>
      </c>
      <c r="F56" s="2">
        <v>30</v>
      </c>
      <c r="G56" s="35">
        <v>20</v>
      </c>
      <c r="H56" s="2">
        <f t="shared" si="1"/>
        <v>10</v>
      </c>
      <c r="I56" s="17">
        <f t="shared" si="5"/>
        <v>2666.6666666666661</v>
      </c>
      <c r="J56" s="18"/>
      <c r="K56" s="17">
        <f t="shared" si="3"/>
        <v>5333.3333333333339</v>
      </c>
      <c r="L56" s="17"/>
      <c r="M56" s="17"/>
      <c r="N56" s="37">
        <f t="shared" si="6"/>
        <v>2666.6666666666661</v>
      </c>
      <c r="O56" s="2"/>
    </row>
    <row r="57" spans="2:15" ht="19.899999999999999" customHeight="1" thickBot="1">
      <c r="B57" s="2">
        <v>54</v>
      </c>
      <c r="C57" s="13" t="s">
        <v>39</v>
      </c>
      <c r="D57" s="16">
        <v>3850</v>
      </c>
      <c r="E57" s="17">
        <f t="shared" si="2"/>
        <v>128.33333333333334</v>
      </c>
      <c r="F57" s="2">
        <v>30</v>
      </c>
      <c r="G57" s="18">
        <v>0</v>
      </c>
      <c r="H57" s="2">
        <f t="shared" si="1"/>
        <v>30</v>
      </c>
      <c r="I57" s="17">
        <f t="shared" si="5"/>
        <v>3850</v>
      </c>
      <c r="J57" s="18"/>
      <c r="K57" s="17">
        <f t="shared" si="3"/>
        <v>0</v>
      </c>
      <c r="L57" s="17"/>
      <c r="M57" s="17"/>
      <c r="N57" s="37">
        <f t="shared" si="6"/>
        <v>3850</v>
      </c>
      <c r="O57" s="2"/>
    </row>
    <row r="58" spans="2:15" ht="19.899999999999999" customHeight="1">
      <c r="B58" s="2"/>
      <c r="C58" s="14" t="s">
        <v>40</v>
      </c>
      <c r="D58" s="19">
        <f>SUM(D4:D57)</f>
        <v>305800</v>
      </c>
      <c r="E58" s="22"/>
      <c r="F58" s="20"/>
      <c r="G58" s="22"/>
      <c r="H58" s="20"/>
      <c r="I58" s="24">
        <f t="shared" ref="I58:N58" si="7">SUM(I4:I57)</f>
        <v>275421.6666666668</v>
      </c>
      <c r="J58" s="20">
        <f t="shared" si="7"/>
        <v>39000</v>
      </c>
      <c r="K58" s="44">
        <f t="shared" si="7"/>
        <v>30378.333333333343</v>
      </c>
      <c r="L58" s="44">
        <f t="shared" si="7"/>
        <v>1344</v>
      </c>
      <c r="M58" s="20">
        <f t="shared" si="7"/>
        <v>282</v>
      </c>
      <c r="N58" s="39">
        <f t="shared" si="7"/>
        <v>234795.66666666672</v>
      </c>
      <c r="O58" s="2"/>
    </row>
    <row r="59" spans="2:15" ht="19.899999999999999" customHeight="1" thickBot="1">
      <c r="B59" s="10"/>
      <c r="C59" s="15"/>
      <c r="D59" s="21"/>
      <c r="E59" s="23"/>
      <c r="F59" s="12"/>
      <c r="G59" s="23"/>
      <c r="H59" s="12"/>
      <c r="I59" s="23"/>
      <c r="J59" s="12"/>
      <c r="K59" s="45">
        <f>+J58+L58+M58+N58</f>
        <v>275421.66666666674</v>
      </c>
      <c r="L59" s="23"/>
      <c r="M59" s="23"/>
      <c r="N59" s="32"/>
      <c r="O59" s="2"/>
    </row>
    <row r="60" spans="2:15">
      <c r="B60" s="10"/>
      <c r="I60" s="43"/>
      <c r="K60" s="43">
        <f>+I58-K59</f>
        <v>0</v>
      </c>
    </row>
    <row r="61" spans="2:15" ht="26.25">
      <c r="C61" s="26" t="s">
        <v>90</v>
      </c>
      <c r="D61" s="26"/>
      <c r="E61" s="26"/>
      <c r="F61" s="26"/>
      <c r="G61" s="26" t="s">
        <v>91</v>
      </c>
      <c r="H61" s="26"/>
      <c r="I61" s="26"/>
      <c r="J61" s="26"/>
      <c r="K61" s="26"/>
      <c r="L61" s="26" t="s">
        <v>92</v>
      </c>
      <c r="M61" s="26"/>
    </row>
    <row r="62" spans="2:15" ht="26.2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2:15">
      <c r="B63" s="1"/>
    </row>
    <row r="64" spans="2:15">
      <c r="B64" s="27"/>
    </row>
  </sheetData>
  <pageMargins left="0.12" right="0.21" top="0.32" bottom="0.32" header="0.3" footer="0.3"/>
  <pageSetup scale="95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T61"/>
  <sheetViews>
    <sheetView topLeftCell="A34" workbookViewId="0">
      <selection activeCell="H36" sqref="H36"/>
    </sheetView>
  </sheetViews>
  <sheetFormatPr defaultRowHeight="15"/>
  <cols>
    <col min="1" max="1" width="0.140625" customWidth="1"/>
    <col min="2" max="2" width="2.85546875" customWidth="1"/>
    <col min="3" max="3" width="22.42578125" bestFit="1" customWidth="1"/>
    <col min="4" max="4" width="8.7109375" customWidth="1"/>
    <col min="5" max="5" width="7.7109375" customWidth="1"/>
    <col min="6" max="6" width="7.140625" customWidth="1"/>
    <col min="7" max="7" width="5" customWidth="1"/>
    <col min="8" max="8" width="6.85546875" customWidth="1"/>
    <col min="9" max="9" width="10" customWidth="1"/>
    <col min="10" max="10" width="7.28515625" customWidth="1"/>
    <col min="11" max="11" width="7.140625" customWidth="1"/>
    <col min="12" max="12" width="8" customWidth="1"/>
    <col min="13" max="13" width="7" customWidth="1"/>
    <col min="14" max="14" width="5.42578125" customWidth="1"/>
    <col min="15" max="15" width="11.7109375" customWidth="1"/>
    <col min="16" max="16" width="22.28515625" customWidth="1"/>
    <col min="17" max="17" width="10.42578125" customWidth="1"/>
  </cols>
  <sheetData>
    <row r="1" spans="2:20">
      <c r="C1" s="6"/>
    </row>
    <row r="2" spans="2:20" ht="36">
      <c r="D2" t="s">
        <v>41</v>
      </c>
      <c r="E2" s="8" t="s">
        <v>95</v>
      </c>
      <c r="F2" s="8"/>
      <c r="G2" s="8"/>
      <c r="H2" s="9"/>
      <c r="I2" s="5"/>
      <c r="J2" s="5"/>
    </row>
    <row r="3" spans="2:20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35</v>
      </c>
      <c r="K3" s="2" t="s">
        <v>36</v>
      </c>
      <c r="L3" s="2" t="s">
        <v>33</v>
      </c>
      <c r="M3" s="2" t="s">
        <v>37</v>
      </c>
      <c r="N3" s="2" t="s">
        <v>38</v>
      </c>
      <c r="O3" s="28" t="s">
        <v>40</v>
      </c>
      <c r="P3" s="2" t="s">
        <v>105</v>
      </c>
      <c r="Q3" s="1"/>
      <c r="R3" s="1"/>
      <c r="S3" s="1"/>
      <c r="T3" s="1"/>
    </row>
    <row r="4" spans="2:20" ht="19.899999999999999" customHeight="1">
      <c r="B4" s="2">
        <v>1</v>
      </c>
      <c r="C4" s="13" t="s">
        <v>6</v>
      </c>
      <c r="D4" s="11">
        <v>11700</v>
      </c>
      <c r="E4" s="4">
        <f>SUM(D4/30)</f>
        <v>390</v>
      </c>
      <c r="F4" s="2">
        <v>30</v>
      </c>
      <c r="G4" s="2">
        <v>2</v>
      </c>
      <c r="H4" s="2">
        <v>30</v>
      </c>
      <c r="I4" s="4">
        <f>SUM(D4-L4)</f>
        <v>10920</v>
      </c>
      <c r="J4" s="2">
        <v>4000</v>
      </c>
      <c r="K4" s="2"/>
      <c r="L4" s="4">
        <f>SUM(G4*E4)</f>
        <v>780</v>
      </c>
      <c r="M4" s="4">
        <v>252</v>
      </c>
      <c r="N4" s="2">
        <v>53</v>
      </c>
      <c r="O4" s="29">
        <f>SUM(I4-J4-M4-N4)</f>
        <v>6615</v>
      </c>
      <c r="P4" s="2"/>
      <c r="Q4" s="1"/>
      <c r="R4" s="1"/>
      <c r="S4" s="1"/>
      <c r="T4" s="1"/>
    </row>
    <row r="5" spans="2:20" ht="19.899999999999999" customHeight="1">
      <c r="B5" s="2">
        <v>2</v>
      </c>
      <c r="C5" s="13" t="s">
        <v>7</v>
      </c>
      <c r="D5" s="11">
        <v>10200</v>
      </c>
      <c r="E5" s="4">
        <f t="shared" ref="E5:E54" si="0">SUM(D5/30)</f>
        <v>340</v>
      </c>
      <c r="F5" s="2">
        <v>30</v>
      </c>
      <c r="G5" s="2">
        <v>2.5</v>
      </c>
      <c r="H5" s="2">
        <f t="shared" ref="H5:H53" si="1">SUM(30-G5)</f>
        <v>27.5</v>
      </c>
      <c r="I5" s="4">
        <f t="shared" ref="I5:I54" si="2">SUM(D5-L5)</f>
        <v>9350</v>
      </c>
      <c r="J5" s="2">
        <v>4000</v>
      </c>
      <c r="K5" s="2"/>
      <c r="L5" s="4">
        <f t="shared" ref="L5:L54" si="3">SUM(G5*E5)</f>
        <v>850</v>
      </c>
      <c r="M5" s="4">
        <v>252</v>
      </c>
      <c r="N5" s="2">
        <v>53</v>
      </c>
      <c r="O5" s="29">
        <f t="shared" ref="O5:O54" si="4">SUM(I5-J5-M5-N5)</f>
        <v>5045</v>
      </c>
      <c r="P5" s="2"/>
      <c r="Q5" s="1"/>
      <c r="R5" s="1"/>
      <c r="S5" s="1"/>
      <c r="T5" s="1"/>
    </row>
    <row r="6" spans="2:20" ht="19.899999999999999" customHeight="1">
      <c r="B6" s="2">
        <v>3</v>
      </c>
      <c r="C6" s="13" t="s">
        <v>8</v>
      </c>
      <c r="D6" s="11">
        <v>9500</v>
      </c>
      <c r="E6" s="4">
        <f t="shared" si="0"/>
        <v>316.66666666666669</v>
      </c>
      <c r="F6" s="2">
        <v>30</v>
      </c>
      <c r="G6" s="2">
        <v>0.5</v>
      </c>
      <c r="H6" s="2">
        <f t="shared" si="1"/>
        <v>29.5</v>
      </c>
      <c r="I6" s="4">
        <f t="shared" si="2"/>
        <v>9341.6666666666661</v>
      </c>
      <c r="J6" s="2"/>
      <c r="K6" s="2">
        <v>1000</v>
      </c>
      <c r="L6" s="4">
        <f t="shared" si="3"/>
        <v>158.33333333333334</v>
      </c>
      <c r="M6" s="4">
        <v>252</v>
      </c>
      <c r="N6" s="2">
        <v>53</v>
      </c>
      <c r="O6" s="29">
        <v>8036</v>
      </c>
      <c r="P6" s="2"/>
      <c r="Q6" s="1"/>
      <c r="R6" s="42"/>
      <c r="S6" s="1"/>
      <c r="T6" s="1"/>
    </row>
    <row r="7" spans="2:20" ht="19.899999999999999" customHeight="1">
      <c r="B7" s="2">
        <v>4</v>
      </c>
      <c r="C7" s="13" t="s">
        <v>9</v>
      </c>
      <c r="D7" s="11">
        <v>8400</v>
      </c>
      <c r="E7" s="4">
        <f t="shared" si="0"/>
        <v>280</v>
      </c>
      <c r="F7" s="2">
        <v>30</v>
      </c>
      <c r="G7" s="3">
        <v>2.5</v>
      </c>
      <c r="H7" s="2">
        <f t="shared" si="1"/>
        <v>27.5</v>
      </c>
      <c r="I7" s="4">
        <f t="shared" si="2"/>
        <v>7700</v>
      </c>
      <c r="J7" s="2">
        <v>2000</v>
      </c>
      <c r="K7" s="2"/>
      <c r="L7" s="4">
        <f t="shared" si="3"/>
        <v>700</v>
      </c>
      <c r="M7" s="4">
        <v>252</v>
      </c>
      <c r="N7" s="2">
        <v>53</v>
      </c>
      <c r="O7" s="29">
        <f t="shared" si="4"/>
        <v>5395</v>
      </c>
      <c r="P7" s="2"/>
      <c r="Q7" s="1"/>
      <c r="R7" s="1"/>
      <c r="S7" s="1"/>
      <c r="T7" s="1"/>
    </row>
    <row r="8" spans="2:20" ht="19.899999999999999" customHeight="1">
      <c r="B8" s="2">
        <v>5</v>
      </c>
      <c r="C8" s="13" t="s">
        <v>22</v>
      </c>
      <c r="D8" s="11">
        <v>12000</v>
      </c>
      <c r="E8" s="4">
        <f>SUM(D8/30)</f>
        <v>400</v>
      </c>
      <c r="F8" s="2">
        <v>30</v>
      </c>
      <c r="G8" s="2">
        <v>2</v>
      </c>
      <c r="H8" s="2">
        <f>SUM(30-G8)</f>
        <v>28</v>
      </c>
      <c r="I8" s="4">
        <f>SUM(D8-L8)</f>
        <v>11200</v>
      </c>
      <c r="J8" s="2">
        <v>2870</v>
      </c>
      <c r="K8" s="2"/>
      <c r="L8" s="4">
        <f>SUM(G8*E8)</f>
        <v>800</v>
      </c>
      <c r="M8" s="4">
        <v>336</v>
      </c>
      <c r="N8" s="4">
        <v>70</v>
      </c>
      <c r="O8" s="29">
        <f>SUM(I8-J8-M8-N8)</f>
        <v>7924</v>
      </c>
      <c r="P8" s="2"/>
    </row>
    <row r="9" spans="2:20" ht="19.899999999999999" customHeight="1">
      <c r="B9" s="2">
        <v>6</v>
      </c>
      <c r="C9" s="13" t="s">
        <v>11</v>
      </c>
      <c r="D9" s="11">
        <v>7800</v>
      </c>
      <c r="E9" s="4">
        <f t="shared" si="0"/>
        <v>260</v>
      </c>
      <c r="F9" s="2">
        <v>30</v>
      </c>
      <c r="G9" s="3">
        <v>1.5</v>
      </c>
      <c r="H9" s="2">
        <f t="shared" si="1"/>
        <v>28.5</v>
      </c>
      <c r="I9" s="4">
        <f t="shared" si="2"/>
        <v>7410</v>
      </c>
      <c r="J9" s="2">
        <v>2000</v>
      </c>
      <c r="K9" s="2"/>
      <c r="L9" s="4">
        <f t="shared" si="3"/>
        <v>390</v>
      </c>
      <c r="M9" s="4"/>
      <c r="N9" s="4"/>
      <c r="O9" s="29">
        <f t="shared" si="4"/>
        <v>5410</v>
      </c>
      <c r="P9" s="2"/>
      <c r="Q9" s="1"/>
      <c r="R9" s="1"/>
      <c r="S9" s="1"/>
      <c r="T9" s="1"/>
    </row>
    <row r="10" spans="2:20" ht="19.899999999999999" customHeight="1">
      <c r="B10" s="2">
        <v>7</v>
      </c>
      <c r="C10" s="13" t="s">
        <v>12</v>
      </c>
      <c r="D10" s="11">
        <v>7050</v>
      </c>
      <c r="E10" s="4">
        <f t="shared" si="0"/>
        <v>235</v>
      </c>
      <c r="F10" s="2">
        <v>30</v>
      </c>
      <c r="G10" s="3">
        <v>1.5</v>
      </c>
      <c r="H10" s="2">
        <f t="shared" si="1"/>
        <v>28.5</v>
      </c>
      <c r="I10" s="4">
        <f t="shared" si="2"/>
        <v>6697.5</v>
      </c>
      <c r="J10" s="2">
        <v>0</v>
      </c>
      <c r="K10" s="2"/>
      <c r="L10" s="4">
        <f t="shared" si="3"/>
        <v>352.5</v>
      </c>
      <c r="M10" s="4"/>
      <c r="N10" s="4"/>
      <c r="O10" s="29">
        <f t="shared" si="4"/>
        <v>6697.5</v>
      </c>
      <c r="P10" s="2"/>
      <c r="Q10" s="1"/>
      <c r="R10" s="1"/>
      <c r="S10" s="1"/>
      <c r="T10" s="1"/>
    </row>
    <row r="11" spans="2:20" ht="19.899999999999999" customHeight="1">
      <c r="B11" s="2">
        <v>8</v>
      </c>
      <c r="C11" s="13" t="s">
        <v>13</v>
      </c>
      <c r="D11" s="11">
        <v>10000</v>
      </c>
      <c r="E11" s="4">
        <f t="shared" si="0"/>
        <v>333.33333333333331</v>
      </c>
      <c r="F11" s="2">
        <v>30</v>
      </c>
      <c r="G11" s="2">
        <v>0</v>
      </c>
      <c r="H11" s="2">
        <v>29</v>
      </c>
      <c r="I11" s="4">
        <f t="shared" si="2"/>
        <v>10000</v>
      </c>
      <c r="J11" s="2"/>
      <c r="K11" s="2"/>
      <c r="L11" s="4">
        <f t="shared" si="3"/>
        <v>0</v>
      </c>
      <c r="M11" s="4"/>
      <c r="N11" s="4"/>
      <c r="O11" s="29">
        <f t="shared" si="4"/>
        <v>10000</v>
      </c>
      <c r="P11" s="2"/>
      <c r="Q11" s="1"/>
      <c r="R11" s="1"/>
      <c r="S11" s="1"/>
      <c r="T11" s="1"/>
    </row>
    <row r="12" spans="2:20" ht="19.899999999999999" customHeight="1">
      <c r="B12" s="2">
        <v>9</v>
      </c>
      <c r="C12" s="13" t="s">
        <v>14</v>
      </c>
      <c r="D12" s="11">
        <v>3300</v>
      </c>
      <c r="E12" s="4">
        <f t="shared" si="0"/>
        <v>110</v>
      </c>
      <c r="F12" s="2">
        <v>30</v>
      </c>
      <c r="G12" s="2">
        <v>6.5</v>
      </c>
      <c r="H12" s="2">
        <f t="shared" si="1"/>
        <v>23.5</v>
      </c>
      <c r="I12" s="4">
        <f t="shared" si="2"/>
        <v>2585</v>
      </c>
      <c r="J12" s="2">
        <v>1500</v>
      </c>
      <c r="K12" s="2"/>
      <c r="L12" s="4">
        <f t="shared" si="3"/>
        <v>715</v>
      </c>
      <c r="M12" s="4"/>
      <c r="N12" s="4"/>
      <c r="O12" s="29">
        <f t="shared" si="4"/>
        <v>1085</v>
      </c>
      <c r="P12" s="2"/>
      <c r="Q12" s="1"/>
      <c r="R12" s="1"/>
      <c r="S12" s="1"/>
      <c r="T12" s="1"/>
    </row>
    <row r="13" spans="2:20" ht="19.899999999999999" customHeight="1">
      <c r="B13" s="2">
        <v>10</v>
      </c>
      <c r="C13" s="13" t="s">
        <v>15</v>
      </c>
      <c r="D13" s="11">
        <v>4700</v>
      </c>
      <c r="E13" s="4">
        <f t="shared" si="0"/>
        <v>156.66666666666666</v>
      </c>
      <c r="F13" s="2">
        <v>30</v>
      </c>
      <c r="G13" s="3">
        <v>2.5</v>
      </c>
      <c r="H13" s="2">
        <f t="shared" si="1"/>
        <v>27.5</v>
      </c>
      <c r="I13" s="4">
        <f t="shared" si="2"/>
        <v>4308.333333333333</v>
      </c>
      <c r="J13" s="2">
        <v>0</v>
      </c>
      <c r="K13" s="2"/>
      <c r="L13" s="4">
        <f t="shared" si="3"/>
        <v>391.66666666666663</v>
      </c>
      <c r="M13" s="4"/>
      <c r="N13" s="4"/>
      <c r="O13" s="29">
        <f t="shared" si="4"/>
        <v>4308.333333333333</v>
      </c>
      <c r="P13" s="2"/>
      <c r="Q13" s="1"/>
      <c r="R13" s="1"/>
      <c r="S13" s="1"/>
      <c r="T13" s="1"/>
    </row>
    <row r="14" spans="2:20" ht="19.899999999999999" customHeight="1">
      <c r="B14" s="2">
        <v>11</v>
      </c>
      <c r="C14" s="13" t="s">
        <v>87</v>
      </c>
      <c r="D14" s="11">
        <v>4500</v>
      </c>
      <c r="E14" s="4">
        <f t="shared" si="0"/>
        <v>150</v>
      </c>
      <c r="F14" s="2">
        <v>30</v>
      </c>
      <c r="G14" s="3">
        <v>2</v>
      </c>
      <c r="H14" s="2">
        <f t="shared" si="1"/>
        <v>28</v>
      </c>
      <c r="I14" s="4">
        <f t="shared" si="2"/>
        <v>4200</v>
      </c>
      <c r="J14" s="2">
        <v>0</v>
      </c>
      <c r="K14" s="2"/>
      <c r="L14" s="4">
        <f t="shared" si="3"/>
        <v>300</v>
      </c>
      <c r="M14" s="4"/>
      <c r="N14" s="4"/>
      <c r="O14" s="29">
        <f t="shared" si="4"/>
        <v>4200</v>
      </c>
      <c r="P14" s="2"/>
      <c r="Q14" s="1"/>
      <c r="R14" s="1"/>
      <c r="S14" s="1"/>
      <c r="T14" s="1"/>
    </row>
    <row r="15" spans="2:20" ht="19.899999999999999" customHeight="1">
      <c r="B15" s="2">
        <v>12</v>
      </c>
      <c r="C15" s="13" t="s">
        <v>16</v>
      </c>
      <c r="D15" s="11">
        <v>4300</v>
      </c>
      <c r="E15" s="4">
        <f t="shared" si="0"/>
        <v>143.33333333333334</v>
      </c>
      <c r="F15" s="2">
        <v>30</v>
      </c>
      <c r="G15" s="2">
        <v>0</v>
      </c>
      <c r="H15" s="2">
        <f t="shared" si="1"/>
        <v>30</v>
      </c>
      <c r="I15" s="4">
        <f t="shared" si="2"/>
        <v>4300</v>
      </c>
      <c r="J15" s="2"/>
      <c r="K15" s="2"/>
      <c r="L15" s="4">
        <f t="shared" si="3"/>
        <v>0</v>
      </c>
      <c r="M15" s="4"/>
      <c r="N15" s="4"/>
      <c r="O15" s="29">
        <f t="shared" si="4"/>
        <v>4300</v>
      </c>
      <c r="P15" s="2"/>
      <c r="Q15" s="1"/>
      <c r="R15" s="1"/>
      <c r="S15" s="1"/>
      <c r="T15" s="1"/>
    </row>
    <row r="16" spans="2:20" ht="19.899999999999999" customHeight="1">
      <c r="B16" s="2">
        <v>13</v>
      </c>
      <c r="C16" s="13" t="s">
        <v>17</v>
      </c>
      <c r="D16" s="11">
        <v>3850</v>
      </c>
      <c r="E16" s="4">
        <f t="shared" si="0"/>
        <v>128.33333333333334</v>
      </c>
      <c r="F16" s="2">
        <v>30</v>
      </c>
      <c r="G16" s="2">
        <v>2.5</v>
      </c>
      <c r="H16" s="2">
        <f t="shared" si="1"/>
        <v>27.5</v>
      </c>
      <c r="I16" s="4">
        <f t="shared" si="2"/>
        <v>3529.1666666666665</v>
      </c>
      <c r="J16" s="2"/>
      <c r="K16" s="2"/>
      <c r="L16" s="4">
        <f t="shared" si="3"/>
        <v>320.83333333333337</v>
      </c>
      <c r="M16" s="4"/>
      <c r="N16" s="4"/>
      <c r="O16" s="29">
        <f t="shared" si="4"/>
        <v>3529.1666666666665</v>
      </c>
      <c r="P16" s="2"/>
      <c r="Q16" s="1"/>
      <c r="R16" s="1"/>
      <c r="S16" s="1"/>
      <c r="T16" s="1"/>
    </row>
    <row r="17" spans="2:20" ht="19.899999999999999" customHeight="1">
      <c r="B17" s="2">
        <v>14</v>
      </c>
      <c r="C17" s="13" t="s">
        <v>77</v>
      </c>
      <c r="D17" s="11">
        <v>2900</v>
      </c>
      <c r="E17" s="4">
        <f t="shared" si="0"/>
        <v>96.666666666666671</v>
      </c>
      <c r="F17" s="2">
        <v>30</v>
      </c>
      <c r="G17" s="3">
        <v>1</v>
      </c>
      <c r="H17" s="2">
        <f t="shared" si="1"/>
        <v>29</v>
      </c>
      <c r="I17" s="4">
        <f t="shared" si="2"/>
        <v>2803.3333333333335</v>
      </c>
      <c r="J17" s="2"/>
      <c r="K17" s="2"/>
      <c r="L17" s="4">
        <f t="shared" si="3"/>
        <v>96.666666666666671</v>
      </c>
      <c r="M17" s="4"/>
      <c r="N17" s="4"/>
      <c r="O17" s="29">
        <f t="shared" si="4"/>
        <v>2803.3333333333335</v>
      </c>
      <c r="P17" s="2"/>
      <c r="Q17" s="1"/>
      <c r="R17" s="1"/>
      <c r="S17" s="1"/>
      <c r="T17" s="1"/>
    </row>
    <row r="18" spans="2:20" ht="19.899999999999999" customHeight="1">
      <c r="B18" s="2">
        <v>15</v>
      </c>
      <c r="C18" s="13" t="s">
        <v>18</v>
      </c>
      <c r="D18" s="11">
        <v>4450</v>
      </c>
      <c r="E18" s="4">
        <f t="shared" si="0"/>
        <v>148.33333333333334</v>
      </c>
      <c r="F18" s="2">
        <v>30</v>
      </c>
      <c r="G18" s="2">
        <v>1</v>
      </c>
      <c r="H18" s="2">
        <f t="shared" si="1"/>
        <v>29</v>
      </c>
      <c r="I18" s="4">
        <f t="shared" si="2"/>
        <v>4301.666666666667</v>
      </c>
      <c r="J18" s="2"/>
      <c r="K18" s="2"/>
      <c r="L18" s="4">
        <f t="shared" si="3"/>
        <v>148.33333333333334</v>
      </c>
      <c r="M18" s="4"/>
      <c r="N18" s="4"/>
      <c r="O18" s="29">
        <f t="shared" si="4"/>
        <v>4301.666666666667</v>
      </c>
      <c r="P18" s="2"/>
      <c r="Q18" s="1"/>
      <c r="R18" s="1"/>
      <c r="S18" s="1"/>
      <c r="T18" s="1"/>
    </row>
    <row r="19" spans="2:20" ht="19.899999999999999" customHeight="1">
      <c r="B19" s="2">
        <v>16</v>
      </c>
      <c r="C19" s="13" t="s">
        <v>19</v>
      </c>
      <c r="D19" s="11">
        <v>3850</v>
      </c>
      <c r="E19" s="4">
        <f t="shared" si="0"/>
        <v>128.33333333333334</v>
      </c>
      <c r="F19" s="2">
        <v>30</v>
      </c>
      <c r="G19" s="2">
        <v>0</v>
      </c>
      <c r="H19" s="2">
        <f t="shared" si="1"/>
        <v>30</v>
      </c>
      <c r="I19" s="4">
        <f t="shared" si="2"/>
        <v>3850</v>
      </c>
      <c r="J19" s="2"/>
      <c r="K19" s="2"/>
      <c r="L19" s="4">
        <f t="shared" si="3"/>
        <v>0</v>
      </c>
      <c r="M19" s="4"/>
      <c r="N19" s="4"/>
      <c r="O19" s="29">
        <f t="shared" si="4"/>
        <v>3850</v>
      </c>
      <c r="P19" s="2"/>
      <c r="Q19" s="1"/>
      <c r="R19" s="1"/>
      <c r="S19" s="1"/>
      <c r="T19" s="1"/>
    </row>
    <row r="20" spans="2:20" ht="19.899999999999999" customHeight="1">
      <c r="B20" s="2">
        <v>17</v>
      </c>
      <c r="C20" s="13" t="s">
        <v>20</v>
      </c>
      <c r="D20" s="11">
        <v>4250</v>
      </c>
      <c r="E20" s="4">
        <f t="shared" si="0"/>
        <v>141.66666666666666</v>
      </c>
      <c r="F20" s="2">
        <v>30</v>
      </c>
      <c r="G20" s="2">
        <v>0.5</v>
      </c>
      <c r="H20" s="2">
        <f t="shared" si="1"/>
        <v>29.5</v>
      </c>
      <c r="I20" s="4">
        <f t="shared" si="2"/>
        <v>4179.166666666667</v>
      </c>
      <c r="J20" s="2"/>
      <c r="K20" s="2"/>
      <c r="L20" s="4">
        <f t="shared" si="3"/>
        <v>70.833333333333329</v>
      </c>
      <c r="M20" s="4"/>
      <c r="N20" s="4"/>
      <c r="O20" s="29">
        <f t="shared" si="4"/>
        <v>4179.166666666667</v>
      </c>
      <c r="P20" s="2"/>
      <c r="Q20" s="1"/>
      <c r="R20" s="1"/>
      <c r="S20" s="1"/>
      <c r="T20" s="1"/>
    </row>
    <row r="21" spans="2:20" ht="19.899999999999999" customHeight="1">
      <c r="B21" s="2">
        <v>18</v>
      </c>
      <c r="C21" s="13" t="s">
        <v>21</v>
      </c>
      <c r="D21" s="11">
        <v>3800</v>
      </c>
      <c r="E21" s="4">
        <f t="shared" si="0"/>
        <v>126.66666666666667</v>
      </c>
      <c r="F21" s="2">
        <v>30</v>
      </c>
      <c r="G21" s="3">
        <v>0</v>
      </c>
      <c r="H21" s="2">
        <f t="shared" si="1"/>
        <v>30</v>
      </c>
      <c r="I21" s="4">
        <f t="shared" si="2"/>
        <v>3800</v>
      </c>
      <c r="J21" s="2">
        <v>500</v>
      </c>
      <c r="K21" s="2"/>
      <c r="L21" s="4">
        <f t="shared" si="3"/>
        <v>0</v>
      </c>
      <c r="M21" s="4"/>
      <c r="N21" s="4"/>
      <c r="O21" s="29">
        <f t="shared" si="4"/>
        <v>3300</v>
      </c>
      <c r="P21" s="2"/>
      <c r="Q21" s="1"/>
      <c r="R21" s="1"/>
      <c r="S21" s="1"/>
      <c r="T21" s="1"/>
    </row>
    <row r="22" spans="2:20" ht="19.899999999999999" customHeight="1">
      <c r="B22" s="2">
        <v>19</v>
      </c>
      <c r="C22" s="13" t="s">
        <v>10</v>
      </c>
      <c r="D22" s="11">
        <v>7100</v>
      </c>
      <c r="E22" s="4">
        <f>SUM(D22/30)</f>
        <v>236.66666666666666</v>
      </c>
      <c r="F22" s="2">
        <v>30</v>
      </c>
      <c r="G22" s="3">
        <v>2</v>
      </c>
      <c r="H22" s="2">
        <f>SUM(30-G22)</f>
        <v>28</v>
      </c>
      <c r="I22" s="4">
        <f>SUM(D22-L22)</f>
        <v>6626.666666666667</v>
      </c>
      <c r="J22" s="2">
        <v>1500</v>
      </c>
      <c r="K22" s="2"/>
      <c r="L22" s="4">
        <f>SUM(G22*E22)</f>
        <v>473.33333333333331</v>
      </c>
      <c r="M22" s="4"/>
      <c r="N22" s="4"/>
      <c r="O22" s="29">
        <f t="shared" si="4"/>
        <v>5126.666666666667</v>
      </c>
      <c r="P22" s="2"/>
      <c r="Q22" s="1"/>
      <c r="R22" s="1"/>
      <c r="S22" s="1"/>
      <c r="T22" s="1"/>
    </row>
    <row r="23" spans="2:20" ht="19.899999999999999" customHeight="1">
      <c r="B23" s="2">
        <v>20</v>
      </c>
      <c r="C23" s="13" t="s">
        <v>23</v>
      </c>
      <c r="D23" s="11">
        <v>3700</v>
      </c>
      <c r="E23" s="4">
        <f t="shared" si="0"/>
        <v>123.33333333333333</v>
      </c>
      <c r="F23" s="2">
        <v>30</v>
      </c>
      <c r="G23" s="2">
        <v>0.5</v>
      </c>
      <c r="H23" s="2">
        <f t="shared" si="1"/>
        <v>29.5</v>
      </c>
      <c r="I23" s="4">
        <f t="shared" si="2"/>
        <v>3638.3333333333335</v>
      </c>
      <c r="J23" s="2"/>
      <c r="K23" s="2"/>
      <c r="L23" s="4">
        <f t="shared" si="3"/>
        <v>61.666666666666664</v>
      </c>
      <c r="M23" s="4"/>
      <c r="N23" s="4"/>
      <c r="O23" s="29">
        <f t="shared" si="4"/>
        <v>3638.3333333333335</v>
      </c>
      <c r="P23" s="2"/>
      <c r="Q23" s="1"/>
      <c r="R23" s="1"/>
      <c r="S23" s="1"/>
      <c r="T23" s="1"/>
    </row>
    <row r="24" spans="2:20" ht="19.899999999999999" customHeight="1">
      <c r="B24" s="2">
        <v>21</v>
      </c>
      <c r="C24" s="13" t="s">
        <v>24</v>
      </c>
      <c r="D24" s="11">
        <v>3600</v>
      </c>
      <c r="E24" s="4">
        <f t="shared" si="0"/>
        <v>120</v>
      </c>
      <c r="F24" s="2">
        <v>30</v>
      </c>
      <c r="G24" s="3">
        <v>0</v>
      </c>
      <c r="H24" s="2">
        <f t="shared" si="1"/>
        <v>30</v>
      </c>
      <c r="I24" s="4">
        <f t="shared" si="2"/>
        <v>3600</v>
      </c>
      <c r="J24" s="2"/>
      <c r="K24" s="2"/>
      <c r="L24" s="4">
        <f t="shared" si="3"/>
        <v>0</v>
      </c>
      <c r="M24" s="4"/>
      <c r="N24" s="4"/>
      <c r="O24" s="29">
        <f t="shared" si="4"/>
        <v>3600</v>
      </c>
      <c r="P24" s="2"/>
      <c r="Q24" s="1"/>
      <c r="R24" s="1"/>
      <c r="S24" s="1"/>
      <c r="T24" s="1"/>
    </row>
    <row r="25" spans="2:20" ht="19.899999999999999" customHeight="1">
      <c r="B25" s="2">
        <v>22</v>
      </c>
      <c r="C25" s="13" t="s">
        <v>25</v>
      </c>
      <c r="D25" s="11">
        <v>3700</v>
      </c>
      <c r="E25" s="4">
        <f t="shared" si="0"/>
        <v>123.33333333333333</v>
      </c>
      <c r="F25" s="2">
        <v>30</v>
      </c>
      <c r="G25" s="3">
        <v>1.5</v>
      </c>
      <c r="H25" s="2">
        <f t="shared" si="1"/>
        <v>28.5</v>
      </c>
      <c r="I25" s="4">
        <f t="shared" si="2"/>
        <v>3515</v>
      </c>
      <c r="J25" s="2"/>
      <c r="K25" s="2"/>
      <c r="L25" s="4">
        <f t="shared" si="3"/>
        <v>185</v>
      </c>
      <c r="M25" s="4"/>
      <c r="N25" s="4"/>
      <c r="O25" s="29">
        <f t="shared" si="4"/>
        <v>3515</v>
      </c>
      <c r="P25" s="2"/>
      <c r="Q25" s="1"/>
      <c r="R25" s="1"/>
      <c r="S25" s="1"/>
      <c r="T25" s="1"/>
    </row>
    <row r="26" spans="2:20" ht="19.899999999999999" customHeight="1">
      <c r="B26" s="2">
        <v>23</v>
      </c>
      <c r="C26" s="13" t="s">
        <v>27</v>
      </c>
      <c r="D26" s="11">
        <v>3000</v>
      </c>
      <c r="E26" s="4">
        <f t="shared" si="0"/>
        <v>100</v>
      </c>
      <c r="F26" s="2">
        <v>30</v>
      </c>
      <c r="G26" s="3">
        <v>4.5</v>
      </c>
      <c r="H26" s="2">
        <f t="shared" si="1"/>
        <v>25.5</v>
      </c>
      <c r="I26" s="4">
        <f t="shared" si="2"/>
        <v>2550</v>
      </c>
      <c r="J26" s="2"/>
      <c r="K26" s="2"/>
      <c r="L26" s="4">
        <f t="shared" si="3"/>
        <v>450</v>
      </c>
      <c r="M26" s="4"/>
      <c r="N26" s="4"/>
      <c r="O26" s="29">
        <f t="shared" si="4"/>
        <v>2550</v>
      </c>
      <c r="P26" s="2"/>
      <c r="Q26" s="1"/>
      <c r="R26" s="1"/>
      <c r="S26" s="1"/>
      <c r="T26" s="1"/>
    </row>
    <row r="27" spans="2:20" ht="19.899999999999999" customHeight="1">
      <c r="B27" s="2">
        <v>24</v>
      </c>
      <c r="C27" s="13" t="s">
        <v>28</v>
      </c>
      <c r="D27" s="11">
        <v>7000</v>
      </c>
      <c r="E27" s="4">
        <f t="shared" si="0"/>
        <v>233.33333333333334</v>
      </c>
      <c r="F27" s="2">
        <v>30</v>
      </c>
      <c r="G27" s="3">
        <v>3</v>
      </c>
      <c r="H27" s="2">
        <f t="shared" si="1"/>
        <v>27</v>
      </c>
      <c r="I27" s="4">
        <f t="shared" si="2"/>
        <v>6300</v>
      </c>
      <c r="J27" s="2"/>
      <c r="K27" s="2"/>
      <c r="L27" s="4">
        <f t="shared" si="3"/>
        <v>700</v>
      </c>
      <c r="M27" s="4"/>
      <c r="N27" s="4"/>
      <c r="O27" s="29">
        <f t="shared" si="4"/>
        <v>6300</v>
      </c>
      <c r="P27" s="2"/>
      <c r="Q27" s="1"/>
      <c r="R27" s="1"/>
      <c r="S27" s="1"/>
      <c r="T27" s="1"/>
    </row>
    <row r="28" spans="2:20" ht="19.899999999999999" customHeight="1">
      <c r="B28" s="2">
        <v>25</v>
      </c>
      <c r="C28" s="13" t="s">
        <v>42</v>
      </c>
      <c r="D28" s="11">
        <v>6000</v>
      </c>
      <c r="E28" s="4">
        <f t="shared" si="0"/>
        <v>200</v>
      </c>
      <c r="F28" s="2">
        <v>30</v>
      </c>
      <c r="G28" s="2">
        <v>2.5</v>
      </c>
      <c r="H28" s="2">
        <f t="shared" si="1"/>
        <v>27.5</v>
      </c>
      <c r="I28" s="4">
        <f t="shared" si="2"/>
        <v>5500</v>
      </c>
      <c r="J28" s="2"/>
      <c r="K28" s="2"/>
      <c r="L28" s="4">
        <f t="shared" si="3"/>
        <v>500</v>
      </c>
      <c r="M28" s="4"/>
      <c r="N28" s="4"/>
      <c r="O28" s="29">
        <f t="shared" si="4"/>
        <v>5500</v>
      </c>
      <c r="P28" s="2"/>
      <c r="Q28" s="1"/>
      <c r="R28" s="1"/>
      <c r="S28" s="1"/>
      <c r="T28" s="1"/>
    </row>
    <row r="29" spans="2:20" ht="19.899999999999999" customHeight="1">
      <c r="B29" s="2">
        <v>26</v>
      </c>
      <c r="C29" s="13" t="s">
        <v>84</v>
      </c>
      <c r="D29" s="11">
        <v>7000</v>
      </c>
      <c r="E29" s="4">
        <f t="shared" si="0"/>
        <v>233.33333333333334</v>
      </c>
      <c r="F29" s="2">
        <v>30</v>
      </c>
      <c r="G29" s="3">
        <v>0</v>
      </c>
      <c r="H29" s="2">
        <f t="shared" si="1"/>
        <v>30</v>
      </c>
      <c r="I29" s="4">
        <f t="shared" si="2"/>
        <v>7000</v>
      </c>
      <c r="J29" s="2"/>
      <c r="K29" s="2"/>
      <c r="L29" s="4">
        <f t="shared" si="3"/>
        <v>0</v>
      </c>
      <c r="M29" s="4"/>
      <c r="N29" s="4"/>
      <c r="O29" s="29">
        <f t="shared" si="4"/>
        <v>7000</v>
      </c>
      <c r="P29" s="2"/>
      <c r="Q29" s="1"/>
      <c r="R29" s="1"/>
      <c r="S29" s="1"/>
      <c r="T29" s="1"/>
    </row>
    <row r="30" spans="2:20" ht="19.899999999999999" customHeight="1">
      <c r="B30" s="2">
        <v>27</v>
      </c>
      <c r="C30" s="13" t="s">
        <v>29</v>
      </c>
      <c r="D30" s="11">
        <v>6700</v>
      </c>
      <c r="E30" s="4">
        <f t="shared" si="0"/>
        <v>223.33333333333334</v>
      </c>
      <c r="F30" s="2">
        <v>30</v>
      </c>
      <c r="G30" s="3">
        <v>0</v>
      </c>
      <c r="H30" s="2">
        <f t="shared" si="1"/>
        <v>30</v>
      </c>
      <c r="I30" s="4">
        <f t="shared" si="2"/>
        <v>6700</v>
      </c>
      <c r="J30" s="2">
        <v>500</v>
      </c>
      <c r="K30" s="2"/>
      <c r="L30" s="4">
        <f t="shared" si="3"/>
        <v>0</v>
      </c>
      <c r="M30" s="4"/>
      <c r="N30" s="4"/>
      <c r="O30" s="29">
        <f t="shared" si="4"/>
        <v>6200</v>
      </c>
      <c r="P30" s="2"/>
      <c r="Q30" s="1"/>
      <c r="R30" s="1"/>
      <c r="S30" s="1"/>
      <c r="T30" s="1"/>
    </row>
    <row r="31" spans="2:20" ht="19.899999999999999" customHeight="1">
      <c r="B31" s="2">
        <v>28</v>
      </c>
      <c r="C31" s="13" t="s">
        <v>30</v>
      </c>
      <c r="D31" s="11">
        <v>3200</v>
      </c>
      <c r="E31" s="4">
        <f t="shared" si="0"/>
        <v>106.66666666666667</v>
      </c>
      <c r="F31" s="2">
        <v>30</v>
      </c>
      <c r="G31" s="3">
        <v>24</v>
      </c>
      <c r="H31" s="2">
        <f t="shared" si="1"/>
        <v>6</v>
      </c>
      <c r="I31" s="4">
        <f t="shared" si="2"/>
        <v>640</v>
      </c>
      <c r="J31" s="2"/>
      <c r="K31" s="2"/>
      <c r="L31" s="4">
        <f t="shared" si="3"/>
        <v>2560</v>
      </c>
      <c r="M31" s="4"/>
      <c r="N31" s="4"/>
      <c r="O31" s="29">
        <f t="shared" si="4"/>
        <v>640</v>
      </c>
      <c r="P31" s="2"/>
      <c r="Q31" s="1"/>
      <c r="R31" s="1"/>
      <c r="S31" s="1"/>
      <c r="T31" s="1"/>
    </row>
    <row r="32" spans="2:20" ht="19.899999999999999" customHeight="1">
      <c r="B32" s="2">
        <v>29</v>
      </c>
      <c r="C32" s="13" t="s">
        <v>76</v>
      </c>
      <c r="D32" s="11">
        <v>2850</v>
      </c>
      <c r="E32" s="4">
        <f t="shared" si="0"/>
        <v>95</v>
      </c>
      <c r="F32" s="2">
        <v>30</v>
      </c>
      <c r="G32" s="3">
        <v>0.5</v>
      </c>
      <c r="H32" s="2">
        <f t="shared" si="1"/>
        <v>29.5</v>
      </c>
      <c r="I32" s="4">
        <f t="shared" si="2"/>
        <v>2802.5</v>
      </c>
      <c r="J32" s="2">
        <v>1000</v>
      </c>
      <c r="K32" s="2"/>
      <c r="L32" s="4">
        <f t="shared" si="3"/>
        <v>47.5</v>
      </c>
      <c r="M32" s="4"/>
      <c r="N32" s="4"/>
      <c r="O32" s="29">
        <f t="shared" si="4"/>
        <v>1802.5</v>
      </c>
      <c r="P32" s="2"/>
      <c r="Q32" s="1"/>
      <c r="R32" s="1"/>
      <c r="S32" s="1"/>
      <c r="T32" s="1"/>
    </row>
    <row r="33" spans="2:20" ht="19.899999999999999" customHeight="1">
      <c r="B33" s="2">
        <v>30</v>
      </c>
      <c r="C33" s="13" t="s">
        <v>15</v>
      </c>
      <c r="D33" s="11">
        <v>2850</v>
      </c>
      <c r="E33" s="4">
        <f t="shared" si="0"/>
        <v>95</v>
      </c>
      <c r="F33" s="2">
        <v>30</v>
      </c>
      <c r="G33" s="3">
        <v>1</v>
      </c>
      <c r="H33" s="2">
        <f t="shared" si="1"/>
        <v>29</v>
      </c>
      <c r="I33" s="4">
        <f t="shared" si="2"/>
        <v>2755</v>
      </c>
      <c r="J33" s="2"/>
      <c r="K33" s="2"/>
      <c r="L33" s="4">
        <f t="shared" si="3"/>
        <v>95</v>
      </c>
      <c r="M33" s="4"/>
      <c r="N33" s="4"/>
      <c r="O33" s="29">
        <f t="shared" si="4"/>
        <v>2755</v>
      </c>
      <c r="P33" s="2"/>
      <c r="Q33" s="1"/>
      <c r="R33" s="1"/>
      <c r="S33" s="1"/>
      <c r="T33" s="1"/>
    </row>
    <row r="34" spans="2:20" ht="19.899999999999999" customHeight="1">
      <c r="B34" s="2">
        <v>31</v>
      </c>
      <c r="C34" s="13" t="s">
        <v>88</v>
      </c>
      <c r="D34" s="11">
        <v>3500</v>
      </c>
      <c r="E34" s="4">
        <f t="shared" si="0"/>
        <v>116.66666666666667</v>
      </c>
      <c r="F34" s="2">
        <v>30</v>
      </c>
      <c r="G34" s="3">
        <v>0.5</v>
      </c>
      <c r="H34" s="2">
        <v>18.5</v>
      </c>
      <c r="I34" s="4">
        <f t="shared" si="2"/>
        <v>3441.6666666666665</v>
      </c>
      <c r="J34" s="2"/>
      <c r="K34" s="2"/>
      <c r="L34" s="4">
        <f t="shared" si="3"/>
        <v>58.333333333333336</v>
      </c>
      <c r="M34" s="4"/>
      <c r="N34" s="4"/>
      <c r="O34" s="29">
        <f t="shared" si="4"/>
        <v>3441.6666666666665</v>
      </c>
      <c r="P34" s="2"/>
      <c r="Q34" s="1"/>
      <c r="R34" s="1"/>
      <c r="S34" s="1"/>
      <c r="T34" s="1"/>
    </row>
    <row r="35" spans="2:20" ht="19.899999999999999" customHeight="1">
      <c r="B35" s="2">
        <v>32</v>
      </c>
      <c r="C35" s="13" t="s">
        <v>82</v>
      </c>
      <c r="D35" s="11">
        <v>7500</v>
      </c>
      <c r="E35" s="4">
        <f t="shared" si="0"/>
        <v>250</v>
      </c>
      <c r="F35" s="2">
        <v>30</v>
      </c>
      <c r="G35" s="3">
        <v>3.5</v>
      </c>
      <c r="H35" s="2">
        <f>SUM(30-G35)</f>
        <v>26.5</v>
      </c>
      <c r="I35" s="4">
        <f t="shared" si="2"/>
        <v>6625</v>
      </c>
      <c r="J35" s="2">
        <v>2000</v>
      </c>
      <c r="K35" s="2"/>
      <c r="L35" s="4">
        <f t="shared" si="3"/>
        <v>875</v>
      </c>
      <c r="M35" s="4"/>
      <c r="N35" s="4"/>
      <c r="O35" s="29">
        <f t="shared" si="4"/>
        <v>4625</v>
      </c>
      <c r="P35" s="2"/>
      <c r="Q35" s="1"/>
      <c r="R35" s="1"/>
      <c r="S35" s="1"/>
      <c r="T35" s="1"/>
    </row>
    <row r="36" spans="2:20" ht="19.899999999999999" customHeight="1">
      <c r="B36" s="2">
        <v>33</v>
      </c>
      <c r="C36" s="13" t="s">
        <v>83</v>
      </c>
      <c r="D36" s="11">
        <v>20000</v>
      </c>
      <c r="E36" s="4">
        <f t="shared" si="0"/>
        <v>666.66666666666663</v>
      </c>
      <c r="F36" s="2">
        <v>30</v>
      </c>
      <c r="G36" s="3">
        <v>3</v>
      </c>
      <c r="H36" s="2">
        <f t="shared" si="1"/>
        <v>27</v>
      </c>
      <c r="I36" s="4">
        <f t="shared" si="2"/>
        <v>18000</v>
      </c>
      <c r="J36" s="2">
        <v>6000</v>
      </c>
      <c r="K36" s="2"/>
      <c r="L36" s="4">
        <f t="shared" si="3"/>
        <v>2000</v>
      </c>
      <c r="M36" s="4"/>
      <c r="N36" s="4"/>
      <c r="O36" s="29">
        <f t="shared" si="4"/>
        <v>12000</v>
      </c>
      <c r="P36" s="2"/>
      <c r="Q36" s="1"/>
      <c r="R36" s="1"/>
      <c r="S36" s="1"/>
      <c r="T36" s="1"/>
    </row>
    <row r="37" spans="2:20" ht="19.899999999999999" customHeight="1">
      <c r="B37" s="2">
        <v>34</v>
      </c>
      <c r="C37" s="13" t="s">
        <v>79</v>
      </c>
      <c r="D37" s="11">
        <v>2500</v>
      </c>
      <c r="E37" s="4">
        <f t="shared" si="0"/>
        <v>83.333333333333329</v>
      </c>
      <c r="F37" s="2">
        <v>30</v>
      </c>
      <c r="G37" s="3">
        <v>2</v>
      </c>
      <c r="H37" s="2">
        <f t="shared" si="1"/>
        <v>28</v>
      </c>
      <c r="I37" s="4">
        <f t="shared" si="2"/>
        <v>2333.3333333333335</v>
      </c>
      <c r="J37" s="2"/>
      <c r="K37" s="2"/>
      <c r="L37" s="4">
        <f t="shared" si="3"/>
        <v>166.66666666666666</v>
      </c>
      <c r="M37" s="4"/>
      <c r="N37" s="4"/>
      <c r="O37" s="29">
        <f t="shared" si="4"/>
        <v>2333.3333333333335</v>
      </c>
      <c r="P37" s="2"/>
      <c r="Q37" s="1"/>
      <c r="R37" s="1"/>
      <c r="S37" s="1"/>
      <c r="T37" s="1"/>
    </row>
    <row r="38" spans="2:20" ht="19.899999999999999" customHeight="1">
      <c r="B38" s="2">
        <v>35</v>
      </c>
      <c r="C38" s="13" t="s">
        <v>85</v>
      </c>
      <c r="D38" s="11">
        <v>2500</v>
      </c>
      <c r="E38" s="4">
        <f t="shared" si="0"/>
        <v>83.333333333333329</v>
      </c>
      <c r="F38" s="2">
        <v>30</v>
      </c>
      <c r="G38" s="3">
        <v>2</v>
      </c>
      <c r="H38" s="2">
        <f t="shared" si="1"/>
        <v>28</v>
      </c>
      <c r="I38" s="4">
        <f t="shared" si="2"/>
        <v>2333.3333333333335</v>
      </c>
      <c r="J38" s="2"/>
      <c r="K38" s="2"/>
      <c r="L38" s="4">
        <f t="shared" si="3"/>
        <v>166.66666666666666</v>
      </c>
      <c r="M38" s="4"/>
      <c r="N38" s="4"/>
      <c r="O38" s="29">
        <f t="shared" si="4"/>
        <v>2333.3333333333335</v>
      </c>
      <c r="P38" s="2"/>
    </row>
    <row r="39" spans="2:20" ht="19.899999999999999" customHeight="1">
      <c r="B39" s="2">
        <v>36</v>
      </c>
      <c r="C39" s="13" t="s">
        <v>78</v>
      </c>
      <c r="D39" s="11">
        <v>3000</v>
      </c>
      <c r="E39" s="4">
        <f t="shared" si="0"/>
        <v>100</v>
      </c>
      <c r="F39" s="2">
        <v>30</v>
      </c>
      <c r="G39" s="3">
        <v>2</v>
      </c>
      <c r="H39" s="2">
        <f t="shared" si="1"/>
        <v>28</v>
      </c>
      <c r="I39" s="4">
        <f t="shared" si="2"/>
        <v>2800</v>
      </c>
      <c r="J39" s="2">
        <v>1000</v>
      </c>
      <c r="K39" s="2"/>
      <c r="L39" s="4">
        <f t="shared" si="3"/>
        <v>200</v>
      </c>
      <c r="M39" s="4"/>
      <c r="N39" s="4"/>
      <c r="O39" s="29">
        <f t="shared" si="4"/>
        <v>1800</v>
      </c>
      <c r="P39" s="2"/>
    </row>
    <row r="40" spans="2:20" ht="19.899999999999999" customHeight="1">
      <c r="B40" s="2">
        <v>37</v>
      </c>
      <c r="C40" s="13" t="s">
        <v>86</v>
      </c>
      <c r="D40" s="11">
        <v>18000</v>
      </c>
      <c r="E40" s="4">
        <f t="shared" si="0"/>
        <v>600</v>
      </c>
      <c r="F40" s="2">
        <v>30</v>
      </c>
      <c r="G40" s="3">
        <v>4</v>
      </c>
      <c r="H40" s="2">
        <f t="shared" si="1"/>
        <v>26</v>
      </c>
      <c r="I40" s="4">
        <f t="shared" si="2"/>
        <v>15600</v>
      </c>
      <c r="J40" s="2">
        <v>13000</v>
      </c>
      <c r="K40" s="2"/>
      <c r="L40" s="4">
        <f t="shared" si="3"/>
        <v>2400</v>
      </c>
      <c r="M40" s="4"/>
      <c r="N40" s="4"/>
      <c r="O40" s="29">
        <f t="shared" si="4"/>
        <v>2600</v>
      </c>
      <c r="P40" s="2"/>
    </row>
    <row r="41" spans="2:20" ht="19.899999999999999" customHeight="1">
      <c r="B41" s="2">
        <v>38</v>
      </c>
      <c r="C41" s="13" t="s">
        <v>31</v>
      </c>
      <c r="D41" s="11">
        <v>5900</v>
      </c>
      <c r="E41" s="4">
        <f t="shared" si="0"/>
        <v>196.66666666666666</v>
      </c>
      <c r="F41" s="2">
        <v>30</v>
      </c>
      <c r="G41" s="3">
        <v>0</v>
      </c>
      <c r="H41" s="2">
        <f t="shared" si="1"/>
        <v>30</v>
      </c>
      <c r="I41" s="4">
        <f t="shared" si="2"/>
        <v>5900</v>
      </c>
      <c r="J41" s="2"/>
      <c r="K41" s="2"/>
      <c r="L41" s="4">
        <f t="shared" si="3"/>
        <v>0</v>
      </c>
      <c r="M41" s="4"/>
      <c r="N41" s="4"/>
      <c r="O41" s="29">
        <f t="shared" si="4"/>
        <v>5900</v>
      </c>
      <c r="P41" s="2"/>
    </row>
    <row r="42" spans="2:20" ht="19.899999999999999" customHeight="1">
      <c r="B42" s="2">
        <v>39</v>
      </c>
      <c r="C42" s="13" t="s">
        <v>89</v>
      </c>
      <c r="D42" s="16">
        <v>2500</v>
      </c>
      <c r="E42" s="17">
        <f t="shared" si="0"/>
        <v>83.333333333333329</v>
      </c>
      <c r="F42" s="18">
        <v>30</v>
      </c>
      <c r="G42" s="25">
        <v>5</v>
      </c>
      <c r="H42" s="2">
        <f t="shared" si="1"/>
        <v>25</v>
      </c>
      <c r="I42" s="17">
        <f t="shared" si="2"/>
        <v>2083.3333333333335</v>
      </c>
      <c r="J42" s="18"/>
      <c r="K42" s="18"/>
      <c r="L42" s="17">
        <f t="shared" si="3"/>
        <v>416.66666666666663</v>
      </c>
      <c r="M42" s="17"/>
      <c r="N42" s="17"/>
      <c r="O42" s="30">
        <f t="shared" si="4"/>
        <v>2083.3333333333335</v>
      </c>
      <c r="P42" s="2"/>
    </row>
    <row r="43" spans="2:20" ht="19.899999999999999" customHeight="1">
      <c r="B43" s="2">
        <v>40</v>
      </c>
      <c r="C43" s="13" t="s">
        <v>93</v>
      </c>
      <c r="D43" s="16">
        <v>2500</v>
      </c>
      <c r="E43" s="17">
        <f t="shared" si="0"/>
        <v>83.333333333333329</v>
      </c>
      <c r="F43" s="18">
        <v>30</v>
      </c>
      <c r="G43" s="25">
        <v>1</v>
      </c>
      <c r="H43" s="2">
        <f t="shared" si="1"/>
        <v>29</v>
      </c>
      <c r="I43" s="17">
        <f t="shared" si="2"/>
        <v>2416.6666666666665</v>
      </c>
      <c r="J43" s="18"/>
      <c r="K43" s="18"/>
      <c r="L43" s="17">
        <f t="shared" si="3"/>
        <v>83.333333333333329</v>
      </c>
      <c r="M43" s="17"/>
      <c r="N43" s="17"/>
      <c r="O43" s="30">
        <f t="shared" si="4"/>
        <v>2416.6666666666665</v>
      </c>
      <c r="P43" s="2"/>
    </row>
    <row r="44" spans="2:20" ht="19.899999999999999" customHeight="1">
      <c r="B44" s="2">
        <v>41</v>
      </c>
      <c r="C44" s="13" t="s">
        <v>94</v>
      </c>
      <c r="D44" s="16">
        <v>2500</v>
      </c>
      <c r="E44" s="17">
        <f t="shared" si="0"/>
        <v>83.333333333333329</v>
      </c>
      <c r="F44" s="18">
        <v>30</v>
      </c>
      <c r="G44" s="25">
        <v>1</v>
      </c>
      <c r="H44" s="2">
        <f t="shared" si="1"/>
        <v>29</v>
      </c>
      <c r="I44" s="17">
        <f t="shared" si="2"/>
        <v>2416.6666666666665</v>
      </c>
      <c r="J44" s="18"/>
      <c r="K44" s="18"/>
      <c r="L44" s="17">
        <f t="shared" si="3"/>
        <v>83.333333333333329</v>
      </c>
      <c r="M44" s="17"/>
      <c r="N44" s="17"/>
      <c r="O44" s="30">
        <f t="shared" si="4"/>
        <v>2416.6666666666665</v>
      </c>
      <c r="P44" s="2"/>
    </row>
    <row r="45" spans="2:20" ht="19.899999999999999" customHeight="1">
      <c r="B45" s="2">
        <v>42</v>
      </c>
      <c r="C45" s="13" t="s">
        <v>96</v>
      </c>
      <c r="D45" s="16">
        <v>2500</v>
      </c>
      <c r="E45" s="17">
        <f t="shared" si="0"/>
        <v>83.333333333333329</v>
      </c>
      <c r="F45" s="18">
        <v>30</v>
      </c>
      <c r="G45" s="25">
        <v>16</v>
      </c>
      <c r="H45" s="2">
        <f t="shared" si="1"/>
        <v>14</v>
      </c>
      <c r="I45" s="17">
        <f t="shared" si="2"/>
        <v>1166.6666666666667</v>
      </c>
      <c r="J45" s="18"/>
      <c r="K45" s="18"/>
      <c r="L45" s="17">
        <f t="shared" si="3"/>
        <v>1333.3333333333333</v>
      </c>
      <c r="M45" s="17"/>
      <c r="N45" s="17"/>
      <c r="O45" s="30">
        <f t="shared" si="4"/>
        <v>1166.6666666666667</v>
      </c>
      <c r="P45" s="2"/>
    </row>
    <row r="46" spans="2:20" ht="19.899999999999999" customHeight="1">
      <c r="B46" s="2">
        <v>43</v>
      </c>
      <c r="C46" s="13" t="s">
        <v>97</v>
      </c>
      <c r="D46" s="16">
        <v>2500</v>
      </c>
      <c r="E46" s="17">
        <f t="shared" si="0"/>
        <v>83.333333333333329</v>
      </c>
      <c r="F46" s="18">
        <v>30</v>
      </c>
      <c r="G46" s="25">
        <v>6</v>
      </c>
      <c r="H46" s="2">
        <f t="shared" si="1"/>
        <v>24</v>
      </c>
      <c r="I46" s="17">
        <f t="shared" si="2"/>
        <v>2000</v>
      </c>
      <c r="J46" s="18"/>
      <c r="K46" s="18"/>
      <c r="L46" s="17">
        <f t="shared" si="3"/>
        <v>500</v>
      </c>
      <c r="M46" s="17"/>
      <c r="N46" s="17"/>
      <c r="O46" s="30">
        <f t="shared" si="4"/>
        <v>2000</v>
      </c>
      <c r="P46" s="2"/>
    </row>
    <row r="47" spans="2:20" ht="19.899999999999999" customHeight="1">
      <c r="B47" s="2">
        <v>44</v>
      </c>
      <c r="C47" s="13" t="s">
        <v>98</v>
      </c>
      <c r="D47" s="16">
        <v>2500</v>
      </c>
      <c r="E47" s="17">
        <f t="shared" si="0"/>
        <v>83.333333333333329</v>
      </c>
      <c r="F47" s="18">
        <v>30</v>
      </c>
      <c r="G47" s="25">
        <v>15</v>
      </c>
      <c r="H47" s="2">
        <f t="shared" si="1"/>
        <v>15</v>
      </c>
      <c r="I47" s="17">
        <f t="shared" si="2"/>
        <v>1250</v>
      </c>
      <c r="J47" s="18"/>
      <c r="K47" s="18"/>
      <c r="L47" s="17">
        <f t="shared" si="3"/>
        <v>1250</v>
      </c>
      <c r="M47" s="17"/>
      <c r="N47" s="17"/>
      <c r="O47" s="30">
        <f t="shared" si="4"/>
        <v>1250</v>
      </c>
      <c r="P47" s="2"/>
    </row>
    <row r="48" spans="2:20" ht="19.899999999999999" customHeight="1">
      <c r="B48" s="2">
        <v>45</v>
      </c>
      <c r="C48" s="13" t="s">
        <v>99</v>
      </c>
      <c r="D48" s="16">
        <v>2500</v>
      </c>
      <c r="E48" s="17">
        <f t="shared" si="0"/>
        <v>83.333333333333329</v>
      </c>
      <c r="F48" s="18">
        <v>30</v>
      </c>
      <c r="G48" s="25">
        <v>9.5</v>
      </c>
      <c r="H48" s="2">
        <f t="shared" si="1"/>
        <v>20.5</v>
      </c>
      <c r="I48" s="17">
        <f t="shared" si="2"/>
        <v>1708.3333333333335</v>
      </c>
      <c r="J48" s="18"/>
      <c r="K48" s="18"/>
      <c r="L48" s="17">
        <f t="shared" si="3"/>
        <v>791.66666666666663</v>
      </c>
      <c r="M48" s="17"/>
      <c r="N48" s="17"/>
      <c r="O48" s="30">
        <f t="shared" si="4"/>
        <v>1708.3333333333335</v>
      </c>
      <c r="P48" s="2"/>
    </row>
    <row r="49" spans="2:16" ht="19.899999999999999" customHeight="1">
      <c r="B49" s="2">
        <v>46</v>
      </c>
      <c r="C49" s="13" t="s">
        <v>100</v>
      </c>
      <c r="D49" s="16">
        <v>2500</v>
      </c>
      <c r="E49" s="17">
        <f t="shared" si="0"/>
        <v>83.333333333333329</v>
      </c>
      <c r="F49" s="18">
        <v>30</v>
      </c>
      <c r="G49" s="25">
        <v>4.5</v>
      </c>
      <c r="H49" s="2">
        <f t="shared" si="1"/>
        <v>25.5</v>
      </c>
      <c r="I49" s="17">
        <f t="shared" si="2"/>
        <v>2125</v>
      </c>
      <c r="J49" s="18"/>
      <c r="K49" s="18"/>
      <c r="L49" s="17">
        <f t="shared" si="3"/>
        <v>375</v>
      </c>
      <c r="M49" s="17"/>
      <c r="N49" s="17"/>
      <c r="O49" s="30">
        <f t="shared" si="4"/>
        <v>2125</v>
      </c>
      <c r="P49" s="2"/>
    </row>
    <row r="50" spans="2:16" ht="19.899999999999999" customHeight="1">
      <c r="B50" s="2">
        <v>47</v>
      </c>
      <c r="C50" s="13" t="s">
        <v>101</v>
      </c>
      <c r="D50" s="16">
        <v>2500</v>
      </c>
      <c r="E50" s="17">
        <f t="shared" si="0"/>
        <v>83.333333333333329</v>
      </c>
      <c r="F50" s="18">
        <v>30</v>
      </c>
      <c r="G50" s="25">
        <v>16</v>
      </c>
      <c r="H50" s="2">
        <f t="shared" si="1"/>
        <v>14</v>
      </c>
      <c r="I50" s="17">
        <f t="shared" si="2"/>
        <v>1166.6666666666667</v>
      </c>
      <c r="J50" s="18"/>
      <c r="K50" s="18"/>
      <c r="L50" s="17">
        <f t="shared" si="3"/>
        <v>1333.3333333333333</v>
      </c>
      <c r="M50" s="17"/>
      <c r="N50" s="17"/>
      <c r="O50" s="30">
        <f t="shared" si="4"/>
        <v>1166.6666666666667</v>
      </c>
      <c r="P50" s="2"/>
    </row>
    <row r="51" spans="2:16" ht="19.899999999999999" customHeight="1">
      <c r="B51" s="2">
        <v>48</v>
      </c>
      <c r="C51" s="13" t="s">
        <v>102</v>
      </c>
      <c r="D51" s="16">
        <v>2500</v>
      </c>
      <c r="E51" s="17">
        <f t="shared" si="0"/>
        <v>83.333333333333329</v>
      </c>
      <c r="F51" s="18">
        <v>30</v>
      </c>
      <c r="G51" s="25">
        <v>15</v>
      </c>
      <c r="H51" s="2">
        <f t="shared" si="1"/>
        <v>15</v>
      </c>
      <c r="I51" s="17">
        <f t="shared" si="2"/>
        <v>1250</v>
      </c>
      <c r="J51" s="18"/>
      <c r="K51" s="18"/>
      <c r="L51" s="17">
        <f t="shared" si="3"/>
        <v>1250</v>
      </c>
      <c r="M51" s="17"/>
      <c r="N51" s="17"/>
      <c r="O51" s="30">
        <f t="shared" si="4"/>
        <v>1250</v>
      </c>
      <c r="P51" s="2"/>
    </row>
    <row r="52" spans="2:16" ht="19.899999999999999" customHeight="1">
      <c r="B52" s="2">
        <v>49</v>
      </c>
      <c r="C52" s="13" t="s">
        <v>103</v>
      </c>
      <c r="D52" s="16">
        <v>5000</v>
      </c>
      <c r="E52" s="17">
        <f t="shared" si="0"/>
        <v>166.66666666666666</v>
      </c>
      <c r="F52" s="18">
        <v>30</v>
      </c>
      <c r="G52" s="25">
        <v>17</v>
      </c>
      <c r="H52" s="18">
        <f t="shared" si="1"/>
        <v>13</v>
      </c>
      <c r="I52" s="17">
        <f t="shared" si="2"/>
        <v>2166.666666666667</v>
      </c>
      <c r="J52" s="18"/>
      <c r="K52" s="18"/>
      <c r="L52" s="17">
        <f t="shared" si="3"/>
        <v>2833.333333333333</v>
      </c>
      <c r="M52" s="17"/>
      <c r="N52" s="17"/>
      <c r="O52" s="30">
        <f t="shared" si="4"/>
        <v>2166.666666666667</v>
      </c>
      <c r="P52" s="2"/>
    </row>
    <row r="53" spans="2:16" ht="19.899999999999999" customHeight="1">
      <c r="B53" s="2">
        <v>50</v>
      </c>
      <c r="C53" s="13" t="s">
        <v>104</v>
      </c>
      <c r="D53" s="16">
        <v>2500</v>
      </c>
      <c r="E53" s="17">
        <f t="shared" si="0"/>
        <v>83.333333333333329</v>
      </c>
      <c r="F53" s="18">
        <v>30</v>
      </c>
      <c r="G53" s="25">
        <v>0</v>
      </c>
      <c r="H53" s="18">
        <f t="shared" si="1"/>
        <v>30</v>
      </c>
      <c r="I53" s="17">
        <f t="shared" si="2"/>
        <v>0</v>
      </c>
      <c r="J53" s="18"/>
      <c r="K53" s="18"/>
      <c r="L53" s="17">
        <v>2500</v>
      </c>
      <c r="M53" s="17"/>
      <c r="N53" s="17"/>
      <c r="O53" s="30">
        <v>2500</v>
      </c>
      <c r="P53" s="2"/>
    </row>
    <row r="54" spans="2:16" ht="19.899999999999999" customHeight="1" thickBot="1">
      <c r="B54" s="2">
        <v>51</v>
      </c>
      <c r="C54" s="13" t="s">
        <v>39</v>
      </c>
      <c r="D54" s="16">
        <v>3850</v>
      </c>
      <c r="E54" s="17">
        <f t="shared" si="0"/>
        <v>128.33333333333334</v>
      </c>
      <c r="F54" s="18">
        <v>30</v>
      </c>
      <c r="G54" s="18">
        <v>0.5</v>
      </c>
      <c r="H54" s="18">
        <v>0</v>
      </c>
      <c r="I54" s="17">
        <f t="shared" si="2"/>
        <v>3785.8333333333335</v>
      </c>
      <c r="J54" s="18"/>
      <c r="K54" s="18"/>
      <c r="L54" s="17">
        <f t="shared" si="3"/>
        <v>64.166666666666671</v>
      </c>
      <c r="M54" s="17"/>
      <c r="N54" s="17"/>
      <c r="O54" s="30">
        <f t="shared" si="4"/>
        <v>3785.8333333333335</v>
      </c>
      <c r="P54" s="2"/>
    </row>
    <row r="55" spans="2:16" ht="19.899999999999999" customHeight="1">
      <c r="B55" s="2"/>
      <c r="C55" s="14" t="s">
        <v>40</v>
      </c>
      <c r="D55" s="19">
        <f>SUM(D4:D54)</f>
        <v>272500</v>
      </c>
      <c r="E55" s="22"/>
      <c r="F55" s="20"/>
      <c r="G55" s="22">
        <f>SUM(G4:G54)</f>
        <v>191.5</v>
      </c>
      <c r="H55" s="20"/>
      <c r="I55" s="24">
        <f>SUM(I4:I54)</f>
        <v>242672.49999999997</v>
      </c>
      <c r="J55" s="20">
        <f>SUM(J4:J54)</f>
        <v>41870</v>
      </c>
      <c r="K55" s="22"/>
      <c r="L55" s="20">
        <f>SUM(L4:L54)</f>
        <v>29827.499999999996</v>
      </c>
      <c r="M55" s="22"/>
      <c r="N55" s="22"/>
      <c r="O55" s="31">
        <f>SUM(O4:O54)</f>
        <v>200675.83333333334</v>
      </c>
      <c r="P55" s="2"/>
    </row>
    <row r="56" spans="2:16" ht="19.899999999999999" customHeight="1" thickBot="1">
      <c r="B56" s="10"/>
      <c r="C56" s="15"/>
      <c r="D56" s="21"/>
      <c r="E56" s="23"/>
      <c r="F56" s="12"/>
      <c r="G56" s="23"/>
      <c r="H56" s="12"/>
      <c r="I56" s="23"/>
      <c r="J56" s="12"/>
      <c r="K56" s="23"/>
      <c r="L56" s="12"/>
      <c r="M56" s="23"/>
      <c r="N56" s="23"/>
      <c r="O56" s="32"/>
      <c r="P56" s="2"/>
    </row>
    <row r="57" spans="2:16">
      <c r="B57" s="10"/>
    </row>
    <row r="58" spans="2:16" ht="26.25">
      <c r="C58" s="26" t="s">
        <v>90</v>
      </c>
      <c r="D58" s="26"/>
      <c r="E58" s="26"/>
      <c r="F58" s="26"/>
      <c r="G58" s="26" t="s">
        <v>91</v>
      </c>
      <c r="H58" s="26"/>
      <c r="I58" s="26"/>
      <c r="J58" s="26"/>
      <c r="K58" s="26"/>
      <c r="L58" s="26"/>
      <c r="M58" s="26" t="s">
        <v>92</v>
      </c>
      <c r="N58" s="26"/>
    </row>
    <row r="59" spans="2:16" ht="26.2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</row>
    <row r="60" spans="2:16">
      <c r="B60" s="1"/>
    </row>
    <row r="61" spans="2:16">
      <c r="B61" s="27"/>
    </row>
  </sheetData>
  <pageMargins left="0.12" right="0.21" top="0.32" bottom="0.32" header="0.3" footer="0.3"/>
  <pageSetup scale="95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D2:S41"/>
  <sheetViews>
    <sheetView topLeftCell="B10" workbookViewId="0">
      <selection activeCell="E22" sqref="E22"/>
    </sheetView>
  </sheetViews>
  <sheetFormatPr defaultRowHeight="15"/>
  <cols>
    <col min="6" max="6" width="6.7109375" customWidth="1"/>
    <col min="7" max="7" width="4.7109375" customWidth="1"/>
    <col min="8" max="8" width="5.42578125" customWidth="1"/>
    <col min="9" max="9" width="5.28515625" customWidth="1"/>
    <col min="10" max="10" width="4.5703125" customWidth="1"/>
    <col min="11" max="11" width="4.7109375" customWidth="1"/>
    <col min="12" max="12" width="5.140625" customWidth="1"/>
    <col min="13" max="13" width="4.7109375" customWidth="1"/>
    <col min="14" max="15" width="4.5703125" customWidth="1"/>
    <col min="16" max="17" width="5" customWidth="1"/>
    <col min="18" max="18" width="3.85546875" customWidth="1"/>
  </cols>
  <sheetData>
    <row r="2" spans="4:19">
      <c r="E2" t="s">
        <v>44</v>
      </c>
    </row>
    <row r="3" spans="4:19"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Q3" t="s">
        <v>74</v>
      </c>
      <c r="S3" t="s">
        <v>40</v>
      </c>
    </row>
    <row r="4" spans="4:19">
      <c r="D4" t="s">
        <v>45</v>
      </c>
      <c r="F4">
        <v>0</v>
      </c>
      <c r="G4">
        <v>4</v>
      </c>
      <c r="H4">
        <v>4</v>
      </c>
      <c r="I4">
        <v>2</v>
      </c>
      <c r="J4">
        <v>0</v>
      </c>
      <c r="K4">
        <v>2</v>
      </c>
      <c r="L4">
        <v>0.5</v>
      </c>
      <c r="M4">
        <v>4</v>
      </c>
      <c r="N4">
        <v>0</v>
      </c>
      <c r="O4">
        <v>1</v>
      </c>
      <c r="P4">
        <v>1.5</v>
      </c>
      <c r="Q4">
        <v>2</v>
      </c>
      <c r="S4">
        <v>21</v>
      </c>
    </row>
    <row r="5" spans="4:19">
      <c r="D5" t="s">
        <v>7</v>
      </c>
      <c r="F5">
        <v>2</v>
      </c>
      <c r="G5">
        <v>4.5</v>
      </c>
      <c r="H5">
        <v>3</v>
      </c>
      <c r="I5">
        <v>1</v>
      </c>
      <c r="J5">
        <v>3.5</v>
      </c>
      <c r="K5">
        <v>2.5</v>
      </c>
      <c r="L5">
        <v>2</v>
      </c>
      <c r="M5">
        <v>4.5</v>
      </c>
      <c r="N5">
        <v>3</v>
      </c>
      <c r="O5">
        <v>2</v>
      </c>
      <c r="P5">
        <v>1.5</v>
      </c>
      <c r="Q5">
        <v>3</v>
      </c>
      <c r="S5">
        <v>31.5</v>
      </c>
    </row>
    <row r="6" spans="4:19">
      <c r="D6" t="s">
        <v>46</v>
      </c>
      <c r="F6">
        <v>2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2</v>
      </c>
      <c r="N6">
        <v>1</v>
      </c>
      <c r="O6">
        <v>1</v>
      </c>
      <c r="P6">
        <v>0</v>
      </c>
      <c r="Q6">
        <v>0.5</v>
      </c>
      <c r="S6">
        <v>8.5</v>
      </c>
    </row>
    <row r="7" spans="4:19">
      <c r="D7" t="s">
        <v>22</v>
      </c>
      <c r="F7">
        <v>0</v>
      </c>
      <c r="G7">
        <v>0</v>
      </c>
      <c r="J7">
        <v>3</v>
      </c>
      <c r="K7">
        <v>0</v>
      </c>
      <c r="L7">
        <v>1</v>
      </c>
      <c r="M7">
        <v>2</v>
      </c>
      <c r="N7">
        <v>1</v>
      </c>
      <c r="O7">
        <v>1</v>
      </c>
      <c r="P7">
        <v>2</v>
      </c>
      <c r="Q7">
        <v>0.5</v>
      </c>
      <c r="S7">
        <v>10.5</v>
      </c>
    </row>
    <row r="8" spans="4:19">
      <c r="D8" t="s">
        <v>47</v>
      </c>
      <c r="F8">
        <v>0</v>
      </c>
      <c r="G8">
        <v>0</v>
      </c>
      <c r="H8">
        <v>4.5</v>
      </c>
      <c r="I8">
        <v>1</v>
      </c>
      <c r="J8">
        <v>3</v>
      </c>
      <c r="K8">
        <v>1.5</v>
      </c>
      <c r="L8">
        <v>2.5</v>
      </c>
      <c r="M8">
        <v>1</v>
      </c>
      <c r="N8">
        <v>1.5</v>
      </c>
      <c r="O8">
        <v>5.5</v>
      </c>
      <c r="P8">
        <v>2</v>
      </c>
      <c r="Q8">
        <v>0.5</v>
      </c>
      <c r="S8">
        <v>23</v>
      </c>
    </row>
    <row r="9" spans="4:19">
      <c r="D9" t="s">
        <v>10</v>
      </c>
      <c r="F9">
        <v>1</v>
      </c>
      <c r="G9">
        <v>4.5</v>
      </c>
      <c r="H9">
        <v>2.5</v>
      </c>
      <c r="I9">
        <v>1.5</v>
      </c>
      <c r="J9">
        <v>1</v>
      </c>
      <c r="K9">
        <v>1</v>
      </c>
      <c r="L9">
        <v>0</v>
      </c>
      <c r="M9">
        <v>2.5</v>
      </c>
      <c r="N9">
        <v>4</v>
      </c>
      <c r="O9">
        <v>2.5</v>
      </c>
      <c r="P9">
        <v>0</v>
      </c>
      <c r="Q9">
        <v>4.5</v>
      </c>
      <c r="S9">
        <v>25</v>
      </c>
    </row>
    <row r="10" spans="4:19">
      <c r="D10" t="s">
        <v>11</v>
      </c>
      <c r="F10">
        <v>2</v>
      </c>
      <c r="G10">
        <v>1.5</v>
      </c>
      <c r="H10">
        <v>1.5</v>
      </c>
      <c r="I10">
        <v>0</v>
      </c>
      <c r="J10">
        <v>1</v>
      </c>
      <c r="K10">
        <v>0</v>
      </c>
      <c r="L10">
        <v>0</v>
      </c>
      <c r="M10">
        <v>2</v>
      </c>
      <c r="N10">
        <v>0</v>
      </c>
      <c r="O10">
        <v>3</v>
      </c>
      <c r="P10">
        <v>1.5</v>
      </c>
      <c r="Q10">
        <v>0.5</v>
      </c>
    </row>
    <row r="11" spans="4:19">
      <c r="D11" t="s">
        <v>48</v>
      </c>
      <c r="F11">
        <v>2</v>
      </c>
      <c r="G11">
        <v>3</v>
      </c>
      <c r="H11">
        <v>2</v>
      </c>
      <c r="I11">
        <v>2</v>
      </c>
      <c r="J11">
        <v>1.5</v>
      </c>
      <c r="K11">
        <v>0</v>
      </c>
      <c r="L11">
        <v>0</v>
      </c>
      <c r="M11">
        <v>1</v>
      </c>
      <c r="N11">
        <v>3.5</v>
      </c>
      <c r="O11">
        <v>2</v>
      </c>
      <c r="P11">
        <v>0</v>
      </c>
      <c r="Q11">
        <v>3</v>
      </c>
    </row>
    <row r="12" spans="4:19">
      <c r="D12" t="s">
        <v>13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1.5</v>
      </c>
      <c r="Q12">
        <v>0</v>
      </c>
    </row>
    <row r="13" spans="4:19">
      <c r="D13" t="s">
        <v>49</v>
      </c>
      <c r="F13">
        <v>2.5</v>
      </c>
      <c r="G13">
        <v>4</v>
      </c>
      <c r="H13">
        <v>3.5</v>
      </c>
      <c r="I13">
        <v>3</v>
      </c>
      <c r="J13">
        <v>12</v>
      </c>
      <c r="K13">
        <v>2.5</v>
      </c>
      <c r="L13">
        <v>0.5</v>
      </c>
      <c r="M13">
        <v>5</v>
      </c>
      <c r="N13">
        <v>3.5</v>
      </c>
      <c r="O13">
        <v>3.5</v>
      </c>
      <c r="P13">
        <v>1</v>
      </c>
      <c r="Q13">
        <v>2</v>
      </c>
    </row>
    <row r="14" spans="4:19">
      <c r="D14" t="s">
        <v>50</v>
      </c>
      <c r="F14">
        <v>4.5</v>
      </c>
      <c r="G14">
        <v>3</v>
      </c>
      <c r="H14">
        <v>3</v>
      </c>
      <c r="I14">
        <v>3.5</v>
      </c>
      <c r="J14">
        <v>1.5</v>
      </c>
      <c r="K14">
        <v>0.5</v>
      </c>
      <c r="L14">
        <v>6</v>
      </c>
      <c r="M14">
        <v>4</v>
      </c>
      <c r="N14">
        <v>2</v>
      </c>
      <c r="O14">
        <v>4</v>
      </c>
      <c r="P14">
        <v>1</v>
      </c>
      <c r="Q14">
        <v>2</v>
      </c>
    </row>
    <row r="15" spans="4:19">
      <c r="D15" t="s">
        <v>31</v>
      </c>
      <c r="F15" t="s">
        <v>65</v>
      </c>
      <c r="H15">
        <v>11</v>
      </c>
      <c r="I15">
        <v>0.5</v>
      </c>
      <c r="J15">
        <v>0</v>
      </c>
      <c r="K15">
        <v>0</v>
      </c>
      <c r="L15">
        <v>0</v>
      </c>
      <c r="M15">
        <v>2</v>
      </c>
      <c r="N15">
        <v>0</v>
      </c>
      <c r="O15">
        <v>2</v>
      </c>
      <c r="P15">
        <v>2</v>
      </c>
      <c r="Q15">
        <v>2</v>
      </c>
    </row>
    <row r="16" spans="4:19">
      <c r="D16" t="s">
        <v>43</v>
      </c>
      <c r="F16">
        <v>7</v>
      </c>
      <c r="G16">
        <v>0</v>
      </c>
      <c r="H16">
        <v>2</v>
      </c>
      <c r="I16">
        <v>1</v>
      </c>
      <c r="J16">
        <v>11.5</v>
      </c>
      <c r="K16">
        <v>0</v>
      </c>
      <c r="L16">
        <v>0</v>
      </c>
      <c r="M16">
        <v>0</v>
      </c>
      <c r="N16">
        <v>2</v>
      </c>
      <c r="O16">
        <v>2</v>
      </c>
      <c r="P16">
        <v>1</v>
      </c>
      <c r="Q16">
        <v>0</v>
      </c>
    </row>
    <row r="17" spans="4:17">
      <c r="D17" t="s">
        <v>16</v>
      </c>
      <c r="F17">
        <v>1.5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0.5</v>
      </c>
      <c r="N17">
        <v>0</v>
      </c>
      <c r="O17">
        <v>1</v>
      </c>
      <c r="P17">
        <v>1</v>
      </c>
      <c r="Q17">
        <v>0</v>
      </c>
    </row>
    <row r="18" spans="4:17">
      <c r="D18" t="s">
        <v>15</v>
      </c>
      <c r="F18">
        <v>3</v>
      </c>
      <c r="G18">
        <v>0</v>
      </c>
      <c r="H18">
        <v>4</v>
      </c>
      <c r="I18">
        <v>1.5</v>
      </c>
      <c r="J18">
        <v>3</v>
      </c>
      <c r="K18">
        <v>0.5</v>
      </c>
      <c r="L18">
        <v>2</v>
      </c>
      <c r="M18">
        <v>5</v>
      </c>
      <c r="N18">
        <v>3.5</v>
      </c>
      <c r="O18">
        <v>6.5</v>
      </c>
      <c r="P18">
        <v>3</v>
      </c>
      <c r="Q18">
        <v>0</v>
      </c>
    </row>
    <row r="19" spans="4:17">
      <c r="D19" t="s">
        <v>52</v>
      </c>
      <c r="F19">
        <v>1</v>
      </c>
      <c r="G19">
        <v>1</v>
      </c>
      <c r="H19">
        <v>1.5</v>
      </c>
      <c r="I19">
        <v>2</v>
      </c>
      <c r="J19">
        <v>4</v>
      </c>
      <c r="K19">
        <v>4</v>
      </c>
      <c r="L19">
        <v>0</v>
      </c>
      <c r="M19">
        <v>1</v>
      </c>
      <c r="N19">
        <v>2</v>
      </c>
      <c r="O19">
        <v>3</v>
      </c>
      <c r="P19">
        <v>0</v>
      </c>
      <c r="Q19">
        <v>1</v>
      </c>
    </row>
    <row r="20" spans="4:17">
      <c r="D20" t="s">
        <v>53</v>
      </c>
      <c r="F20">
        <v>1</v>
      </c>
      <c r="G20">
        <v>0.5</v>
      </c>
      <c r="H20">
        <v>3</v>
      </c>
      <c r="I20">
        <v>0.5</v>
      </c>
      <c r="J20">
        <v>1.5</v>
      </c>
      <c r="K20">
        <v>1.5</v>
      </c>
      <c r="L20">
        <v>1</v>
      </c>
      <c r="M20">
        <v>1.5</v>
      </c>
      <c r="N20">
        <v>0</v>
      </c>
      <c r="O20">
        <v>3</v>
      </c>
      <c r="P20">
        <v>2</v>
      </c>
      <c r="Q20" s="7">
        <v>1</v>
      </c>
    </row>
    <row r="21" spans="4:17">
      <c r="D21" t="s">
        <v>26</v>
      </c>
      <c r="F21">
        <v>0</v>
      </c>
      <c r="G21">
        <v>7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2.5</v>
      </c>
      <c r="P21">
        <v>0</v>
      </c>
      <c r="Q21">
        <v>0</v>
      </c>
    </row>
    <row r="22" spans="4:17">
      <c r="D22" t="s">
        <v>24</v>
      </c>
      <c r="F22">
        <v>1</v>
      </c>
      <c r="G22">
        <v>2</v>
      </c>
      <c r="H22">
        <v>5</v>
      </c>
      <c r="I22">
        <v>1</v>
      </c>
      <c r="J22">
        <v>1.5</v>
      </c>
      <c r="K22">
        <v>1.5</v>
      </c>
      <c r="L22">
        <v>0</v>
      </c>
      <c r="M22">
        <v>1</v>
      </c>
      <c r="N22">
        <v>1</v>
      </c>
      <c r="O22">
        <v>1.5</v>
      </c>
      <c r="P22">
        <v>3.5</v>
      </c>
      <c r="Q22">
        <v>0.5</v>
      </c>
    </row>
    <row r="23" spans="4:17">
      <c r="D23" t="s">
        <v>54</v>
      </c>
      <c r="F23">
        <v>1</v>
      </c>
      <c r="G23">
        <v>3</v>
      </c>
      <c r="H23">
        <v>1.5</v>
      </c>
      <c r="I23">
        <v>1.5</v>
      </c>
      <c r="J23">
        <v>1</v>
      </c>
      <c r="K23">
        <v>0</v>
      </c>
      <c r="L23">
        <v>2.5</v>
      </c>
      <c r="M23">
        <v>6</v>
      </c>
      <c r="N23">
        <v>1</v>
      </c>
      <c r="O23">
        <v>2</v>
      </c>
      <c r="P23">
        <v>0.5</v>
      </c>
      <c r="Q23">
        <v>0.5</v>
      </c>
    </row>
    <row r="24" spans="4:17">
      <c r="D24" t="s">
        <v>55</v>
      </c>
      <c r="F24">
        <v>2.5</v>
      </c>
      <c r="G24">
        <v>1</v>
      </c>
      <c r="H24">
        <v>0.5</v>
      </c>
      <c r="I24">
        <v>1</v>
      </c>
      <c r="J24">
        <v>1</v>
      </c>
      <c r="K24">
        <v>0</v>
      </c>
      <c r="L24">
        <v>0</v>
      </c>
      <c r="M24">
        <v>3.5</v>
      </c>
      <c r="N24">
        <v>0</v>
      </c>
      <c r="O24">
        <v>2</v>
      </c>
      <c r="P24">
        <v>1</v>
      </c>
      <c r="Q24">
        <v>0</v>
      </c>
    </row>
    <row r="25" spans="4:17">
      <c r="D25" t="s">
        <v>56</v>
      </c>
      <c r="F25">
        <v>1</v>
      </c>
      <c r="G25">
        <v>4</v>
      </c>
      <c r="H25">
        <v>4.5</v>
      </c>
      <c r="I25">
        <v>0</v>
      </c>
      <c r="J25">
        <v>3</v>
      </c>
      <c r="K25">
        <v>2</v>
      </c>
      <c r="L25">
        <v>1.5</v>
      </c>
      <c r="M25">
        <v>2</v>
      </c>
      <c r="N25">
        <v>1.5</v>
      </c>
      <c r="O25">
        <v>2</v>
      </c>
      <c r="P25">
        <v>0.5</v>
      </c>
      <c r="Q25">
        <v>1</v>
      </c>
    </row>
    <row r="26" spans="4:17">
      <c r="D26" t="s">
        <v>57</v>
      </c>
      <c r="F26">
        <v>3</v>
      </c>
      <c r="G26">
        <v>1.5</v>
      </c>
      <c r="H26">
        <v>2</v>
      </c>
      <c r="I26">
        <v>2</v>
      </c>
      <c r="J26">
        <v>2</v>
      </c>
      <c r="K26">
        <v>2</v>
      </c>
      <c r="L26">
        <v>0</v>
      </c>
      <c r="M26">
        <v>6.5</v>
      </c>
      <c r="N26">
        <v>5</v>
      </c>
      <c r="O26">
        <v>1</v>
      </c>
      <c r="P26">
        <v>1.5</v>
      </c>
      <c r="Q26">
        <v>2</v>
      </c>
    </row>
    <row r="27" spans="4:17">
      <c r="D27" t="s">
        <v>58</v>
      </c>
      <c r="F27">
        <v>0</v>
      </c>
      <c r="G27">
        <v>0</v>
      </c>
      <c r="H27">
        <v>0</v>
      </c>
      <c r="I27">
        <v>0</v>
      </c>
      <c r="J27">
        <v>1.5</v>
      </c>
      <c r="K27">
        <v>0</v>
      </c>
      <c r="L27">
        <v>0</v>
      </c>
      <c r="M27">
        <v>0.5</v>
      </c>
      <c r="N27">
        <v>0</v>
      </c>
      <c r="O27">
        <v>1</v>
      </c>
      <c r="P27">
        <v>0</v>
      </c>
      <c r="Q27">
        <v>0</v>
      </c>
    </row>
    <row r="28" spans="4:17">
      <c r="D28" t="s">
        <v>59</v>
      </c>
      <c r="F28">
        <v>2</v>
      </c>
      <c r="G28">
        <v>5</v>
      </c>
      <c r="H28">
        <v>1</v>
      </c>
      <c r="I28">
        <v>0</v>
      </c>
      <c r="J28">
        <v>0</v>
      </c>
      <c r="K28">
        <v>0</v>
      </c>
      <c r="L28">
        <v>0</v>
      </c>
      <c r="M28">
        <v>4</v>
      </c>
      <c r="N28">
        <v>1</v>
      </c>
      <c r="O28">
        <v>1</v>
      </c>
      <c r="P28">
        <v>1</v>
      </c>
      <c r="Q28">
        <v>2</v>
      </c>
    </row>
    <row r="29" spans="4:17">
      <c r="D29" t="s">
        <v>60</v>
      </c>
      <c r="F29">
        <v>1</v>
      </c>
      <c r="G29">
        <v>0.5</v>
      </c>
      <c r="H29">
        <v>0</v>
      </c>
      <c r="I29">
        <v>0</v>
      </c>
      <c r="J29">
        <v>1</v>
      </c>
      <c r="K29">
        <v>3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4:17">
      <c r="D30" t="s">
        <v>61</v>
      </c>
      <c r="F30">
        <v>1</v>
      </c>
      <c r="G30">
        <v>2</v>
      </c>
      <c r="H30">
        <v>1</v>
      </c>
      <c r="I30">
        <v>0</v>
      </c>
      <c r="J30">
        <v>1</v>
      </c>
      <c r="K30">
        <v>1</v>
      </c>
      <c r="L30">
        <v>1</v>
      </c>
      <c r="M30">
        <v>6.5</v>
      </c>
      <c r="N30">
        <v>1.5</v>
      </c>
      <c r="O30">
        <v>6.5</v>
      </c>
      <c r="P30">
        <v>4</v>
      </c>
      <c r="Q30">
        <v>1</v>
      </c>
    </row>
    <row r="31" spans="4:17">
      <c r="D31" t="s">
        <v>27</v>
      </c>
      <c r="F31">
        <v>1</v>
      </c>
      <c r="G31">
        <v>15</v>
      </c>
      <c r="H31">
        <v>1</v>
      </c>
      <c r="I31">
        <v>0.5</v>
      </c>
      <c r="J31">
        <v>2</v>
      </c>
      <c r="K31">
        <v>0</v>
      </c>
      <c r="L31">
        <v>1</v>
      </c>
      <c r="M31">
        <v>1</v>
      </c>
      <c r="N31">
        <v>1</v>
      </c>
      <c r="O31">
        <v>3.5</v>
      </c>
      <c r="P31">
        <v>4</v>
      </c>
      <c r="Q31">
        <v>1.5</v>
      </c>
    </row>
    <row r="32" spans="4:17">
      <c r="D32" t="s">
        <v>39</v>
      </c>
      <c r="F32" t="s">
        <v>65</v>
      </c>
      <c r="H32">
        <v>15</v>
      </c>
      <c r="I32">
        <v>0</v>
      </c>
      <c r="J32">
        <v>0</v>
      </c>
      <c r="K32">
        <v>0</v>
      </c>
      <c r="L32">
        <v>3</v>
      </c>
      <c r="M32">
        <v>2</v>
      </c>
      <c r="N32">
        <v>0</v>
      </c>
      <c r="O32">
        <v>3</v>
      </c>
      <c r="P32">
        <v>0</v>
      </c>
      <c r="Q32">
        <v>0</v>
      </c>
    </row>
    <row r="33" spans="4:17">
      <c r="D33" t="s">
        <v>75</v>
      </c>
      <c r="F33">
        <v>1.5</v>
      </c>
      <c r="G33">
        <v>2</v>
      </c>
      <c r="H33">
        <v>0</v>
      </c>
      <c r="I33">
        <v>0.5</v>
      </c>
      <c r="J33">
        <v>4.5</v>
      </c>
      <c r="K33">
        <v>0</v>
      </c>
      <c r="L33">
        <v>1.5</v>
      </c>
      <c r="M33">
        <v>2</v>
      </c>
      <c r="N33">
        <v>2</v>
      </c>
      <c r="O33">
        <v>1</v>
      </c>
      <c r="P33">
        <v>3.5</v>
      </c>
      <c r="Q33">
        <v>10</v>
      </c>
    </row>
    <row r="34" spans="4:17">
      <c r="D34" t="s">
        <v>51</v>
      </c>
      <c r="F34" t="s">
        <v>66</v>
      </c>
      <c r="I34">
        <v>5</v>
      </c>
      <c r="J34">
        <v>1</v>
      </c>
      <c r="K34">
        <v>0</v>
      </c>
      <c r="L34">
        <v>0</v>
      </c>
      <c r="M34">
        <v>0</v>
      </c>
      <c r="N34">
        <v>0</v>
      </c>
      <c r="O34">
        <v>2</v>
      </c>
      <c r="P34">
        <v>0</v>
      </c>
      <c r="Q34">
        <v>0</v>
      </c>
    </row>
    <row r="35" spans="4:17">
      <c r="D35" t="s">
        <v>76</v>
      </c>
      <c r="F35" t="s">
        <v>66</v>
      </c>
      <c r="I35">
        <v>8</v>
      </c>
      <c r="J35">
        <v>1</v>
      </c>
      <c r="K35">
        <v>1</v>
      </c>
      <c r="L35">
        <v>0</v>
      </c>
      <c r="M35">
        <v>2</v>
      </c>
      <c r="N35">
        <v>1.5</v>
      </c>
      <c r="O35">
        <v>2</v>
      </c>
      <c r="P35">
        <v>1</v>
      </c>
      <c r="Q35">
        <v>0</v>
      </c>
    </row>
    <row r="36" spans="4:17">
      <c r="D36" t="s">
        <v>15</v>
      </c>
      <c r="F36" t="s">
        <v>66</v>
      </c>
      <c r="I36">
        <v>8.5</v>
      </c>
      <c r="J36">
        <v>0</v>
      </c>
      <c r="K36">
        <v>1</v>
      </c>
      <c r="L36">
        <v>0</v>
      </c>
      <c r="M36">
        <v>2</v>
      </c>
      <c r="N36">
        <v>2</v>
      </c>
      <c r="O36">
        <v>1</v>
      </c>
      <c r="P36">
        <v>1</v>
      </c>
      <c r="Q36">
        <v>1</v>
      </c>
    </row>
    <row r="37" spans="4:17">
      <c r="D37" t="s">
        <v>77</v>
      </c>
      <c r="F37" t="s">
        <v>66</v>
      </c>
      <c r="I37">
        <v>5.5</v>
      </c>
      <c r="J37">
        <v>1</v>
      </c>
      <c r="K37">
        <v>0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</row>
    <row r="38" spans="4:17">
      <c r="D38" t="s">
        <v>78</v>
      </c>
      <c r="F38" t="s">
        <v>71</v>
      </c>
      <c r="O38">
        <v>2</v>
      </c>
      <c r="P38">
        <v>0</v>
      </c>
      <c r="Q38">
        <v>0</v>
      </c>
    </row>
    <row r="39" spans="4:17">
      <c r="D39" t="s">
        <v>79</v>
      </c>
      <c r="F39" t="s">
        <v>71</v>
      </c>
      <c r="O39">
        <v>1</v>
      </c>
      <c r="P39">
        <v>0</v>
      </c>
      <c r="Q39">
        <v>1</v>
      </c>
    </row>
    <row r="40" spans="4:17">
      <c r="D40" t="s">
        <v>80</v>
      </c>
      <c r="F40" t="s">
        <v>72</v>
      </c>
      <c r="P40">
        <v>3</v>
      </c>
      <c r="Q40">
        <v>0</v>
      </c>
    </row>
    <row r="41" spans="4:17">
      <c r="D41" t="s">
        <v>81</v>
      </c>
      <c r="F41" t="s">
        <v>72</v>
      </c>
      <c r="P41">
        <v>3.5</v>
      </c>
      <c r="Q4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U48"/>
  <sheetViews>
    <sheetView topLeftCell="A19" workbookViewId="0">
      <selection activeCell="H38" sqref="H38"/>
    </sheetView>
  </sheetViews>
  <sheetFormatPr defaultRowHeight="15"/>
  <cols>
    <col min="1" max="1" width="0.140625" customWidth="1"/>
    <col min="2" max="2" width="4.7109375" bestFit="1" customWidth="1"/>
    <col min="3" max="3" width="18.5703125" customWidth="1"/>
    <col min="4" max="4" width="9.5703125" bestFit="1" customWidth="1"/>
    <col min="5" max="5" width="11" customWidth="1"/>
    <col min="6" max="6" width="9.42578125" customWidth="1"/>
    <col min="7" max="7" width="7.42578125" customWidth="1"/>
    <col min="8" max="8" width="8.28515625" customWidth="1"/>
    <col min="9" max="9" width="9.140625" customWidth="1"/>
    <col min="10" max="10" width="9.5703125" bestFit="1" customWidth="1"/>
    <col min="11" max="11" width="8.5703125" bestFit="1" customWidth="1"/>
    <col min="12" max="12" width="6.85546875" customWidth="1"/>
    <col min="13" max="13" width="8.7109375" bestFit="1" customWidth="1"/>
    <col min="14" max="14" width="6.5703125" customWidth="1"/>
    <col min="15" max="15" width="6.5703125" bestFit="1" customWidth="1"/>
    <col min="16" max="16" width="9.5703125" bestFit="1" customWidth="1"/>
    <col min="17" max="17" width="11.7109375" bestFit="1" customWidth="1"/>
    <col min="18" max="18" width="12" bestFit="1" customWidth="1"/>
  </cols>
  <sheetData>
    <row r="1" spans="2:21" ht="36">
      <c r="C1" s="79">
        <v>42491</v>
      </c>
      <c r="D1" t="s">
        <v>41</v>
      </c>
      <c r="E1" s="8" t="s">
        <v>191</v>
      </c>
      <c r="F1" s="8"/>
      <c r="G1" s="8"/>
      <c r="H1" s="8"/>
      <c r="I1" s="9"/>
      <c r="J1" s="5"/>
      <c r="K1" s="5"/>
      <c r="L1" s="5"/>
    </row>
    <row r="2" spans="2:21" ht="28.5">
      <c r="C2" s="6"/>
      <c r="F2" s="95" t="s">
        <v>178</v>
      </c>
    </row>
    <row r="3" spans="2:21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3" t="s">
        <v>184</v>
      </c>
      <c r="I3" s="2" t="s">
        <v>3</v>
      </c>
      <c r="J3" s="2" t="s">
        <v>32</v>
      </c>
      <c r="K3" s="2" t="s">
        <v>36</v>
      </c>
      <c r="L3" s="2" t="s">
        <v>123</v>
      </c>
      <c r="M3" s="2" t="s">
        <v>33</v>
      </c>
      <c r="N3" s="2" t="s">
        <v>37</v>
      </c>
      <c r="O3" s="2" t="s">
        <v>38</v>
      </c>
      <c r="P3" s="28" t="s">
        <v>40</v>
      </c>
      <c r="Q3" s="2" t="s">
        <v>105</v>
      </c>
      <c r="R3" s="1"/>
      <c r="S3" s="1"/>
      <c r="T3" s="1"/>
      <c r="U3" s="1"/>
    </row>
    <row r="4" spans="2:21" ht="19.899999999999999" customHeight="1">
      <c r="B4" s="2">
        <v>1</v>
      </c>
      <c r="C4" s="13" t="s">
        <v>166</v>
      </c>
      <c r="D4" s="11">
        <v>6100</v>
      </c>
      <c r="E4" s="4">
        <f>SUM(D4/30)</f>
        <v>203.33333333333334</v>
      </c>
      <c r="F4" s="2">
        <v>30</v>
      </c>
      <c r="G4" s="86">
        <f>1+1</f>
        <v>2</v>
      </c>
      <c r="H4" s="33">
        <v>0</v>
      </c>
      <c r="I4" s="2">
        <f>30-G4+H4</f>
        <v>28</v>
      </c>
      <c r="J4" s="4">
        <f>SUM(D4-M4)</f>
        <v>5896.666666666667</v>
      </c>
      <c r="K4" s="33"/>
      <c r="L4" s="2">
        <v>24</v>
      </c>
      <c r="M4" s="4">
        <f>SUM(G4*E4)/2</f>
        <v>203.33333333333334</v>
      </c>
      <c r="N4" s="4"/>
      <c r="O4" s="2"/>
      <c r="P4" s="36">
        <f>SUM(J4-K4-N4-O4-L4)</f>
        <v>5872.666666666667</v>
      </c>
      <c r="Q4" s="2"/>
      <c r="R4" s="1"/>
      <c r="S4" s="1"/>
      <c r="T4" s="1"/>
      <c r="U4" s="1"/>
    </row>
    <row r="5" spans="2:21" ht="19.899999999999999" customHeight="1">
      <c r="B5" s="2">
        <v>2</v>
      </c>
      <c r="C5" s="13" t="s">
        <v>160</v>
      </c>
      <c r="D5" s="11">
        <v>8500</v>
      </c>
      <c r="E5" s="4">
        <f>SUM(D5/30)</f>
        <v>283.33333333333331</v>
      </c>
      <c r="F5" s="2">
        <v>30</v>
      </c>
      <c r="G5" s="33">
        <f>0.5+2+1+0.5</f>
        <v>4</v>
      </c>
      <c r="H5" s="33">
        <v>0</v>
      </c>
      <c r="I5" s="2">
        <f>30-G5</f>
        <v>26</v>
      </c>
      <c r="J5" s="4">
        <f>SUM(D5-M5)</f>
        <v>7366.666666666667</v>
      </c>
      <c r="K5" s="33"/>
      <c r="L5" s="2"/>
      <c r="M5" s="4">
        <f t="shared" ref="M5:M14" si="0">SUM(G5*E5)</f>
        <v>1133.3333333333333</v>
      </c>
      <c r="N5" s="4"/>
      <c r="O5" s="2"/>
      <c r="P5" s="36">
        <f>SUM(J5-K5-N5-O5-L5)</f>
        <v>7366.666666666667</v>
      </c>
      <c r="Q5" s="2"/>
      <c r="R5" s="1"/>
      <c r="S5" s="1"/>
      <c r="T5" s="1"/>
      <c r="U5" s="1"/>
    </row>
    <row r="6" spans="2:21" ht="19.899999999999999" customHeight="1">
      <c r="B6" s="2">
        <v>3</v>
      </c>
      <c r="C6" s="13" t="s">
        <v>42</v>
      </c>
      <c r="D6" s="11">
        <v>8000</v>
      </c>
      <c r="E6" s="4">
        <f t="shared" ref="E6:E31" si="1">SUM(D6/30)</f>
        <v>266.66666666666669</v>
      </c>
      <c r="F6" s="2">
        <v>30</v>
      </c>
      <c r="G6" s="86">
        <v>0</v>
      </c>
      <c r="H6" s="33">
        <v>0</v>
      </c>
      <c r="I6" s="2">
        <f>30-G6+H6</f>
        <v>30</v>
      </c>
      <c r="J6" s="4">
        <f>SUM(D6-M6)</f>
        <v>8000</v>
      </c>
      <c r="K6" s="86"/>
      <c r="L6" s="2"/>
      <c r="M6" s="4">
        <f t="shared" si="0"/>
        <v>0</v>
      </c>
      <c r="N6" s="4"/>
      <c r="O6" s="2"/>
      <c r="P6" s="36">
        <f>SUM(J6-K6-N6-O6-L6)</f>
        <v>8000</v>
      </c>
      <c r="Q6" s="2"/>
      <c r="R6" s="41"/>
      <c r="S6" s="41"/>
      <c r="T6" s="41"/>
      <c r="U6" s="1"/>
    </row>
    <row r="7" spans="2:21" ht="19.899999999999999" customHeight="1">
      <c r="B7" s="2">
        <v>4</v>
      </c>
      <c r="C7" s="13" t="s">
        <v>167</v>
      </c>
      <c r="D7" s="11">
        <v>3600</v>
      </c>
      <c r="E7" s="4">
        <f t="shared" si="1"/>
        <v>120</v>
      </c>
      <c r="F7" s="2">
        <v>30</v>
      </c>
      <c r="G7" s="100">
        <f>2+1+1+1.5</f>
        <v>5.5</v>
      </c>
      <c r="H7" s="34">
        <v>0</v>
      </c>
      <c r="I7" s="2">
        <f t="shared" ref="I7:I14" si="2">30-G7</f>
        <v>24.5</v>
      </c>
      <c r="J7" s="4">
        <f t="shared" ref="J7:J13" si="3">SUM(D7-M7)</f>
        <v>2940</v>
      </c>
      <c r="K7" s="86"/>
      <c r="L7" s="2">
        <v>14</v>
      </c>
      <c r="M7" s="4">
        <f t="shared" si="0"/>
        <v>660</v>
      </c>
      <c r="N7" s="4"/>
      <c r="O7" s="2"/>
      <c r="P7" s="36">
        <f>SUM(J7-K7-N7-O7-L7)</f>
        <v>2926</v>
      </c>
      <c r="Q7" s="2"/>
      <c r="R7" s="1"/>
      <c r="S7" s="1"/>
      <c r="T7" s="1"/>
      <c r="U7" s="1"/>
    </row>
    <row r="8" spans="2:21" ht="19.899999999999999" customHeight="1">
      <c r="B8" s="2">
        <v>5</v>
      </c>
      <c r="C8" s="13" t="s">
        <v>168</v>
      </c>
      <c r="D8" s="11">
        <v>4100</v>
      </c>
      <c r="E8" s="4">
        <f t="shared" si="1"/>
        <v>136.66666666666666</v>
      </c>
      <c r="F8" s="2">
        <v>30</v>
      </c>
      <c r="G8" s="86">
        <f>2.5+2</f>
        <v>4.5</v>
      </c>
      <c r="H8" s="33">
        <v>0</v>
      </c>
      <c r="I8" s="2">
        <f t="shared" si="2"/>
        <v>25.5</v>
      </c>
      <c r="J8" s="4">
        <f t="shared" si="3"/>
        <v>3485</v>
      </c>
      <c r="K8" s="86"/>
      <c r="L8" s="2"/>
      <c r="M8" s="4">
        <f t="shared" si="0"/>
        <v>615</v>
      </c>
      <c r="N8" s="4"/>
      <c r="O8" s="4"/>
      <c r="P8" s="36">
        <f t="shared" ref="P8:P10" si="4">SUM(J8-K8-N8-O8-L8)</f>
        <v>3485</v>
      </c>
      <c r="Q8" s="46"/>
      <c r="R8" s="1"/>
      <c r="S8" s="41"/>
      <c r="T8" s="40"/>
    </row>
    <row r="9" spans="2:21" ht="19.899999999999999" customHeight="1">
      <c r="B9" s="2">
        <v>6</v>
      </c>
      <c r="C9" s="13" t="s">
        <v>169</v>
      </c>
      <c r="D9" s="11">
        <v>5200</v>
      </c>
      <c r="E9" s="4">
        <f t="shared" si="1"/>
        <v>173.33333333333334</v>
      </c>
      <c r="F9" s="2">
        <v>30</v>
      </c>
      <c r="G9" s="100">
        <v>2</v>
      </c>
      <c r="H9" s="34">
        <v>0</v>
      </c>
      <c r="I9" s="2">
        <f t="shared" si="2"/>
        <v>28</v>
      </c>
      <c r="J9" s="4">
        <f t="shared" si="3"/>
        <v>4853.333333333333</v>
      </c>
      <c r="K9" s="33"/>
      <c r="L9" s="2"/>
      <c r="M9" s="4">
        <f t="shared" si="0"/>
        <v>346.66666666666669</v>
      </c>
      <c r="N9" s="4"/>
      <c r="O9" s="4"/>
      <c r="P9" s="36">
        <f t="shared" si="4"/>
        <v>4853.333333333333</v>
      </c>
      <c r="Q9" s="46"/>
      <c r="R9" s="1"/>
      <c r="S9" s="1"/>
      <c r="T9" s="1"/>
      <c r="U9" s="1"/>
    </row>
    <row r="10" spans="2:21" ht="19.899999999999999" customHeight="1">
      <c r="B10" s="2">
        <v>7</v>
      </c>
      <c r="C10" s="13" t="s">
        <v>170</v>
      </c>
      <c r="D10" s="11">
        <v>3600</v>
      </c>
      <c r="E10" s="4">
        <f t="shared" si="1"/>
        <v>120</v>
      </c>
      <c r="F10" s="2">
        <v>30</v>
      </c>
      <c r="G10" s="86">
        <v>2</v>
      </c>
      <c r="H10" s="33">
        <v>0</v>
      </c>
      <c r="I10" s="2">
        <f t="shared" si="2"/>
        <v>28</v>
      </c>
      <c r="J10" s="4">
        <f t="shared" si="3"/>
        <v>3360</v>
      </c>
      <c r="K10" s="86"/>
      <c r="L10" s="2"/>
      <c r="M10" s="4">
        <f t="shared" si="0"/>
        <v>240</v>
      </c>
      <c r="N10" s="4"/>
      <c r="O10" s="4"/>
      <c r="P10" s="36">
        <f t="shared" si="4"/>
        <v>3360</v>
      </c>
      <c r="Q10" s="2"/>
      <c r="R10" s="1"/>
      <c r="S10" s="1"/>
      <c r="T10" s="1"/>
      <c r="U10" s="1"/>
    </row>
    <row r="11" spans="2:21" ht="19.899999999999999" customHeight="1">
      <c r="B11" s="2">
        <v>8</v>
      </c>
      <c r="C11" s="13" t="s">
        <v>177</v>
      </c>
      <c r="D11" s="11">
        <v>5000</v>
      </c>
      <c r="E11" s="4">
        <f t="shared" si="1"/>
        <v>166.66666666666666</v>
      </c>
      <c r="F11" s="2">
        <v>30</v>
      </c>
      <c r="G11" s="34">
        <f>3+2+1+1</f>
        <v>7</v>
      </c>
      <c r="H11" s="34">
        <v>0</v>
      </c>
      <c r="I11" s="2">
        <f t="shared" si="2"/>
        <v>23</v>
      </c>
      <c r="J11" s="4">
        <f t="shared" si="3"/>
        <v>3833.3333333333335</v>
      </c>
      <c r="K11" s="86"/>
      <c r="L11" s="2"/>
      <c r="M11" s="4">
        <f t="shared" si="0"/>
        <v>1166.6666666666665</v>
      </c>
      <c r="N11" s="4"/>
      <c r="O11" s="4"/>
      <c r="P11" s="36">
        <f>SUM(J11-K11-N11-O11-L11)</f>
        <v>3833.3333333333335</v>
      </c>
      <c r="Q11" s="2"/>
      <c r="R11" s="1"/>
      <c r="S11" s="1"/>
      <c r="T11" s="1"/>
      <c r="U11" s="1"/>
    </row>
    <row r="12" spans="2:21" ht="19.899999999999999" customHeight="1">
      <c r="B12" s="2">
        <v>9</v>
      </c>
      <c r="C12" s="13" t="s">
        <v>189</v>
      </c>
      <c r="D12" s="11">
        <v>3000</v>
      </c>
      <c r="E12" s="4">
        <f t="shared" si="1"/>
        <v>100</v>
      </c>
      <c r="F12" s="2">
        <v>30</v>
      </c>
      <c r="G12" s="100">
        <v>0</v>
      </c>
      <c r="H12" s="34">
        <v>0</v>
      </c>
      <c r="I12" s="2">
        <v>30</v>
      </c>
      <c r="J12" s="4">
        <f t="shared" si="3"/>
        <v>3000</v>
      </c>
      <c r="K12" s="86"/>
      <c r="L12" s="2"/>
      <c r="M12" s="4">
        <f t="shared" si="0"/>
        <v>0</v>
      </c>
      <c r="N12" s="4"/>
      <c r="O12" s="4"/>
      <c r="P12" s="36">
        <f>SUM(J12-K12-N12-O12-L12)</f>
        <v>3000</v>
      </c>
      <c r="Q12" s="2"/>
      <c r="R12" s="1"/>
      <c r="S12" s="1"/>
      <c r="T12" s="1"/>
      <c r="U12" s="1"/>
    </row>
    <row r="13" spans="2:21" ht="19.899999999999999" customHeight="1">
      <c r="B13" s="2">
        <v>10</v>
      </c>
      <c r="C13" s="13" t="s">
        <v>174</v>
      </c>
      <c r="D13" s="11">
        <v>4500</v>
      </c>
      <c r="E13" s="4">
        <f t="shared" si="1"/>
        <v>150</v>
      </c>
      <c r="F13" s="2">
        <v>30</v>
      </c>
      <c r="G13" s="33">
        <f>6</f>
        <v>6</v>
      </c>
      <c r="H13" s="33">
        <v>0</v>
      </c>
      <c r="I13" s="2">
        <f t="shared" si="2"/>
        <v>24</v>
      </c>
      <c r="J13" s="4">
        <f t="shared" si="3"/>
        <v>3600</v>
      </c>
      <c r="K13" s="86"/>
      <c r="L13" s="2"/>
      <c r="M13" s="4">
        <f t="shared" si="0"/>
        <v>900</v>
      </c>
      <c r="N13" s="4"/>
      <c r="O13" s="4"/>
      <c r="P13" s="36">
        <f>SUM(J13-K13-N13-O13-L13)</f>
        <v>3600</v>
      </c>
      <c r="Q13" s="2"/>
      <c r="R13" s="1"/>
      <c r="S13" s="1"/>
      <c r="T13" s="1"/>
      <c r="U13" s="1"/>
    </row>
    <row r="14" spans="2:21" ht="19.899999999999999" customHeight="1">
      <c r="B14" s="2">
        <v>11</v>
      </c>
      <c r="C14" s="13" t="s">
        <v>193</v>
      </c>
      <c r="D14" s="11">
        <v>3000</v>
      </c>
      <c r="E14" s="4">
        <f t="shared" si="1"/>
        <v>100</v>
      </c>
      <c r="F14" s="2">
        <v>30</v>
      </c>
      <c r="G14" s="33">
        <f>2+8</f>
        <v>10</v>
      </c>
      <c r="H14" s="33">
        <v>0</v>
      </c>
      <c r="I14" s="2">
        <f t="shared" si="2"/>
        <v>20</v>
      </c>
      <c r="J14" s="4">
        <f>SUM(D14-M14)</f>
        <v>2000</v>
      </c>
      <c r="K14" s="86"/>
      <c r="L14" s="2"/>
      <c r="M14" s="4">
        <f t="shared" si="0"/>
        <v>1000</v>
      </c>
      <c r="N14" s="4"/>
      <c r="O14" s="4"/>
      <c r="P14" s="36">
        <f>SUM(J14-K14-N14-O14-L14)</f>
        <v>2000</v>
      </c>
      <c r="Q14" s="2"/>
      <c r="R14" s="1"/>
      <c r="S14" s="1"/>
      <c r="T14" s="1"/>
      <c r="U14" s="1"/>
    </row>
    <row r="15" spans="2:21" ht="19.899999999999999" customHeight="1">
      <c r="B15" s="18"/>
      <c r="C15" s="13" t="s">
        <v>183</v>
      </c>
      <c r="D15" s="11"/>
      <c r="E15" s="4"/>
      <c r="F15" s="2"/>
      <c r="G15" s="33"/>
      <c r="H15" s="33"/>
      <c r="I15" s="2"/>
      <c r="J15" s="4"/>
      <c r="K15" s="86"/>
      <c r="L15" s="2"/>
      <c r="M15" s="4">
        <f>SUM(M4:M14)</f>
        <v>6265</v>
      </c>
      <c r="N15" s="4"/>
      <c r="O15" s="4"/>
      <c r="P15" s="36">
        <f>SUM(P4:P14)</f>
        <v>48297.000000000007</v>
      </c>
      <c r="Q15" s="2"/>
      <c r="R15" s="1"/>
      <c r="S15" s="1"/>
      <c r="T15" s="1"/>
      <c r="U15" s="1"/>
    </row>
    <row r="16" spans="2:21" ht="36">
      <c r="B16" s="1"/>
      <c r="C16" s="79">
        <v>42491</v>
      </c>
      <c r="D16" t="s">
        <v>41</v>
      </c>
      <c r="E16" s="8" t="s">
        <v>191</v>
      </c>
      <c r="F16" s="8"/>
      <c r="G16" s="8"/>
      <c r="H16" s="8"/>
      <c r="I16" s="9"/>
      <c r="J16" s="5"/>
      <c r="K16" s="5"/>
      <c r="L16" s="5"/>
    </row>
    <row r="17" spans="2:21" ht="28.5">
      <c r="C17" s="6"/>
      <c r="F17" s="95" t="s">
        <v>181</v>
      </c>
    </row>
    <row r="18" spans="2:21">
      <c r="B18" s="2" t="s">
        <v>0</v>
      </c>
      <c r="C18" s="2" t="s">
        <v>1</v>
      </c>
      <c r="D18" s="2" t="s">
        <v>5</v>
      </c>
      <c r="E18" s="2" t="s">
        <v>34</v>
      </c>
      <c r="F18" s="2" t="s">
        <v>2</v>
      </c>
      <c r="G18" s="3" t="s">
        <v>4</v>
      </c>
      <c r="H18" s="3"/>
      <c r="I18" s="2" t="s">
        <v>3</v>
      </c>
      <c r="J18" s="2" t="s">
        <v>32</v>
      </c>
      <c r="K18" s="2" t="s">
        <v>36</v>
      </c>
      <c r="L18" s="2" t="s">
        <v>123</v>
      </c>
      <c r="M18" s="2" t="s">
        <v>33</v>
      </c>
      <c r="N18" s="2" t="s">
        <v>37</v>
      </c>
      <c r="O18" s="2" t="s">
        <v>38</v>
      </c>
      <c r="P18" s="28" t="s">
        <v>40</v>
      </c>
      <c r="Q18" s="2" t="s">
        <v>105</v>
      </c>
      <c r="R18" s="1"/>
      <c r="S18" s="1"/>
      <c r="T18" s="1"/>
      <c r="U18" s="1"/>
    </row>
    <row r="19" spans="2:21" ht="19.899999999999999" customHeight="1">
      <c r="B19" s="2">
        <v>1</v>
      </c>
      <c r="C19" s="13" t="s">
        <v>161</v>
      </c>
      <c r="D19" s="11">
        <v>8000</v>
      </c>
      <c r="E19" s="4">
        <f t="shared" si="1"/>
        <v>266.66666666666669</v>
      </c>
      <c r="F19" s="2">
        <v>30</v>
      </c>
      <c r="G19" s="33">
        <v>1</v>
      </c>
      <c r="H19" s="33">
        <v>0</v>
      </c>
      <c r="I19" s="2">
        <f>30-G19+H19</f>
        <v>29</v>
      </c>
      <c r="J19" s="4">
        <f>SUM(D19-M19)</f>
        <v>7733.333333333333</v>
      </c>
      <c r="K19" s="86"/>
      <c r="L19" s="2"/>
      <c r="M19" s="4">
        <f>SUM(G19*E19)</f>
        <v>266.66666666666669</v>
      </c>
      <c r="N19" s="4"/>
      <c r="O19" s="4"/>
      <c r="P19" s="36">
        <f t="shared" ref="P19:P30" si="5">SUM(J19-K19-N19-O19-L19)</f>
        <v>7733.333333333333</v>
      </c>
      <c r="Q19" s="2"/>
      <c r="R19" s="1"/>
      <c r="S19" s="1"/>
      <c r="T19" s="1"/>
      <c r="U19" s="1"/>
    </row>
    <row r="20" spans="2:21" ht="19.899999999999999" customHeight="1">
      <c r="B20" s="2">
        <v>2</v>
      </c>
      <c r="C20" s="13" t="s">
        <v>162</v>
      </c>
      <c r="D20" s="11">
        <v>3500</v>
      </c>
      <c r="E20" s="4">
        <f t="shared" si="1"/>
        <v>116.66666666666667</v>
      </c>
      <c r="F20" s="2">
        <v>30</v>
      </c>
      <c r="G20" s="33"/>
      <c r="H20" s="33"/>
      <c r="I20" s="2">
        <f>30-G20</f>
        <v>30</v>
      </c>
      <c r="J20" s="4">
        <f>SUM(D20-M20)</f>
        <v>3500</v>
      </c>
      <c r="K20" s="86"/>
      <c r="L20" s="2"/>
      <c r="M20" s="4">
        <f>SUM(G20*E20)</f>
        <v>0</v>
      </c>
      <c r="N20" s="4"/>
      <c r="O20" s="4"/>
      <c r="P20" s="36">
        <f t="shared" si="5"/>
        <v>3500</v>
      </c>
      <c r="Q20" s="2"/>
      <c r="R20" s="1"/>
      <c r="S20" s="1"/>
      <c r="T20" s="1"/>
      <c r="U20" s="1"/>
    </row>
    <row r="21" spans="2:21" ht="19.899999999999999" customHeight="1">
      <c r="B21" s="2"/>
      <c r="C21" s="13" t="s">
        <v>183</v>
      </c>
      <c r="D21" s="11"/>
      <c r="E21" s="4"/>
      <c r="F21" s="2"/>
      <c r="G21" s="33"/>
      <c r="H21" s="33"/>
      <c r="I21" s="2"/>
      <c r="J21" s="4"/>
      <c r="K21" s="86"/>
      <c r="L21" s="2"/>
      <c r="M21" s="4"/>
      <c r="N21" s="4"/>
      <c r="O21" s="4"/>
      <c r="P21" s="36">
        <f>SUM(P19:P20)</f>
        <v>11233.333333333332</v>
      </c>
      <c r="Q21" s="2"/>
      <c r="R21" s="41"/>
      <c r="S21" s="1"/>
      <c r="T21" s="1"/>
      <c r="U21" s="1"/>
    </row>
    <row r="22" spans="2:21" ht="19.899999999999999" customHeight="1">
      <c r="B22" s="2"/>
      <c r="C22" s="13"/>
      <c r="D22" s="11"/>
      <c r="E22" s="4"/>
      <c r="F22" s="2"/>
      <c r="G22" s="34"/>
      <c r="H22" s="34"/>
      <c r="I22" s="2"/>
      <c r="J22" s="4"/>
      <c r="K22" s="86"/>
      <c r="L22" s="2"/>
      <c r="M22" s="4"/>
      <c r="N22" s="4"/>
      <c r="O22" s="4"/>
      <c r="P22" s="36"/>
      <c r="Q22" s="2"/>
      <c r="R22" s="1"/>
      <c r="S22" s="1"/>
      <c r="T22" s="1"/>
      <c r="U22" s="1"/>
    </row>
    <row r="23" spans="2:21" ht="19.899999999999999" customHeight="1">
      <c r="B23" s="2"/>
      <c r="C23" s="13"/>
      <c r="D23" s="11"/>
      <c r="E23" s="4"/>
      <c r="F23" s="2"/>
      <c r="G23" s="34"/>
      <c r="H23" s="34"/>
      <c r="I23" s="2"/>
      <c r="J23" s="4"/>
      <c r="K23" s="33"/>
      <c r="L23" s="2"/>
      <c r="M23" s="4"/>
      <c r="N23" s="4"/>
      <c r="O23" s="4"/>
      <c r="P23" s="36"/>
      <c r="Q23" s="2"/>
      <c r="R23" s="1"/>
      <c r="S23" s="1"/>
      <c r="T23" s="1"/>
      <c r="U23" s="1"/>
    </row>
    <row r="24" spans="2:21" ht="19.899999999999999" customHeight="1">
      <c r="B24" s="2"/>
      <c r="C24" s="13"/>
      <c r="D24" s="11"/>
      <c r="E24" s="4"/>
      <c r="F24" s="2"/>
      <c r="G24" s="33"/>
      <c r="H24" s="33"/>
      <c r="I24" s="2"/>
      <c r="J24" s="4"/>
      <c r="K24" s="86"/>
      <c r="L24" s="2"/>
      <c r="M24" s="4"/>
      <c r="N24" s="4"/>
      <c r="O24" s="4"/>
      <c r="P24" s="36"/>
      <c r="Q24" s="2"/>
      <c r="R24" s="1"/>
      <c r="S24" s="1"/>
      <c r="T24" s="1"/>
      <c r="U24" s="1"/>
    </row>
    <row r="25" spans="2:21" ht="19.899999999999999" customHeight="1">
      <c r="B25" s="2"/>
      <c r="C25" s="13"/>
      <c r="D25" s="11"/>
      <c r="E25" s="4"/>
      <c r="F25" s="2"/>
      <c r="G25" s="34"/>
      <c r="H25" s="34"/>
      <c r="I25" s="2"/>
      <c r="J25" s="4"/>
      <c r="K25" s="86"/>
      <c r="L25" s="2"/>
      <c r="M25" s="4"/>
      <c r="N25" s="4"/>
      <c r="O25" s="4"/>
      <c r="P25" s="36"/>
      <c r="Q25" s="2"/>
      <c r="R25" s="1"/>
      <c r="S25" s="1"/>
      <c r="T25" s="1"/>
      <c r="U25" s="1"/>
    </row>
    <row r="26" spans="2:21" ht="36">
      <c r="C26" s="79">
        <v>42491</v>
      </c>
      <c r="D26" t="s">
        <v>41</v>
      </c>
      <c r="E26" s="8" t="s">
        <v>191</v>
      </c>
      <c r="F26" s="8"/>
      <c r="G26" s="8"/>
      <c r="H26" s="8"/>
      <c r="I26" s="9"/>
      <c r="J26" s="5"/>
      <c r="K26" s="5"/>
      <c r="L26" s="5"/>
    </row>
    <row r="27" spans="2:21" ht="28.5">
      <c r="C27" s="6"/>
      <c r="F27" s="95" t="s">
        <v>180</v>
      </c>
    </row>
    <row r="28" spans="2:21">
      <c r="B28" s="2" t="s">
        <v>0</v>
      </c>
      <c r="C28" s="2" t="s">
        <v>1</v>
      </c>
      <c r="D28" s="2" t="s">
        <v>5</v>
      </c>
      <c r="E28" s="2" t="s">
        <v>34</v>
      </c>
      <c r="F28" s="2" t="s">
        <v>2</v>
      </c>
      <c r="G28" s="3" t="s">
        <v>4</v>
      </c>
      <c r="H28" s="3"/>
      <c r="I28" s="2" t="s">
        <v>3</v>
      </c>
      <c r="J28" s="2" t="s">
        <v>32</v>
      </c>
      <c r="K28" s="2" t="s">
        <v>36</v>
      </c>
      <c r="L28" s="2" t="s">
        <v>123</v>
      </c>
      <c r="M28" s="2" t="s">
        <v>33</v>
      </c>
      <c r="N28" s="2" t="s">
        <v>37</v>
      </c>
      <c r="O28" s="2" t="s">
        <v>38</v>
      </c>
      <c r="P28" s="28" t="s">
        <v>40</v>
      </c>
      <c r="Q28" s="2" t="s">
        <v>105</v>
      </c>
      <c r="R28" s="1"/>
      <c r="S28" s="1"/>
      <c r="T28" s="1"/>
      <c r="U28" s="1"/>
    </row>
    <row r="29" spans="2:21" ht="19.899999999999999" customHeight="1">
      <c r="B29" s="2">
        <v>1</v>
      </c>
      <c r="C29" s="13" t="s">
        <v>163</v>
      </c>
      <c r="D29" s="11">
        <v>12000</v>
      </c>
      <c r="E29" s="4">
        <f t="shared" si="1"/>
        <v>400</v>
      </c>
      <c r="F29" s="2">
        <v>30</v>
      </c>
      <c r="G29" s="34">
        <v>0</v>
      </c>
      <c r="H29" s="34"/>
      <c r="I29" s="2">
        <f>30-G29</f>
        <v>30</v>
      </c>
      <c r="J29" s="4">
        <f>SUM(D29-M29)</f>
        <v>12000</v>
      </c>
      <c r="K29" s="86"/>
      <c r="L29" s="2"/>
      <c r="M29" s="4">
        <f>SUM(G29*E29)</f>
        <v>0</v>
      </c>
      <c r="N29" s="4">
        <v>336</v>
      </c>
      <c r="O29" s="4">
        <v>70</v>
      </c>
      <c r="P29" s="36">
        <f t="shared" si="5"/>
        <v>11594</v>
      </c>
      <c r="Q29" s="2"/>
      <c r="R29" s="1"/>
      <c r="S29" s="1"/>
      <c r="T29" s="1"/>
      <c r="U29" s="1"/>
    </row>
    <row r="30" spans="2:21" ht="19.899999999999999" customHeight="1">
      <c r="B30" s="2">
        <v>2</v>
      </c>
      <c r="C30" s="13" t="s">
        <v>171</v>
      </c>
      <c r="D30" s="11">
        <v>3750</v>
      </c>
      <c r="E30" s="4">
        <f t="shared" si="1"/>
        <v>125</v>
      </c>
      <c r="F30" s="2">
        <v>30</v>
      </c>
      <c r="G30" s="34">
        <v>0</v>
      </c>
      <c r="H30" s="34"/>
      <c r="I30" s="2">
        <f>30-G30</f>
        <v>30</v>
      </c>
      <c r="J30" s="4">
        <f>SUM(D30-M30)</f>
        <v>3750</v>
      </c>
      <c r="K30" s="86"/>
      <c r="L30" s="2"/>
      <c r="M30" s="4">
        <f>SUM(G30*E30)</f>
        <v>0</v>
      </c>
      <c r="N30" s="4"/>
      <c r="O30" s="4"/>
      <c r="P30" s="36">
        <f t="shared" si="5"/>
        <v>3750</v>
      </c>
      <c r="Q30" s="2"/>
      <c r="R30" s="1"/>
      <c r="S30" s="1"/>
      <c r="T30" s="1"/>
      <c r="U30" s="1"/>
    </row>
    <row r="31" spans="2:21" ht="19.899999999999999" customHeight="1">
      <c r="B31" s="2">
        <v>3</v>
      </c>
      <c r="C31" s="13" t="s">
        <v>172</v>
      </c>
      <c r="D31" s="11">
        <v>7500</v>
      </c>
      <c r="E31" s="4">
        <f t="shared" si="1"/>
        <v>250</v>
      </c>
      <c r="F31" s="2">
        <v>30</v>
      </c>
      <c r="G31" s="34">
        <v>0</v>
      </c>
      <c r="H31" s="34"/>
      <c r="I31" s="2">
        <f>30-G31</f>
        <v>30</v>
      </c>
      <c r="J31" s="4">
        <f>SUM(D31-M31)</f>
        <v>7500</v>
      </c>
      <c r="K31" s="86"/>
      <c r="L31" s="2"/>
      <c r="M31" s="4">
        <f>SUM(G31*E31)</f>
        <v>0</v>
      </c>
      <c r="N31" s="4"/>
      <c r="O31" s="4"/>
      <c r="P31" s="36">
        <f>SUM(J31-K31-N31-O31-L31)</f>
        <v>7500</v>
      </c>
      <c r="Q31" s="2"/>
      <c r="R31" s="1"/>
      <c r="S31" s="1"/>
      <c r="T31" s="1"/>
      <c r="U31" s="1"/>
    </row>
    <row r="32" spans="2:21" ht="19.899999999999999" customHeight="1">
      <c r="B32" s="2">
        <v>4</v>
      </c>
      <c r="C32" s="13" t="s">
        <v>183</v>
      </c>
      <c r="D32" s="11"/>
      <c r="E32" s="4"/>
      <c r="F32" s="2"/>
      <c r="G32" s="34"/>
      <c r="H32" s="34"/>
      <c r="I32" s="2"/>
      <c r="J32" s="4"/>
      <c r="K32" s="86"/>
      <c r="L32" s="2"/>
      <c r="M32" s="4"/>
      <c r="N32" s="4"/>
      <c r="O32" s="4"/>
      <c r="P32" s="36">
        <f>SUM(P29:P31)</f>
        <v>22844</v>
      </c>
      <c r="Q32" s="2"/>
      <c r="R32" s="1"/>
      <c r="S32" s="1"/>
      <c r="T32" s="1"/>
      <c r="U32" s="1"/>
    </row>
    <row r="33" spans="2:21" ht="19.899999999999999" customHeight="1">
      <c r="B33" s="2"/>
      <c r="C33" s="13"/>
      <c r="D33" s="11"/>
      <c r="E33" s="4"/>
      <c r="F33" s="2"/>
      <c r="G33" s="34"/>
      <c r="H33" s="34"/>
      <c r="I33" s="2"/>
      <c r="J33" s="4"/>
      <c r="K33" s="33"/>
      <c r="L33" s="2"/>
      <c r="M33" s="4"/>
      <c r="N33" s="4"/>
      <c r="O33" s="4"/>
      <c r="P33" s="36"/>
      <c r="Q33" s="2"/>
      <c r="R33" s="1"/>
      <c r="S33" s="1"/>
      <c r="T33" s="1"/>
      <c r="U33" s="1"/>
    </row>
    <row r="34" spans="2:21" ht="36">
      <c r="C34" s="79">
        <v>42491</v>
      </c>
      <c r="D34" t="s">
        <v>41</v>
      </c>
      <c r="E34" s="8" t="s">
        <v>191</v>
      </c>
      <c r="F34" s="8"/>
      <c r="G34" s="8"/>
      <c r="H34" s="8"/>
      <c r="I34" s="9"/>
      <c r="J34" s="5"/>
      <c r="K34" s="5"/>
      <c r="L34" s="5"/>
    </row>
    <row r="35" spans="2:21" ht="28.5">
      <c r="C35" s="6"/>
      <c r="F35" s="95" t="s">
        <v>179</v>
      </c>
    </row>
    <row r="36" spans="2:21">
      <c r="B36" s="2" t="s">
        <v>0</v>
      </c>
      <c r="C36" s="2" t="s">
        <v>1</v>
      </c>
      <c r="D36" s="2" t="s">
        <v>5</v>
      </c>
      <c r="E36" s="2" t="s">
        <v>34</v>
      </c>
      <c r="F36" s="2" t="s">
        <v>2</v>
      </c>
      <c r="G36" s="3" t="s">
        <v>4</v>
      </c>
      <c r="H36" s="3"/>
      <c r="I36" s="2" t="s">
        <v>3</v>
      </c>
      <c r="J36" s="2" t="s">
        <v>32</v>
      </c>
      <c r="K36" s="2" t="s">
        <v>36</v>
      </c>
      <c r="L36" s="2" t="s">
        <v>123</v>
      </c>
      <c r="M36" s="2" t="s">
        <v>33</v>
      </c>
      <c r="N36" s="2" t="s">
        <v>37</v>
      </c>
      <c r="O36" s="2" t="s">
        <v>38</v>
      </c>
      <c r="P36" s="28" t="s">
        <v>40</v>
      </c>
      <c r="Q36" s="2" t="s">
        <v>105</v>
      </c>
      <c r="R36" s="1"/>
      <c r="S36" s="1"/>
      <c r="T36" s="1"/>
      <c r="U36" s="1"/>
    </row>
    <row r="37" spans="2:21" ht="19.899999999999999" customHeight="1">
      <c r="B37" s="2"/>
      <c r="C37" s="13" t="s">
        <v>164</v>
      </c>
      <c r="D37" s="11">
        <v>9000</v>
      </c>
      <c r="E37" s="4">
        <f t="shared" ref="E37" si="6">SUM(D37/30)</f>
        <v>300</v>
      </c>
      <c r="F37" s="2">
        <v>30</v>
      </c>
      <c r="G37" s="34">
        <v>1</v>
      </c>
      <c r="H37" s="34">
        <v>0</v>
      </c>
      <c r="I37" s="2">
        <f>+F37-G37+H37</f>
        <v>29</v>
      </c>
      <c r="J37" s="4">
        <f>SUM(D37-M37)</f>
        <v>8700</v>
      </c>
      <c r="K37" s="33"/>
      <c r="L37" s="2"/>
      <c r="M37" s="4">
        <f t="shared" ref="M37:M40" si="7">SUM(G37*E37)</f>
        <v>300</v>
      </c>
      <c r="N37" s="4">
        <v>252</v>
      </c>
      <c r="O37" s="4">
        <v>53</v>
      </c>
      <c r="P37" s="36">
        <f t="shared" ref="P37:P40" si="8">SUM(J37-K37-N37-O37-L37)</f>
        <v>8395</v>
      </c>
      <c r="Q37" s="2"/>
      <c r="R37" s="1"/>
      <c r="S37" s="1"/>
      <c r="T37" s="1"/>
      <c r="U37" s="1"/>
    </row>
    <row r="38" spans="2:21" ht="19.899999999999999" customHeight="1">
      <c r="B38" s="2"/>
      <c r="C38" s="13" t="s">
        <v>165</v>
      </c>
      <c r="D38" s="11">
        <v>8000</v>
      </c>
      <c r="E38" s="4">
        <f>SUM(D38/30)</f>
        <v>266.66666666666669</v>
      </c>
      <c r="F38" s="2">
        <v>30</v>
      </c>
      <c r="G38" s="34">
        <v>1</v>
      </c>
      <c r="H38" s="34">
        <v>0</v>
      </c>
      <c r="I38" s="2">
        <f>+F38-G38+H38</f>
        <v>29</v>
      </c>
      <c r="J38" s="4">
        <f>SUM(D38-M38)</f>
        <v>7733.333333333333</v>
      </c>
      <c r="K38" s="86"/>
      <c r="L38" s="2"/>
      <c r="M38" s="4">
        <f t="shared" si="7"/>
        <v>266.66666666666669</v>
      </c>
      <c r="N38" s="4"/>
      <c r="O38" s="4"/>
      <c r="P38" s="36">
        <f t="shared" si="8"/>
        <v>7733.333333333333</v>
      </c>
      <c r="Q38" s="2"/>
      <c r="R38" s="1"/>
      <c r="S38" s="1"/>
      <c r="T38" s="1"/>
      <c r="U38" s="1"/>
    </row>
    <row r="39" spans="2:21" ht="19.899999999999999" customHeight="1">
      <c r="B39" s="2"/>
      <c r="C39" s="13" t="s">
        <v>175</v>
      </c>
      <c r="D39" s="11">
        <v>4700</v>
      </c>
      <c r="E39" s="4">
        <f t="shared" ref="E39:E40" si="9">SUM(D39/30)</f>
        <v>156.66666666666666</v>
      </c>
      <c r="F39" s="2">
        <v>30</v>
      </c>
      <c r="G39" s="34">
        <v>0</v>
      </c>
      <c r="H39" s="34"/>
      <c r="I39" s="2">
        <f>+F39-G39</f>
        <v>30</v>
      </c>
      <c r="J39" s="4">
        <f>SUM(D39-M39)</f>
        <v>4700</v>
      </c>
      <c r="K39" s="86"/>
      <c r="L39" s="2"/>
      <c r="M39" s="4">
        <f t="shared" si="7"/>
        <v>0</v>
      </c>
      <c r="N39" s="4"/>
      <c r="O39" s="4"/>
      <c r="P39" s="36">
        <f t="shared" si="8"/>
        <v>4700</v>
      </c>
      <c r="Q39" s="2"/>
    </row>
    <row r="40" spans="2:21" ht="19.899999999999999" customHeight="1">
      <c r="B40" s="2"/>
      <c r="C40" s="13" t="s">
        <v>176</v>
      </c>
      <c r="D40" s="16">
        <v>5700</v>
      </c>
      <c r="E40" s="4">
        <f t="shared" si="9"/>
        <v>190</v>
      </c>
      <c r="F40" s="2">
        <v>30</v>
      </c>
      <c r="G40" s="35">
        <v>1</v>
      </c>
      <c r="H40" s="35"/>
      <c r="I40" s="2">
        <f>+F40-G40</f>
        <v>29</v>
      </c>
      <c r="J40" s="4">
        <f>SUM(D40-M40)</f>
        <v>5510</v>
      </c>
      <c r="K40" s="33"/>
      <c r="L40" s="18"/>
      <c r="M40" s="4">
        <f t="shared" si="7"/>
        <v>190</v>
      </c>
      <c r="N40" s="17"/>
      <c r="O40" s="17"/>
      <c r="P40" s="36">
        <f t="shared" si="8"/>
        <v>5510</v>
      </c>
      <c r="Q40" s="2"/>
    </row>
    <row r="41" spans="2:21" ht="19.899999999999999" customHeight="1">
      <c r="B41" s="2"/>
      <c r="C41" s="13" t="s">
        <v>182</v>
      </c>
      <c r="D41" s="16"/>
      <c r="E41" s="17"/>
      <c r="F41" s="2"/>
      <c r="G41" s="35"/>
      <c r="H41" s="35"/>
      <c r="I41" s="2"/>
      <c r="J41" s="17"/>
      <c r="K41" s="86"/>
      <c r="L41" s="18"/>
      <c r="M41" s="17"/>
      <c r="N41" s="17"/>
      <c r="O41" s="17"/>
      <c r="P41" s="36">
        <f>SUM(P37:P40)</f>
        <v>26338.333333333332</v>
      </c>
      <c r="Q41" s="2"/>
    </row>
    <row r="42" spans="2:21" ht="19.899999999999999" customHeight="1">
      <c r="B42" s="2"/>
      <c r="C42" s="13"/>
      <c r="D42" s="16"/>
      <c r="E42" s="17"/>
      <c r="F42" s="2"/>
      <c r="G42" s="35"/>
      <c r="H42" s="35"/>
      <c r="I42" s="2"/>
      <c r="J42" s="17"/>
      <c r="K42" s="86"/>
      <c r="L42" s="18"/>
      <c r="M42" s="17"/>
      <c r="N42" s="17"/>
      <c r="O42" s="17"/>
      <c r="P42" s="36"/>
      <c r="Q42" s="2"/>
    </row>
    <row r="43" spans="2:21" ht="19.899999999999999" customHeight="1">
      <c r="B43" s="2"/>
      <c r="C43" s="13"/>
      <c r="D43" s="16"/>
      <c r="E43" s="17"/>
      <c r="F43" s="2"/>
      <c r="G43" s="35"/>
      <c r="H43" s="35"/>
      <c r="I43" s="2"/>
      <c r="J43" s="17"/>
      <c r="K43" s="86"/>
      <c r="L43" s="18"/>
      <c r="M43" s="17"/>
      <c r="N43" s="17"/>
      <c r="O43" s="17"/>
      <c r="P43" s="36"/>
      <c r="Q43" s="2"/>
    </row>
    <row r="44" spans="2:21" ht="26.25">
      <c r="C44" s="26"/>
      <c r="D44" s="26"/>
      <c r="E44" s="26"/>
      <c r="F44" s="26"/>
      <c r="G44" s="26" t="s">
        <v>122</v>
      </c>
      <c r="H44" s="26"/>
      <c r="I44" s="26"/>
      <c r="J44" s="26"/>
      <c r="K44" s="26"/>
      <c r="L44" s="76"/>
      <c r="M44" s="65"/>
      <c r="N44" s="26" t="s">
        <v>92</v>
      </c>
      <c r="O44" s="26"/>
    </row>
    <row r="45" spans="2:21" ht="26.2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2:21">
      <c r="B46" s="1"/>
      <c r="K46" s="43"/>
      <c r="L46" s="43"/>
      <c r="M46" s="43"/>
    </row>
    <row r="47" spans="2:21">
      <c r="B47" s="27"/>
      <c r="L47" s="43"/>
    </row>
    <row r="48" spans="2:21">
      <c r="K48" s="43"/>
    </row>
  </sheetData>
  <autoFilter ref="B3:T43">
    <filterColumn colId="5"/>
    <filterColumn colId="6"/>
  </autoFilter>
  <pageMargins left="0.12" right="0.11" top="0.32" bottom="0.32" header="0.3" footer="0.3"/>
  <pageSetup scale="9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U48"/>
  <sheetViews>
    <sheetView workbookViewId="0">
      <selection activeCell="E35" sqref="E35"/>
    </sheetView>
  </sheetViews>
  <sheetFormatPr defaultRowHeight="15"/>
  <cols>
    <col min="1" max="1" width="0.140625" customWidth="1"/>
    <col min="2" max="2" width="4.7109375" bestFit="1" customWidth="1"/>
    <col min="3" max="3" width="18.5703125" customWidth="1"/>
    <col min="4" max="4" width="9.5703125" bestFit="1" customWidth="1"/>
    <col min="5" max="5" width="11" customWidth="1"/>
    <col min="6" max="6" width="9.42578125" customWidth="1"/>
    <col min="7" max="7" width="7.42578125" customWidth="1"/>
    <col min="8" max="8" width="8.28515625" customWidth="1"/>
    <col min="9" max="9" width="9.140625" customWidth="1"/>
    <col min="10" max="10" width="9.5703125" bestFit="1" customWidth="1"/>
    <col min="11" max="11" width="8.5703125" bestFit="1" customWidth="1"/>
    <col min="12" max="12" width="6.85546875" customWidth="1"/>
    <col min="13" max="13" width="8.7109375" bestFit="1" customWidth="1"/>
    <col min="14" max="14" width="4.85546875" customWidth="1"/>
    <col min="15" max="15" width="6.5703125" bestFit="1" customWidth="1"/>
    <col min="16" max="16" width="9.5703125" bestFit="1" customWidth="1"/>
    <col min="17" max="17" width="11.7109375" bestFit="1" customWidth="1"/>
    <col min="18" max="18" width="12" bestFit="1" customWidth="1"/>
  </cols>
  <sheetData>
    <row r="1" spans="2:21" ht="36">
      <c r="C1" s="79">
        <v>42461</v>
      </c>
      <c r="D1" t="s">
        <v>41</v>
      </c>
      <c r="E1" s="8" t="s">
        <v>185</v>
      </c>
      <c r="F1" s="8"/>
      <c r="G1" s="8"/>
      <c r="H1" s="8"/>
      <c r="I1" s="9"/>
      <c r="J1" s="5"/>
      <c r="K1" s="5"/>
      <c r="L1" s="5"/>
    </row>
    <row r="2" spans="2:21" ht="28.5">
      <c r="C2" s="6"/>
      <c r="F2" s="95" t="s">
        <v>178</v>
      </c>
    </row>
    <row r="3" spans="2:21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3" t="s">
        <v>184</v>
      </c>
      <c r="I3" s="2" t="s">
        <v>3</v>
      </c>
      <c r="J3" s="2" t="s">
        <v>32</v>
      </c>
      <c r="K3" s="2" t="s">
        <v>36</v>
      </c>
      <c r="L3" s="2" t="s">
        <v>123</v>
      </c>
      <c r="M3" s="2" t="s">
        <v>33</v>
      </c>
      <c r="N3" s="2" t="s">
        <v>37</v>
      </c>
      <c r="O3" s="2" t="s">
        <v>38</v>
      </c>
      <c r="P3" s="28" t="s">
        <v>40</v>
      </c>
      <c r="Q3" s="2" t="s">
        <v>105</v>
      </c>
      <c r="R3" s="1"/>
      <c r="S3" s="1"/>
      <c r="T3" s="1"/>
      <c r="U3" s="1"/>
    </row>
    <row r="4" spans="2:21" ht="19.899999999999999" customHeight="1">
      <c r="B4" s="2">
        <v>1</v>
      </c>
      <c r="C4" s="13" t="s">
        <v>166</v>
      </c>
      <c r="D4" s="11">
        <v>5500</v>
      </c>
      <c r="E4" s="4">
        <f>SUM(D4/30)</f>
        <v>183.33333333333334</v>
      </c>
      <c r="F4" s="2">
        <v>30</v>
      </c>
      <c r="G4" s="86">
        <v>0</v>
      </c>
      <c r="H4" s="33">
        <v>0</v>
      </c>
      <c r="I4" s="2">
        <f>30-G4+H4</f>
        <v>30</v>
      </c>
      <c r="J4" s="4">
        <f>SUM(D4-M4)</f>
        <v>5500</v>
      </c>
      <c r="K4" s="33">
        <v>0</v>
      </c>
      <c r="L4" s="2"/>
      <c r="M4" s="4">
        <f>SUM(G4*E4)/2</f>
        <v>0</v>
      </c>
      <c r="N4" s="4"/>
      <c r="O4" s="2"/>
      <c r="P4" s="36">
        <f>SUM(J4-K4-N4-O4-L4)</f>
        <v>5500</v>
      </c>
      <c r="Q4" s="2"/>
      <c r="R4" s="1"/>
      <c r="S4" s="1"/>
      <c r="T4" s="1"/>
      <c r="U4" s="1"/>
    </row>
    <row r="5" spans="2:21" ht="19.899999999999999" customHeight="1">
      <c r="B5" s="2">
        <v>2</v>
      </c>
      <c r="C5" s="13" t="s">
        <v>160</v>
      </c>
      <c r="D5" s="11">
        <v>8000</v>
      </c>
      <c r="E5" s="4">
        <f>SUM(D5/30)</f>
        <v>266.66666666666669</v>
      </c>
      <c r="F5" s="2">
        <v>30</v>
      </c>
      <c r="G5" s="33">
        <v>1</v>
      </c>
      <c r="H5" s="33">
        <v>0</v>
      </c>
      <c r="I5" s="2">
        <f>30-G5</f>
        <v>29</v>
      </c>
      <c r="J5" s="4">
        <f>SUM(D5-M5)</f>
        <v>7733.333333333333</v>
      </c>
      <c r="K5" s="33">
        <v>0</v>
      </c>
      <c r="L5" s="2"/>
      <c r="M5" s="4">
        <f t="shared" ref="M5:M12" si="0">SUM(G5*E5)</f>
        <v>266.66666666666669</v>
      </c>
      <c r="N5" s="4"/>
      <c r="O5" s="2"/>
      <c r="P5" s="36">
        <f>SUM(J5-K5-N5-O5-L5)</f>
        <v>7733.333333333333</v>
      </c>
      <c r="Q5" s="2"/>
      <c r="R5" s="1">
        <f>+E5/9.3*Q5</f>
        <v>0</v>
      </c>
      <c r="S5" s="1"/>
      <c r="T5" s="1"/>
      <c r="U5" s="1"/>
    </row>
    <row r="6" spans="2:21" ht="19.899999999999999" customHeight="1">
      <c r="B6" s="2">
        <v>3</v>
      </c>
      <c r="C6" s="13" t="s">
        <v>42</v>
      </c>
      <c r="D6" s="11">
        <v>8000</v>
      </c>
      <c r="E6" s="4">
        <f t="shared" ref="E6:E31" si="1">SUM(D6/30)</f>
        <v>266.66666666666669</v>
      </c>
      <c r="F6" s="2">
        <v>30</v>
      </c>
      <c r="G6" s="86">
        <f>0.5+0.5</f>
        <v>1</v>
      </c>
      <c r="H6" s="33">
        <v>0</v>
      </c>
      <c r="I6" s="2">
        <f>30-G6+H6</f>
        <v>29</v>
      </c>
      <c r="J6" s="4">
        <f>SUM(D6-M6)</f>
        <v>7733.333333333333</v>
      </c>
      <c r="K6" s="86"/>
      <c r="L6" s="2"/>
      <c r="M6" s="4">
        <f t="shared" si="0"/>
        <v>266.66666666666669</v>
      </c>
      <c r="N6" s="4"/>
      <c r="O6" s="2"/>
      <c r="P6" s="36">
        <f>SUM(J6-K6-N6-O6-L6)</f>
        <v>7733.333333333333</v>
      </c>
      <c r="Q6" s="2"/>
      <c r="R6" s="41"/>
      <c r="S6" s="41"/>
      <c r="T6" s="41"/>
      <c r="U6" s="1"/>
    </row>
    <row r="7" spans="2:21" ht="19.899999999999999" customHeight="1">
      <c r="B7" s="2">
        <v>4</v>
      </c>
      <c r="C7" s="13" t="s">
        <v>167</v>
      </c>
      <c r="D7" s="11">
        <v>3000</v>
      </c>
      <c r="E7" s="4">
        <f t="shared" si="1"/>
        <v>100</v>
      </c>
      <c r="F7" s="2">
        <v>30</v>
      </c>
      <c r="G7" s="100">
        <f>1+1+1</f>
        <v>3</v>
      </c>
      <c r="H7" s="34">
        <v>0</v>
      </c>
      <c r="I7" s="2">
        <f t="shared" ref="I7:I14" si="2">30-G7</f>
        <v>27</v>
      </c>
      <c r="J7" s="4">
        <f t="shared" ref="J7:J13" si="3">SUM(D7-M7)</f>
        <v>2700</v>
      </c>
      <c r="K7" s="86"/>
      <c r="L7" s="2"/>
      <c r="M7" s="4">
        <f t="shared" si="0"/>
        <v>300</v>
      </c>
      <c r="N7" s="4"/>
      <c r="O7" s="2"/>
      <c r="P7" s="36">
        <f t="shared" ref="P7:P10" si="4">SUM(J7-K7-N7-O7-L7)</f>
        <v>2700</v>
      </c>
      <c r="Q7" s="2"/>
      <c r="R7" s="1"/>
      <c r="S7" s="1"/>
      <c r="T7" s="1"/>
      <c r="U7" s="1"/>
    </row>
    <row r="8" spans="2:21" ht="19.899999999999999" customHeight="1">
      <c r="B8" s="2">
        <v>5</v>
      </c>
      <c r="C8" s="13" t="s">
        <v>168</v>
      </c>
      <c r="D8" s="11">
        <v>3500</v>
      </c>
      <c r="E8" s="4">
        <f t="shared" si="1"/>
        <v>116.66666666666667</v>
      </c>
      <c r="F8" s="2">
        <v>30</v>
      </c>
      <c r="G8" s="86">
        <f>1+0.5</f>
        <v>1.5</v>
      </c>
      <c r="H8" s="33">
        <v>0</v>
      </c>
      <c r="I8" s="2">
        <f t="shared" si="2"/>
        <v>28.5</v>
      </c>
      <c r="J8" s="4">
        <f t="shared" si="3"/>
        <v>3325</v>
      </c>
      <c r="K8" s="86">
        <v>75</v>
      </c>
      <c r="L8" s="2"/>
      <c r="M8" s="4">
        <f t="shared" si="0"/>
        <v>175</v>
      </c>
      <c r="N8" s="4"/>
      <c r="O8" s="4"/>
      <c r="P8" s="36">
        <f t="shared" si="4"/>
        <v>3250</v>
      </c>
      <c r="Q8" s="46"/>
      <c r="R8" s="1">
        <v>7.3</v>
      </c>
      <c r="S8" s="46">
        <f>+E8/8.5*5.5</f>
        <v>75.490196078431381</v>
      </c>
      <c r="T8" s="40"/>
    </row>
    <row r="9" spans="2:21" ht="19.899999999999999" customHeight="1">
      <c r="B9" s="2">
        <v>6</v>
      </c>
      <c r="C9" s="13" t="s">
        <v>169</v>
      </c>
      <c r="D9" s="11">
        <v>4600</v>
      </c>
      <c r="E9" s="4">
        <f t="shared" si="1"/>
        <v>153.33333333333334</v>
      </c>
      <c r="F9" s="2">
        <v>30</v>
      </c>
      <c r="G9" s="100">
        <f>1+0.5</f>
        <v>1.5</v>
      </c>
      <c r="H9" s="34">
        <v>0</v>
      </c>
      <c r="I9" s="2">
        <f t="shared" si="2"/>
        <v>28.5</v>
      </c>
      <c r="J9" s="4">
        <f t="shared" si="3"/>
        <v>4370</v>
      </c>
      <c r="K9" s="33"/>
      <c r="L9" s="2"/>
      <c r="M9" s="4">
        <f t="shared" si="0"/>
        <v>230</v>
      </c>
      <c r="N9" s="4"/>
      <c r="O9" s="4"/>
      <c r="P9" s="36">
        <f t="shared" si="4"/>
        <v>4370</v>
      </c>
      <c r="Q9" s="46"/>
      <c r="R9" s="1"/>
      <c r="S9" s="1"/>
      <c r="T9" s="1"/>
      <c r="U9" s="1"/>
    </row>
    <row r="10" spans="2:21" ht="19.899999999999999" customHeight="1">
      <c r="B10" s="2">
        <v>7</v>
      </c>
      <c r="C10" s="13" t="s">
        <v>170</v>
      </c>
      <c r="D10" s="11">
        <v>3000</v>
      </c>
      <c r="E10" s="4">
        <f t="shared" si="1"/>
        <v>100</v>
      </c>
      <c r="F10" s="2">
        <v>30</v>
      </c>
      <c r="G10" s="86">
        <v>6</v>
      </c>
      <c r="H10" s="33">
        <v>0</v>
      </c>
      <c r="I10" s="2">
        <f t="shared" si="2"/>
        <v>24</v>
      </c>
      <c r="J10" s="4">
        <f t="shared" si="3"/>
        <v>2400</v>
      </c>
      <c r="K10" s="86"/>
      <c r="L10" s="2"/>
      <c r="M10" s="4">
        <f t="shared" si="0"/>
        <v>600</v>
      </c>
      <c r="N10" s="4"/>
      <c r="O10" s="4"/>
      <c r="P10" s="36">
        <f t="shared" si="4"/>
        <v>2400</v>
      </c>
      <c r="Q10" s="2"/>
      <c r="R10" s="1"/>
      <c r="S10" s="1"/>
      <c r="T10" s="1"/>
      <c r="U10" s="1"/>
    </row>
    <row r="11" spans="2:21" ht="19.899999999999999" customHeight="1">
      <c r="B11" s="2">
        <v>8</v>
      </c>
      <c r="C11" s="13" t="s">
        <v>177</v>
      </c>
      <c r="D11" s="11">
        <v>5000</v>
      </c>
      <c r="E11" s="4">
        <f t="shared" si="1"/>
        <v>166.66666666666666</v>
      </c>
      <c r="F11" s="2">
        <v>30</v>
      </c>
      <c r="G11" s="34">
        <v>0</v>
      </c>
      <c r="H11" s="34">
        <v>0</v>
      </c>
      <c r="I11" s="2">
        <f t="shared" si="2"/>
        <v>30</v>
      </c>
      <c r="J11" s="4">
        <f t="shared" si="3"/>
        <v>5000</v>
      </c>
      <c r="K11" s="86"/>
      <c r="L11" s="2"/>
      <c r="M11" s="4">
        <f t="shared" si="0"/>
        <v>0</v>
      </c>
      <c r="N11" s="4"/>
      <c r="O11" s="4"/>
      <c r="P11" s="36">
        <f>SUM(J11-K11-N11-O11-L11)</f>
        <v>5000</v>
      </c>
      <c r="Q11" s="2"/>
      <c r="R11" s="1"/>
      <c r="S11" s="1"/>
      <c r="T11" s="1"/>
      <c r="U11" s="1"/>
    </row>
    <row r="12" spans="2:21" ht="19.899999999999999" customHeight="1">
      <c r="B12" s="2">
        <v>9</v>
      </c>
      <c r="C12" s="13" t="s">
        <v>189</v>
      </c>
      <c r="D12" s="11">
        <v>3000</v>
      </c>
      <c r="E12" s="4">
        <f t="shared" si="1"/>
        <v>100</v>
      </c>
      <c r="F12" s="2">
        <v>30</v>
      </c>
      <c r="G12" s="100">
        <v>4</v>
      </c>
      <c r="H12" s="34">
        <v>0</v>
      </c>
      <c r="I12" s="2">
        <v>30</v>
      </c>
      <c r="J12" s="4">
        <f t="shared" si="3"/>
        <v>2600</v>
      </c>
      <c r="K12" s="86">
        <v>12</v>
      </c>
      <c r="L12" s="2"/>
      <c r="M12" s="4">
        <f t="shared" si="0"/>
        <v>400</v>
      </c>
      <c r="N12" s="4"/>
      <c r="O12" s="4"/>
      <c r="P12" s="36">
        <f>SUM(J12-K12-N12-O12-L12)</f>
        <v>2588</v>
      </c>
      <c r="Q12" s="2"/>
      <c r="R12" s="1">
        <f>+E12/8.5</f>
        <v>11.764705882352942</v>
      </c>
      <c r="S12" s="1"/>
      <c r="T12" s="1"/>
      <c r="U12" s="1"/>
    </row>
    <row r="13" spans="2:21" ht="19.899999999999999" customHeight="1">
      <c r="B13" s="2">
        <v>10</v>
      </c>
      <c r="C13" s="13" t="s">
        <v>174</v>
      </c>
      <c r="D13" s="11">
        <v>4500</v>
      </c>
      <c r="E13" s="4">
        <f t="shared" si="1"/>
        <v>150</v>
      </c>
      <c r="F13" s="2">
        <v>30</v>
      </c>
      <c r="G13" s="33">
        <v>1</v>
      </c>
      <c r="H13" s="33">
        <v>0</v>
      </c>
      <c r="I13" s="2">
        <f t="shared" si="2"/>
        <v>29</v>
      </c>
      <c r="J13" s="4">
        <f t="shared" si="3"/>
        <v>4350</v>
      </c>
      <c r="K13" s="86"/>
      <c r="L13" s="2"/>
      <c r="M13" s="4">
        <f t="shared" ref="M13:M14" si="5">SUM(G13*E13)</f>
        <v>150</v>
      </c>
      <c r="N13" s="4"/>
      <c r="O13" s="4"/>
      <c r="P13" s="36">
        <f>SUM(J13-K13-N13-O13-L13)</f>
        <v>4350</v>
      </c>
      <c r="Q13" s="2"/>
      <c r="R13" s="1"/>
      <c r="S13" s="1"/>
      <c r="T13" s="1"/>
      <c r="U13" s="1"/>
    </row>
    <row r="14" spans="2:21" ht="19.899999999999999" customHeight="1">
      <c r="B14" s="2"/>
      <c r="C14" s="13" t="s">
        <v>190</v>
      </c>
      <c r="D14" s="11">
        <v>3500</v>
      </c>
      <c r="E14" s="4">
        <f t="shared" si="1"/>
        <v>116.66666666666667</v>
      </c>
      <c r="F14" s="2">
        <v>30</v>
      </c>
      <c r="G14" s="33">
        <v>10</v>
      </c>
      <c r="H14" s="33">
        <v>0</v>
      </c>
      <c r="I14" s="2">
        <f t="shared" si="2"/>
        <v>20</v>
      </c>
      <c r="J14" s="4">
        <f>SUM(D14-M14)</f>
        <v>2333.333333333333</v>
      </c>
      <c r="K14" s="86"/>
      <c r="L14" s="2"/>
      <c r="M14" s="4">
        <f t="shared" si="5"/>
        <v>1166.6666666666667</v>
      </c>
      <c r="N14" s="4"/>
      <c r="O14" s="4"/>
      <c r="P14" s="36">
        <f>SUM(J14-K14-N14-O14-L14)</f>
        <v>2333.333333333333</v>
      </c>
      <c r="Q14" s="2"/>
      <c r="R14" s="1">
        <f>+E14*20</f>
        <v>2333.3333333333335</v>
      </c>
      <c r="S14" s="1"/>
      <c r="T14" s="1"/>
      <c r="U14" s="1"/>
    </row>
    <row r="15" spans="2:21" ht="19.899999999999999" customHeight="1">
      <c r="B15" s="2"/>
      <c r="C15" s="13" t="s">
        <v>183</v>
      </c>
      <c r="D15" s="11"/>
      <c r="E15" s="4"/>
      <c r="F15" s="2"/>
      <c r="G15" s="33"/>
      <c r="H15" s="33"/>
      <c r="I15" s="2"/>
      <c r="J15" s="4"/>
      <c r="K15" s="86"/>
      <c r="L15" s="2"/>
      <c r="M15" s="4">
        <f>SUM(M4:M14)</f>
        <v>3555</v>
      </c>
      <c r="N15" s="4"/>
      <c r="O15" s="4"/>
      <c r="P15" s="36">
        <f>SUM(P4:P14)</f>
        <v>47958</v>
      </c>
      <c r="Q15" s="2"/>
      <c r="R15" s="1"/>
      <c r="S15" s="1"/>
      <c r="T15" s="1"/>
      <c r="U15" s="1"/>
    </row>
    <row r="16" spans="2:21" ht="36">
      <c r="C16" s="79">
        <v>42461</v>
      </c>
      <c r="D16" t="s">
        <v>41</v>
      </c>
      <c r="E16" s="8" t="s">
        <v>185</v>
      </c>
      <c r="F16" s="8"/>
      <c r="G16" s="8"/>
      <c r="H16" s="8"/>
      <c r="I16" s="9"/>
      <c r="J16" s="5"/>
      <c r="K16" s="5"/>
      <c r="L16" s="5"/>
    </row>
    <row r="17" spans="2:21" ht="28.5">
      <c r="C17" s="6"/>
      <c r="F17" s="95" t="s">
        <v>181</v>
      </c>
    </row>
    <row r="18" spans="2:21">
      <c r="B18" s="2" t="s">
        <v>0</v>
      </c>
      <c r="C18" s="2" t="s">
        <v>1</v>
      </c>
      <c r="D18" s="2" t="s">
        <v>5</v>
      </c>
      <c r="E18" s="2" t="s">
        <v>34</v>
      </c>
      <c r="F18" s="2" t="s">
        <v>2</v>
      </c>
      <c r="G18" s="3" t="s">
        <v>4</v>
      </c>
      <c r="H18" s="3"/>
      <c r="I18" s="2" t="s">
        <v>3</v>
      </c>
      <c r="J18" s="2" t="s">
        <v>32</v>
      </c>
      <c r="K18" s="2" t="s">
        <v>36</v>
      </c>
      <c r="L18" s="2" t="s">
        <v>123</v>
      </c>
      <c r="M18" s="2" t="s">
        <v>33</v>
      </c>
      <c r="N18" s="2" t="s">
        <v>37</v>
      </c>
      <c r="O18" s="2" t="s">
        <v>38</v>
      </c>
      <c r="P18" s="28" t="s">
        <v>40</v>
      </c>
      <c r="Q18" s="2" t="s">
        <v>105</v>
      </c>
      <c r="R18" s="1"/>
      <c r="S18" s="1"/>
      <c r="T18" s="1"/>
      <c r="U18" s="1"/>
    </row>
    <row r="19" spans="2:21" ht="19.899999999999999" customHeight="1">
      <c r="B19" s="2">
        <v>1</v>
      </c>
      <c r="C19" s="13" t="s">
        <v>161</v>
      </c>
      <c r="D19" s="11">
        <v>7500</v>
      </c>
      <c r="E19" s="4">
        <f t="shared" si="1"/>
        <v>250</v>
      </c>
      <c r="F19" s="2">
        <v>30</v>
      </c>
      <c r="G19" s="33">
        <v>1</v>
      </c>
      <c r="H19" s="33">
        <v>0</v>
      </c>
      <c r="I19" s="2">
        <f>30-G19+H19</f>
        <v>29</v>
      </c>
      <c r="J19" s="4">
        <f>SUM(D19-M19)</f>
        <v>7250</v>
      </c>
      <c r="K19" s="86"/>
      <c r="L19" s="2"/>
      <c r="M19" s="4">
        <f>SUM(G19*E19)</f>
        <v>250</v>
      </c>
      <c r="N19" s="4"/>
      <c r="O19" s="4"/>
      <c r="P19" s="36">
        <f t="shared" ref="P19:P30" si="6">SUM(J19-K19-N19-O19-L19)</f>
        <v>7250</v>
      </c>
      <c r="Q19" s="2"/>
      <c r="R19" s="1"/>
      <c r="S19" s="1"/>
      <c r="T19" s="1"/>
      <c r="U19" s="1"/>
    </row>
    <row r="20" spans="2:21" ht="19.899999999999999" customHeight="1">
      <c r="B20" s="2">
        <v>2</v>
      </c>
      <c r="C20" s="13" t="s">
        <v>162</v>
      </c>
      <c r="D20" s="11">
        <v>3500</v>
      </c>
      <c r="E20" s="4">
        <f t="shared" si="1"/>
        <v>116.66666666666667</v>
      </c>
      <c r="F20" s="2">
        <v>30</v>
      </c>
      <c r="G20" s="33">
        <v>1</v>
      </c>
      <c r="H20" s="33"/>
      <c r="I20" s="2">
        <f>30-G20</f>
        <v>29</v>
      </c>
      <c r="J20" s="4">
        <f>SUM(D20-M20)</f>
        <v>3383.3333333333335</v>
      </c>
      <c r="K20" s="86"/>
      <c r="L20" s="2"/>
      <c r="M20" s="4">
        <f>SUM(G20*E20)</f>
        <v>116.66666666666667</v>
      </c>
      <c r="N20" s="4"/>
      <c r="O20" s="4"/>
      <c r="P20" s="36">
        <f t="shared" si="6"/>
        <v>3383.3333333333335</v>
      </c>
      <c r="Q20" s="2"/>
      <c r="R20" s="1"/>
      <c r="S20" s="1"/>
      <c r="T20" s="1"/>
      <c r="U20" s="1"/>
    </row>
    <row r="21" spans="2:21" ht="19.899999999999999" customHeight="1">
      <c r="B21" s="2"/>
      <c r="C21" s="13" t="s">
        <v>183</v>
      </c>
      <c r="D21" s="11"/>
      <c r="E21" s="4"/>
      <c r="F21" s="2"/>
      <c r="G21" s="33"/>
      <c r="H21" s="33"/>
      <c r="I21" s="2"/>
      <c r="J21" s="4"/>
      <c r="K21" s="86"/>
      <c r="L21" s="2"/>
      <c r="M21" s="4"/>
      <c r="N21" s="4"/>
      <c r="O21" s="4"/>
      <c r="P21" s="36">
        <f>SUM(P19:P20)</f>
        <v>10633.333333333334</v>
      </c>
      <c r="Q21" s="2"/>
      <c r="R21" s="41"/>
      <c r="S21" s="1"/>
      <c r="T21" s="1"/>
      <c r="U21" s="1"/>
    </row>
    <row r="22" spans="2:21" ht="19.899999999999999" customHeight="1">
      <c r="B22" s="2"/>
      <c r="C22" s="13" t="s">
        <v>161</v>
      </c>
      <c r="D22" s="11">
        <v>500</v>
      </c>
      <c r="E22" s="4"/>
      <c r="F22" s="2"/>
      <c r="G22" s="34"/>
      <c r="H22" s="34"/>
      <c r="I22" s="2"/>
      <c r="J22" s="4"/>
      <c r="K22" s="86"/>
      <c r="L22" s="2"/>
      <c r="M22" s="4"/>
      <c r="N22" s="4"/>
      <c r="O22" s="4"/>
      <c r="P22" s="36"/>
      <c r="Q22" s="2"/>
      <c r="R22" s="1"/>
      <c r="S22" s="1"/>
      <c r="T22" s="1"/>
      <c r="U22" s="1"/>
    </row>
    <row r="23" spans="2:21" ht="19.899999999999999" customHeight="1">
      <c r="B23" s="2"/>
      <c r="C23" s="13"/>
      <c r="D23" s="11"/>
      <c r="E23" s="4"/>
      <c r="F23" s="2"/>
      <c r="G23" s="34"/>
      <c r="H23" s="34"/>
      <c r="I23" s="2"/>
      <c r="J23" s="4"/>
      <c r="K23" s="33"/>
      <c r="L23" s="2"/>
      <c r="M23" s="4"/>
      <c r="N23" s="4"/>
      <c r="O23" s="4"/>
      <c r="P23" s="36"/>
      <c r="Q23" s="2"/>
      <c r="R23" s="1"/>
      <c r="S23" s="1"/>
      <c r="T23" s="1"/>
      <c r="U23" s="1"/>
    </row>
    <row r="24" spans="2:21" ht="19.899999999999999" customHeight="1">
      <c r="B24" s="2"/>
      <c r="C24" s="13"/>
      <c r="D24" s="11"/>
      <c r="E24" s="4"/>
      <c r="F24" s="2"/>
      <c r="G24" s="33"/>
      <c r="H24" s="33"/>
      <c r="I24" s="2"/>
      <c r="J24" s="4"/>
      <c r="K24" s="86"/>
      <c r="L24" s="2"/>
      <c r="M24" s="4"/>
      <c r="N24" s="4"/>
      <c r="O24" s="4"/>
      <c r="P24" s="36"/>
      <c r="Q24" s="2"/>
      <c r="R24" s="1"/>
      <c r="S24" s="1"/>
      <c r="T24" s="1"/>
      <c r="U24" s="1"/>
    </row>
    <row r="25" spans="2:21" ht="19.899999999999999" customHeight="1">
      <c r="B25" s="2"/>
      <c r="C25" s="13"/>
      <c r="D25" s="11"/>
      <c r="E25" s="4"/>
      <c r="F25" s="2"/>
      <c r="G25" s="34"/>
      <c r="H25" s="34"/>
      <c r="I25" s="2"/>
      <c r="J25" s="4"/>
      <c r="K25" s="86"/>
      <c r="L25" s="2"/>
      <c r="M25" s="4"/>
      <c r="N25" s="4"/>
      <c r="O25" s="4"/>
      <c r="P25" s="36"/>
      <c r="Q25" s="2"/>
      <c r="R25" s="1"/>
      <c r="S25" s="1"/>
      <c r="T25" s="1"/>
      <c r="U25" s="1"/>
    </row>
    <row r="26" spans="2:21" ht="36">
      <c r="C26" s="79">
        <v>42461</v>
      </c>
      <c r="D26" t="s">
        <v>41</v>
      </c>
      <c r="E26" s="8" t="s">
        <v>185</v>
      </c>
      <c r="F26" s="8"/>
      <c r="G26" s="8"/>
      <c r="H26" s="8"/>
      <c r="I26" s="9"/>
      <c r="J26" s="5"/>
      <c r="K26" s="5"/>
      <c r="L26" s="5"/>
    </row>
    <row r="27" spans="2:21" ht="28.5">
      <c r="C27" s="6"/>
      <c r="F27" s="95" t="s">
        <v>180</v>
      </c>
    </row>
    <row r="28" spans="2:21">
      <c r="B28" s="2" t="s">
        <v>0</v>
      </c>
      <c r="C28" s="2" t="s">
        <v>1</v>
      </c>
      <c r="D28" s="2" t="s">
        <v>5</v>
      </c>
      <c r="E28" s="2" t="s">
        <v>34</v>
      </c>
      <c r="F28" s="2" t="s">
        <v>2</v>
      </c>
      <c r="G28" s="3" t="s">
        <v>4</v>
      </c>
      <c r="H28" s="3"/>
      <c r="I28" s="2" t="s">
        <v>3</v>
      </c>
      <c r="J28" s="2" t="s">
        <v>32</v>
      </c>
      <c r="K28" s="2" t="s">
        <v>36</v>
      </c>
      <c r="L28" s="2" t="s">
        <v>123</v>
      </c>
      <c r="M28" s="2" t="s">
        <v>33</v>
      </c>
      <c r="N28" s="2" t="s">
        <v>37</v>
      </c>
      <c r="O28" s="2" t="s">
        <v>38</v>
      </c>
      <c r="P28" s="28" t="s">
        <v>40</v>
      </c>
      <c r="Q28" s="2" t="s">
        <v>105</v>
      </c>
      <c r="R28" s="1"/>
      <c r="S28" s="1"/>
      <c r="T28" s="1"/>
      <c r="U28" s="1"/>
    </row>
    <row r="29" spans="2:21" ht="19.899999999999999" customHeight="1">
      <c r="B29" s="2">
        <v>1</v>
      </c>
      <c r="C29" s="13" t="s">
        <v>163</v>
      </c>
      <c r="D29" s="11">
        <v>11000</v>
      </c>
      <c r="E29" s="4">
        <f t="shared" si="1"/>
        <v>366.66666666666669</v>
      </c>
      <c r="F29" s="2">
        <v>30</v>
      </c>
      <c r="G29" s="34">
        <v>0</v>
      </c>
      <c r="H29" s="34">
        <v>1</v>
      </c>
      <c r="I29" s="2">
        <f>30-G29</f>
        <v>30</v>
      </c>
      <c r="J29" s="4">
        <f>SUM(D29-M29)</f>
        <v>11000</v>
      </c>
      <c r="K29" s="86"/>
      <c r="L29" s="2"/>
      <c r="M29" s="4">
        <f>SUM(G29*E29)</f>
        <v>0</v>
      </c>
      <c r="N29" s="4"/>
      <c r="O29" s="4"/>
      <c r="P29" s="36">
        <f t="shared" si="6"/>
        <v>11000</v>
      </c>
      <c r="Q29" s="2"/>
      <c r="R29" s="1"/>
      <c r="S29" s="1"/>
      <c r="T29" s="1"/>
      <c r="U29" s="1"/>
    </row>
    <row r="30" spans="2:21" ht="19.899999999999999" customHeight="1">
      <c r="B30" s="2">
        <v>20</v>
      </c>
      <c r="C30" s="13" t="s">
        <v>171</v>
      </c>
      <c r="D30" s="11">
        <v>3750</v>
      </c>
      <c r="E30" s="4">
        <f t="shared" si="1"/>
        <v>125</v>
      </c>
      <c r="F30" s="2">
        <v>30</v>
      </c>
      <c r="G30" s="34">
        <v>0</v>
      </c>
      <c r="H30" s="34"/>
      <c r="I30" s="2">
        <f>30-G30</f>
        <v>30</v>
      </c>
      <c r="J30" s="4">
        <f>SUM(D30-M30)</f>
        <v>3750</v>
      </c>
      <c r="K30" s="86"/>
      <c r="L30" s="2"/>
      <c r="M30" s="4">
        <f>SUM(G30*E30)</f>
        <v>0</v>
      </c>
      <c r="N30" s="4"/>
      <c r="O30" s="4"/>
      <c r="P30" s="36">
        <f t="shared" si="6"/>
        <v>3750</v>
      </c>
      <c r="Q30" s="2"/>
      <c r="R30" s="1"/>
      <c r="S30" s="1"/>
      <c r="T30" s="1"/>
      <c r="U30" s="1"/>
    </row>
    <row r="31" spans="2:21" ht="19.899999999999999" customHeight="1">
      <c r="B31" s="2">
        <v>5</v>
      </c>
      <c r="C31" s="13" t="s">
        <v>172</v>
      </c>
      <c r="D31" s="11">
        <v>7500</v>
      </c>
      <c r="E31" s="4">
        <f t="shared" si="1"/>
        <v>250</v>
      </c>
      <c r="F31" s="2">
        <v>30</v>
      </c>
      <c r="G31" s="34">
        <v>0</v>
      </c>
      <c r="H31" s="34"/>
      <c r="I31" s="2">
        <f>30-G31</f>
        <v>30</v>
      </c>
      <c r="J31" s="4">
        <f>SUM(D31-M31)</f>
        <v>7500</v>
      </c>
      <c r="K31" s="86"/>
      <c r="L31" s="2"/>
      <c r="M31" s="4">
        <f>SUM(G31*E31)</f>
        <v>0</v>
      </c>
      <c r="N31" s="4"/>
      <c r="O31" s="4"/>
      <c r="P31" s="36">
        <f>SUM(J31-K31-N31-O31-L31)</f>
        <v>7500</v>
      </c>
      <c r="Q31" s="2"/>
      <c r="R31" s="1"/>
      <c r="S31" s="1"/>
      <c r="T31" s="1"/>
      <c r="U31" s="1"/>
    </row>
    <row r="32" spans="2:21" ht="19.899999999999999" customHeight="1">
      <c r="B32" s="2">
        <v>6</v>
      </c>
      <c r="C32" s="13" t="s">
        <v>183</v>
      </c>
      <c r="D32" s="11"/>
      <c r="E32" s="4"/>
      <c r="F32" s="2"/>
      <c r="G32" s="34"/>
      <c r="H32" s="34"/>
      <c r="I32" s="2"/>
      <c r="J32" s="4"/>
      <c r="K32" s="86"/>
      <c r="L32" s="2"/>
      <c r="M32" s="4"/>
      <c r="N32" s="4"/>
      <c r="O32" s="4"/>
      <c r="P32" s="36">
        <f>SUM(P29:P31)</f>
        <v>22250</v>
      </c>
      <c r="Q32" s="2"/>
      <c r="R32" s="1"/>
      <c r="S32" s="1"/>
      <c r="T32" s="1"/>
      <c r="U32" s="1"/>
    </row>
    <row r="33" spans="2:21" ht="19.899999999999999" customHeight="1">
      <c r="B33" s="2"/>
      <c r="C33" s="13"/>
      <c r="D33" s="11"/>
      <c r="E33" s="4"/>
      <c r="F33" s="2"/>
      <c r="G33" s="34"/>
      <c r="H33" s="34"/>
      <c r="I33" s="2"/>
      <c r="J33" s="4"/>
      <c r="K33" s="33"/>
      <c r="L33" s="2"/>
      <c r="M33" s="4"/>
      <c r="N33" s="4"/>
      <c r="O33" s="4"/>
      <c r="P33" s="36"/>
      <c r="Q33" s="2"/>
      <c r="R33" s="1"/>
      <c r="S33" s="1"/>
      <c r="T33" s="1"/>
      <c r="U33" s="1"/>
    </row>
    <row r="34" spans="2:21" ht="36">
      <c r="C34" s="79">
        <v>42461</v>
      </c>
      <c r="D34" t="s">
        <v>41</v>
      </c>
      <c r="E34" s="8" t="s">
        <v>185</v>
      </c>
      <c r="F34" s="8"/>
      <c r="G34" s="8"/>
      <c r="H34" s="8"/>
      <c r="I34" s="9"/>
      <c r="J34" s="5"/>
      <c r="K34" s="5"/>
      <c r="L34" s="5"/>
    </row>
    <row r="35" spans="2:21" ht="28.5">
      <c r="C35" s="6"/>
      <c r="F35" s="95" t="s">
        <v>179</v>
      </c>
    </row>
    <row r="36" spans="2:21">
      <c r="B36" s="2" t="s">
        <v>0</v>
      </c>
      <c r="C36" s="2" t="s">
        <v>1</v>
      </c>
      <c r="D36" s="2" t="s">
        <v>5</v>
      </c>
      <c r="E36" s="2" t="s">
        <v>34</v>
      </c>
      <c r="F36" s="2" t="s">
        <v>2</v>
      </c>
      <c r="G36" s="3" t="s">
        <v>4</v>
      </c>
      <c r="H36" s="3"/>
      <c r="I36" s="2" t="s">
        <v>3</v>
      </c>
      <c r="J36" s="2" t="s">
        <v>32</v>
      </c>
      <c r="K36" s="2" t="s">
        <v>36</v>
      </c>
      <c r="L36" s="2" t="s">
        <v>123</v>
      </c>
      <c r="M36" s="2" t="s">
        <v>33</v>
      </c>
      <c r="N36" s="2" t="s">
        <v>37</v>
      </c>
      <c r="O36" s="2" t="s">
        <v>38</v>
      </c>
      <c r="P36" s="28" t="s">
        <v>40</v>
      </c>
      <c r="Q36" s="2" t="s">
        <v>105</v>
      </c>
      <c r="R36" s="1"/>
      <c r="S36" s="1"/>
      <c r="T36" s="1"/>
      <c r="U36" s="1"/>
    </row>
    <row r="37" spans="2:21" ht="19.899999999999999" customHeight="1">
      <c r="B37" s="2"/>
      <c r="C37" s="13" t="s">
        <v>164</v>
      </c>
      <c r="D37" s="11">
        <v>9000</v>
      </c>
      <c r="E37" s="4">
        <f t="shared" ref="E37" si="7">SUM(D37/30)</f>
        <v>300</v>
      </c>
      <c r="F37" s="2">
        <v>30</v>
      </c>
      <c r="G37" s="34">
        <v>0</v>
      </c>
      <c r="H37" s="34">
        <v>0</v>
      </c>
      <c r="I37" s="2">
        <v>30</v>
      </c>
      <c r="J37" s="4">
        <v>9000</v>
      </c>
      <c r="K37" s="33"/>
      <c r="L37" s="2"/>
      <c r="M37" s="4">
        <v>0</v>
      </c>
      <c r="N37" s="4"/>
      <c r="O37" s="4"/>
      <c r="P37" s="36">
        <f t="shared" ref="P37:P40" si="8">SUM(J37-K37-N37-O37-L37)</f>
        <v>9000</v>
      </c>
      <c r="Q37" s="2"/>
      <c r="R37" s="1"/>
      <c r="S37" s="1"/>
      <c r="T37" s="1"/>
      <c r="U37" s="1"/>
    </row>
    <row r="38" spans="2:21" ht="19.899999999999999" customHeight="1">
      <c r="B38" s="2"/>
      <c r="C38" s="13" t="s">
        <v>165</v>
      </c>
      <c r="D38" s="11">
        <v>8000</v>
      </c>
      <c r="E38" s="4">
        <f>SUM(D38/30)</f>
        <v>266.66666666666669</v>
      </c>
      <c r="F38" s="2">
        <v>30</v>
      </c>
      <c r="G38" s="34">
        <v>2</v>
      </c>
      <c r="H38" s="34">
        <v>0</v>
      </c>
      <c r="I38" s="2">
        <f>+F38-G38+H38</f>
        <v>28</v>
      </c>
      <c r="J38" s="4">
        <f>SUM(D38-M38)</f>
        <v>7466.666666666667</v>
      </c>
      <c r="K38" s="86"/>
      <c r="L38" s="2"/>
      <c r="M38" s="4">
        <f>SUM(G38*E38)</f>
        <v>533.33333333333337</v>
      </c>
      <c r="N38" s="4"/>
      <c r="O38" s="4"/>
      <c r="P38" s="36">
        <f t="shared" si="8"/>
        <v>7466.666666666667</v>
      </c>
      <c r="Q38" s="2"/>
      <c r="R38" s="1"/>
      <c r="S38" s="1"/>
      <c r="T38" s="1"/>
      <c r="U38" s="1"/>
    </row>
    <row r="39" spans="2:21" ht="19.899999999999999" customHeight="1">
      <c r="B39" s="2"/>
      <c r="C39" s="13" t="s">
        <v>175</v>
      </c>
      <c r="D39" s="11">
        <v>4700</v>
      </c>
      <c r="E39" s="4">
        <f t="shared" ref="E39:E40" si="9">SUM(D39/30)</f>
        <v>156.66666666666666</v>
      </c>
      <c r="F39" s="2">
        <v>30</v>
      </c>
      <c r="G39" s="34">
        <v>2</v>
      </c>
      <c r="H39" s="34"/>
      <c r="I39" s="2">
        <f>+F39-G39</f>
        <v>28</v>
      </c>
      <c r="J39" s="4">
        <f t="shared" ref="J39" si="10">SUM(D39-M39)</f>
        <v>4386.666666666667</v>
      </c>
      <c r="K39" s="86"/>
      <c r="L39" s="2"/>
      <c r="M39" s="4">
        <f t="shared" ref="M39:M40" si="11">SUM(G39*E39)</f>
        <v>313.33333333333331</v>
      </c>
      <c r="N39" s="4"/>
      <c r="O39" s="4"/>
      <c r="P39" s="36">
        <f t="shared" si="8"/>
        <v>4386.666666666667</v>
      </c>
      <c r="Q39" s="2"/>
    </row>
    <row r="40" spans="2:21" ht="19.899999999999999" customHeight="1">
      <c r="B40" s="2"/>
      <c r="C40" s="13" t="s">
        <v>176</v>
      </c>
      <c r="D40" s="16">
        <v>5700</v>
      </c>
      <c r="E40" s="4">
        <f t="shared" si="9"/>
        <v>190</v>
      </c>
      <c r="F40" s="2">
        <v>30</v>
      </c>
      <c r="G40" s="35">
        <v>1</v>
      </c>
      <c r="H40" s="35"/>
      <c r="I40" s="2">
        <f>+F40-G40</f>
        <v>29</v>
      </c>
      <c r="J40" s="4">
        <f>SUM(D40-M40)</f>
        <v>5510</v>
      </c>
      <c r="K40" s="33"/>
      <c r="L40" s="18"/>
      <c r="M40" s="4">
        <f t="shared" si="11"/>
        <v>190</v>
      </c>
      <c r="N40" s="17"/>
      <c r="O40" s="17"/>
      <c r="P40" s="36">
        <f t="shared" si="8"/>
        <v>5510</v>
      </c>
      <c r="Q40" s="2"/>
    </row>
    <row r="41" spans="2:21" ht="19.899999999999999" customHeight="1">
      <c r="B41" s="2"/>
      <c r="C41" s="13" t="s">
        <v>182</v>
      </c>
      <c r="D41" s="16"/>
      <c r="E41" s="17"/>
      <c r="F41" s="2"/>
      <c r="G41" s="35"/>
      <c r="H41" s="35"/>
      <c r="I41" s="2"/>
      <c r="J41" s="17"/>
      <c r="K41" s="86"/>
      <c r="L41" s="18"/>
      <c r="M41" s="17"/>
      <c r="N41" s="17"/>
      <c r="O41" s="17"/>
      <c r="P41" s="36">
        <f>SUM(P37:P40)</f>
        <v>26363.333333333336</v>
      </c>
      <c r="Q41" s="2"/>
    </row>
    <row r="42" spans="2:21" ht="19.899999999999999" customHeight="1">
      <c r="B42" s="2"/>
      <c r="C42" s="13"/>
      <c r="D42" s="16"/>
      <c r="E42" s="17"/>
      <c r="F42" s="2"/>
      <c r="G42" s="35"/>
      <c r="H42" s="35"/>
      <c r="I42" s="2"/>
      <c r="J42" s="17"/>
      <c r="K42" s="86"/>
      <c r="L42" s="18"/>
      <c r="M42" s="17"/>
      <c r="N42" s="17"/>
      <c r="O42" s="17"/>
      <c r="P42" s="36"/>
      <c r="Q42" s="2"/>
    </row>
    <row r="43" spans="2:21" ht="19.899999999999999" customHeight="1">
      <c r="B43" s="2"/>
      <c r="C43" s="13"/>
      <c r="D43" s="16"/>
      <c r="E43" s="17"/>
      <c r="F43" s="2"/>
      <c r="G43" s="35"/>
      <c r="H43" s="35"/>
      <c r="I43" s="2"/>
      <c r="J43" s="17"/>
      <c r="K43" s="86"/>
      <c r="L43" s="18"/>
      <c r="M43" s="17"/>
      <c r="N43" s="17"/>
      <c r="O43" s="17"/>
      <c r="P43" s="36"/>
      <c r="Q43" s="2"/>
    </row>
    <row r="44" spans="2:21" ht="26.25">
      <c r="C44" s="26"/>
      <c r="D44" s="26"/>
      <c r="E44" s="26"/>
      <c r="F44" s="26"/>
      <c r="G44" s="26" t="s">
        <v>122</v>
      </c>
      <c r="H44" s="26"/>
      <c r="I44" s="26"/>
      <c r="J44" s="26"/>
      <c r="K44" s="26"/>
      <c r="L44" s="76"/>
      <c r="M44" s="65"/>
      <c r="N44" s="26" t="s">
        <v>92</v>
      </c>
      <c r="O44" s="26"/>
    </row>
    <row r="45" spans="2:21" ht="26.2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2:21">
      <c r="B46" s="1"/>
      <c r="K46" s="43"/>
      <c r="L46" s="43"/>
      <c r="M46" s="43"/>
    </row>
    <row r="47" spans="2:21">
      <c r="B47" s="27"/>
      <c r="L47" s="43"/>
    </row>
    <row r="48" spans="2:21">
      <c r="K48" s="43"/>
    </row>
  </sheetData>
  <autoFilter ref="B3:T43">
    <filterColumn colId="5"/>
    <filterColumn colId="6"/>
  </autoFilter>
  <pageMargins left="0.12" right="0.11" top="0.32" bottom="0.32" header="0.3" footer="0.3"/>
  <pageSetup scale="94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U48"/>
  <sheetViews>
    <sheetView topLeftCell="C7" workbookViewId="0">
      <selection activeCell="D13" sqref="D13"/>
    </sheetView>
  </sheetViews>
  <sheetFormatPr defaultRowHeight="15"/>
  <cols>
    <col min="1" max="1" width="0.140625" customWidth="1"/>
    <col min="2" max="2" width="4.7109375" bestFit="1" customWidth="1"/>
    <col min="3" max="3" width="18.5703125" customWidth="1"/>
    <col min="4" max="4" width="9.5703125" bestFit="1" customWidth="1"/>
    <col min="5" max="5" width="11" customWidth="1"/>
    <col min="6" max="6" width="9.42578125" customWidth="1"/>
    <col min="7" max="7" width="7.42578125" customWidth="1"/>
    <col min="8" max="8" width="8.28515625" customWidth="1"/>
    <col min="9" max="9" width="9.140625" customWidth="1"/>
    <col min="10" max="10" width="9.5703125" bestFit="1" customWidth="1"/>
    <col min="11" max="11" width="8.5703125" bestFit="1" customWidth="1"/>
    <col min="12" max="12" width="6.85546875" customWidth="1"/>
    <col min="13" max="13" width="8.7109375" bestFit="1" customWidth="1"/>
    <col min="14" max="14" width="4.85546875" customWidth="1"/>
    <col min="15" max="15" width="6.5703125" bestFit="1" customWidth="1"/>
    <col min="16" max="16" width="9.5703125" bestFit="1" customWidth="1"/>
    <col min="17" max="17" width="11.7109375" bestFit="1" customWidth="1"/>
    <col min="18" max="18" width="12" bestFit="1" customWidth="1"/>
  </cols>
  <sheetData>
    <row r="1" spans="2:21" ht="36">
      <c r="C1" s="79">
        <v>42430</v>
      </c>
      <c r="D1" t="s">
        <v>41</v>
      </c>
      <c r="E1" s="8" t="s">
        <v>158</v>
      </c>
      <c r="F1" s="8"/>
      <c r="G1" s="8"/>
      <c r="H1" s="8"/>
      <c r="I1" s="9"/>
      <c r="J1" s="5"/>
      <c r="K1" s="5"/>
      <c r="L1" s="5"/>
    </row>
    <row r="2" spans="2:21" ht="28.5">
      <c r="C2" s="6"/>
      <c r="F2" s="95" t="s">
        <v>178</v>
      </c>
    </row>
    <row r="3" spans="2:21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3" t="s">
        <v>184</v>
      </c>
      <c r="I3" s="2" t="s">
        <v>3</v>
      </c>
      <c r="J3" s="2" t="s">
        <v>32</v>
      </c>
      <c r="K3" s="2" t="s">
        <v>36</v>
      </c>
      <c r="L3" s="2" t="s">
        <v>123</v>
      </c>
      <c r="M3" s="2" t="s">
        <v>33</v>
      </c>
      <c r="N3" s="2" t="s">
        <v>37</v>
      </c>
      <c r="O3" s="2" t="s">
        <v>38</v>
      </c>
      <c r="P3" s="28" t="s">
        <v>40</v>
      </c>
      <c r="Q3" s="2" t="s">
        <v>105</v>
      </c>
      <c r="R3" s="1"/>
      <c r="S3" s="1"/>
      <c r="T3" s="1"/>
      <c r="U3" s="1"/>
    </row>
    <row r="4" spans="2:21" ht="19.899999999999999" customHeight="1">
      <c r="B4" s="2">
        <v>1</v>
      </c>
      <c r="C4" s="13" t="s">
        <v>166</v>
      </c>
      <c r="D4" s="11">
        <v>5500</v>
      </c>
      <c r="E4" s="4">
        <f>SUM(D4/30)</f>
        <v>183.33333333333334</v>
      </c>
      <c r="F4" s="2">
        <v>31</v>
      </c>
      <c r="G4" s="33">
        <v>2</v>
      </c>
      <c r="H4" s="33">
        <v>1</v>
      </c>
      <c r="I4" s="2">
        <f>30-G4+H4</f>
        <v>29</v>
      </c>
      <c r="J4" s="4">
        <f>SUM(D4-M4)</f>
        <v>5316.666666666667</v>
      </c>
      <c r="K4" s="33">
        <v>0</v>
      </c>
      <c r="L4" s="2"/>
      <c r="M4" s="4">
        <f>SUM(G4*E4)/2</f>
        <v>183.33333333333334</v>
      </c>
      <c r="N4" s="4"/>
      <c r="O4" s="2"/>
      <c r="P4" s="36">
        <f>SUM(J4-K4-N4-O4-L4)</f>
        <v>5316.666666666667</v>
      </c>
      <c r="Q4" s="2"/>
      <c r="R4" s="1"/>
      <c r="S4" s="1"/>
      <c r="T4" s="1"/>
      <c r="U4" s="1"/>
    </row>
    <row r="5" spans="2:21" ht="19.899999999999999" customHeight="1">
      <c r="B5" s="2">
        <v>2</v>
      </c>
      <c r="C5" s="13" t="s">
        <v>160</v>
      </c>
      <c r="D5" s="11">
        <v>8000</v>
      </c>
      <c r="E5" s="4">
        <f>SUM(D5/30)</f>
        <v>266.66666666666669</v>
      </c>
      <c r="F5" s="2">
        <v>31</v>
      </c>
      <c r="G5" s="33">
        <v>0</v>
      </c>
      <c r="H5" s="33">
        <v>1</v>
      </c>
      <c r="I5" s="2">
        <f>30-G5</f>
        <v>30</v>
      </c>
      <c r="J5" s="4">
        <f>SUM(D5-M5)</f>
        <v>8000</v>
      </c>
      <c r="K5" s="33">
        <v>0</v>
      </c>
      <c r="L5" s="2"/>
      <c r="M5" s="4">
        <f>SUM(G5*E5)</f>
        <v>0</v>
      </c>
      <c r="N5" s="4"/>
      <c r="O5" s="2"/>
      <c r="P5" s="36">
        <f>SUM(J5-K5-N5-O5-L5)</f>
        <v>8000</v>
      </c>
      <c r="Q5" s="2"/>
      <c r="R5" s="1">
        <f>+E5/9.3*Q5</f>
        <v>0</v>
      </c>
      <c r="S5" s="1"/>
      <c r="T5" s="1"/>
      <c r="U5" s="1"/>
    </row>
    <row r="6" spans="2:21" ht="19.899999999999999" customHeight="1">
      <c r="B6" s="2">
        <v>1</v>
      </c>
      <c r="C6" s="13" t="s">
        <v>42</v>
      </c>
      <c r="D6" s="11">
        <v>8000</v>
      </c>
      <c r="E6" s="4">
        <f t="shared" ref="E6:E31" si="0">SUM(D6/30)</f>
        <v>266.66666666666669</v>
      </c>
      <c r="F6" s="2">
        <v>31</v>
      </c>
      <c r="G6" s="33">
        <v>1.5</v>
      </c>
      <c r="H6" s="33">
        <v>1</v>
      </c>
      <c r="I6" s="2">
        <f>30-G6+H6</f>
        <v>29.5</v>
      </c>
      <c r="J6" s="4">
        <f>SUM(D6-M6)</f>
        <v>7866.666666666667</v>
      </c>
      <c r="K6" s="86"/>
      <c r="L6" s="2"/>
      <c r="M6" s="4">
        <f>SUM(H6*E6)/2</f>
        <v>133.33333333333334</v>
      </c>
      <c r="N6" s="4"/>
      <c r="O6" s="2"/>
      <c r="P6" s="36">
        <f>SUM(J6-K6-N6-O6-L6)</f>
        <v>7866.666666666667</v>
      </c>
      <c r="Q6" s="2"/>
      <c r="R6" s="41"/>
      <c r="S6" s="41"/>
      <c r="T6" s="41"/>
      <c r="U6" s="1"/>
    </row>
    <row r="7" spans="2:21" ht="19.899999999999999" customHeight="1">
      <c r="B7" s="2"/>
      <c r="C7" s="13" t="s">
        <v>167</v>
      </c>
      <c r="D7" s="11">
        <v>3000</v>
      </c>
      <c r="E7" s="4">
        <f t="shared" si="0"/>
        <v>100</v>
      </c>
      <c r="F7" s="2">
        <v>31</v>
      </c>
      <c r="G7" s="34">
        <v>4</v>
      </c>
      <c r="H7" s="34">
        <v>0</v>
      </c>
      <c r="I7" s="2">
        <f t="shared" ref="I7:I13" si="1">30-G7</f>
        <v>26</v>
      </c>
      <c r="J7" s="4">
        <f t="shared" ref="J7:J13" si="2">SUM(D7-M7)</f>
        <v>2600</v>
      </c>
      <c r="K7" s="86"/>
      <c r="L7" s="2"/>
      <c r="M7" s="4">
        <f>SUM(G7*E7)</f>
        <v>400</v>
      </c>
      <c r="N7" s="4"/>
      <c r="O7" s="2"/>
      <c r="P7" s="36">
        <f t="shared" ref="P7:P12" si="3">SUM(J7-K7-N7-O7-L7)</f>
        <v>2600</v>
      </c>
      <c r="Q7" s="2"/>
      <c r="R7" s="1"/>
      <c r="S7" s="1"/>
      <c r="T7" s="1"/>
      <c r="U7" s="1"/>
    </row>
    <row r="8" spans="2:21" ht="19.899999999999999" customHeight="1">
      <c r="B8" s="2"/>
      <c r="C8" s="13" t="s">
        <v>168</v>
      </c>
      <c r="D8" s="11">
        <v>3500</v>
      </c>
      <c r="E8" s="4">
        <f t="shared" si="0"/>
        <v>116.66666666666667</v>
      </c>
      <c r="F8" s="2">
        <v>31</v>
      </c>
      <c r="G8" s="33">
        <v>1</v>
      </c>
      <c r="H8" s="33">
        <v>0</v>
      </c>
      <c r="I8" s="2">
        <f t="shared" si="1"/>
        <v>29</v>
      </c>
      <c r="J8" s="4">
        <f t="shared" si="2"/>
        <v>3383.3333333333335</v>
      </c>
      <c r="K8" s="86"/>
      <c r="L8" s="2"/>
      <c r="M8" s="4">
        <f>SUM(G8*E8)</f>
        <v>116.66666666666667</v>
      </c>
      <c r="N8" s="4"/>
      <c r="O8" s="4"/>
      <c r="P8" s="36">
        <f t="shared" si="3"/>
        <v>3383.3333333333335</v>
      </c>
      <c r="Q8" s="46"/>
      <c r="R8" s="1"/>
      <c r="S8" s="46"/>
      <c r="T8" s="40"/>
    </row>
    <row r="9" spans="2:21" ht="19.899999999999999" customHeight="1">
      <c r="B9" s="2"/>
      <c r="C9" s="13" t="s">
        <v>169</v>
      </c>
      <c r="D9" s="11">
        <v>4600</v>
      </c>
      <c r="E9" s="4">
        <f t="shared" si="0"/>
        <v>153.33333333333334</v>
      </c>
      <c r="F9" s="2">
        <v>31</v>
      </c>
      <c r="G9" s="34">
        <v>0</v>
      </c>
      <c r="H9" s="34">
        <v>0</v>
      </c>
      <c r="I9" s="2">
        <f t="shared" si="1"/>
        <v>30</v>
      </c>
      <c r="J9" s="4">
        <f t="shared" si="2"/>
        <v>4600</v>
      </c>
      <c r="K9" s="33"/>
      <c r="L9" s="2"/>
      <c r="M9" s="4">
        <f>SUM(G9*E9)</f>
        <v>0</v>
      </c>
      <c r="N9" s="4"/>
      <c r="O9" s="4"/>
      <c r="P9" s="36">
        <f t="shared" si="3"/>
        <v>4600</v>
      </c>
      <c r="Q9" s="46"/>
      <c r="R9" s="1"/>
      <c r="S9" s="1"/>
      <c r="T9" s="1"/>
      <c r="U9" s="1"/>
    </row>
    <row r="10" spans="2:21" ht="19.899999999999999" customHeight="1">
      <c r="B10" s="2"/>
      <c r="C10" s="13" t="s">
        <v>170</v>
      </c>
      <c r="D10" s="11">
        <v>3000</v>
      </c>
      <c r="E10" s="4">
        <f t="shared" si="0"/>
        <v>100</v>
      </c>
      <c r="F10" s="2">
        <v>31</v>
      </c>
      <c r="G10" s="33">
        <v>3</v>
      </c>
      <c r="H10" s="33">
        <v>0</v>
      </c>
      <c r="I10" s="2">
        <f t="shared" si="1"/>
        <v>27</v>
      </c>
      <c r="J10" s="4">
        <f t="shared" si="2"/>
        <v>2700</v>
      </c>
      <c r="K10" s="86"/>
      <c r="L10" s="2"/>
      <c r="M10" s="4">
        <f>SUM(G10*E10)</f>
        <v>300</v>
      </c>
      <c r="N10" s="4"/>
      <c r="O10" s="4"/>
      <c r="P10" s="36">
        <f t="shared" si="3"/>
        <v>2700</v>
      </c>
      <c r="Q10" s="2"/>
      <c r="R10" s="1"/>
      <c r="S10" s="1"/>
      <c r="T10" s="1"/>
      <c r="U10" s="1"/>
    </row>
    <row r="11" spans="2:21" ht="19.899999999999999" customHeight="1">
      <c r="B11" s="2"/>
      <c r="C11" s="13" t="s">
        <v>177</v>
      </c>
      <c r="D11" s="11">
        <v>5000</v>
      </c>
      <c r="E11" s="4">
        <f t="shared" si="0"/>
        <v>166.66666666666666</v>
      </c>
      <c r="F11" s="2">
        <v>31</v>
      </c>
      <c r="G11" s="34">
        <v>2</v>
      </c>
      <c r="H11" s="34">
        <v>0</v>
      </c>
      <c r="I11" s="2">
        <f t="shared" si="1"/>
        <v>28</v>
      </c>
      <c r="J11" s="4">
        <f t="shared" si="2"/>
        <v>4666.666666666667</v>
      </c>
      <c r="K11" s="86"/>
      <c r="L11" s="2"/>
      <c r="M11" s="4">
        <f>SUM(G11*E11)</f>
        <v>333.33333333333331</v>
      </c>
      <c r="N11" s="4"/>
      <c r="O11" s="4"/>
      <c r="P11" s="36">
        <f>SUM(J11-K11-N11-O11-L11)+1167</f>
        <v>5833.666666666667</v>
      </c>
      <c r="Q11" s="2"/>
      <c r="R11" s="1"/>
      <c r="S11" s="1"/>
      <c r="T11" s="1">
        <f>5000/30*7</f>
        <v>1166.6666666666665</v>
      </c>
      <c r="U11" s="1"/>
    </row>
    <row r="12" spans="2:21" ht="19.899999999999999" customHeight="1">
      <c r="B12" s="2"/>
      <c r="C12" s="13" t="s">
        <v>174</v>
      </c>
      <c r="D12" s="11">
        <v>4500</v>
      </c>
      <c r="E12" s="4">
        <f t="shared" si="0"/>
        <v>150</v>
      </c>
      <c r="F12" s="2">
        <v>31</v>
      </c>
      <c r="G12" s="33">
        <v>0</v>
      </c>
      <c r="H12" s="33">
        <v>0</v>
      </c>
      <c r="I12" s="2">
        <f t="shared" si="1"/>
        <v>30</v>
      </c>
      <c r="J12" s="4">
        <f t="shared" si="2"/>
        <v>4500</v>
      </c>
      <c r="K12" s="86"/>
      <c r="L12" s="2"/>
      <c r="M12" s="4">
        <f t="shared" ref="M12:M13" si="4">SUM(G12*E12)</f>
        <v>0</v>
      </c>
      <c r="N12" s="4"/>
      <c r="O12" s="4"/>
      <c r="P12" s="36">
        <f t="shared" si="3"/>
        <v>4500</v>
      </c>
      <c r="Q12" s="2"/>
      <c r="R12" s="1"/>
      <c r="S12" s="1"/>
      <c r="T12" s="1"/>
      <c r="U12" s="1"/>
    </row>
    <row r="13" spans="2:21" ht="19.899999999999999" customHeight="1">
      <c r="B13" s="2"/>
      <c r="C13" s="13" t="s">
        <v>173</v>
      </c>
      <c r="D13" s="11">
        <v>4500</v>
      </c>
      <c r="E13" s="4">
        <f t="shared" si="0"/>
        <v>150</v>
      </c>
      <c r="F13" s="2">
        <v>31</v>
      </c>
      <c r="G13" s="33">
        <v>2</v>
      </c>
      <c r="H13" s="33">
        <v>0</v>
      </c>
      <c r="I13" s="2">
        <f t="shared" si="1"/>
        <v>28</v>
      </c>
      <c r="J13" s="4">
        <f t="shared" si="2"/>
        <v>4200</v>
      </c>
      <c r="K13" s="86"/>
      <c r="L13" s="2"/>
      <c r="M13" s="4">
        <f t="shared" si="4"/>
        <v>300</v>
      </c>
      <c r="N13" s="4"/>
      <c r="O13" s="4"/>
      <c r="P13" s="36">
        <f>SUM(J13-K13-N13-O13-L13)+1500</f>
        <v>5700</v>
      </c>
      <c r="Q13" s="2"/>
      <c r="R13" s="1">
        <f>+E13*10</f>
        <v>1500</v>
      </c>
      <c r="S13" s="1"/>
      <c r="T13" s="1"/>
      <c r="U13" s="1"/>
    </row>
    <row r="14" spans="2:21" ht="19.899999999999999" customHeight="1">
      <c r="B14" s="2"/>
      <c r="C14" s="13" t="s">
        <v>183</v>
      </c>
      <c r="D14" s="11"/>
      <c r="E14" s="4"/>
      <c r="F14" s="2"/>
      <c r="G14" s="33"/>
      <c r="H14" s="33"/>
      <c r="I14" s="2"/>
      <c r="J14" s="4"/>
      <c r="K14" s="86"/>
      <c r="L14" s="2"/>
      <c r="M14" s="4">
        <f>SUM(M4:M13)</f>
        <v>1766.6666666666667</v>
      </c>
      <c r="N14" s="4"/>
      <c r="O14" s="4"/>
      <c r="P14" s="36">
        <f>SUM(P4:P13)</f>
        <v>50500.333333333336</v>
      </c>
      <c r="Q14" s="2"/>
      <c r="R14" s="1"/>
      <c r="S14" s="1"/>
      <c r="T14" s="1"/>
      <c r="U14" s="1"/>
    </row>
    <row r="15" spans="2:21" ht="19.899999999999999" customHeight="1">
      <c r="B15" s="2"/>
      <c r="C15" s="13"/>
      <c r="D15" s="11"/>
      <c r="E15" s="4"/>
      <c r="F15" s="2"/>
      <c r="G15" s="33"/>
      <c r="H15" s="33"/>
      <c r="I15" s="2"/>
      <c r="J15" s="4"/>
      <c r="K15" s="86"/>
      <c r="L15" s="2"/>
      <c r="M15" s="4"/>
      <c r="N15" s="4"/>
      <c r="O15" s="4"/>
      <c r="P15" s="36"/>
      <c r="Q15" s="2"/>
      <c r="R15" s="1"/>
      <c r="S15" s="1"/>
      <c r="T15" s="1"/>
      <c r="U15" s="1"/>
    </row>
    <row r="16" spans="2:21" ht="36">
      <c r="C16" s="79">
        <v>42430</v>
      </c>
      <c r="D16" t="s">
        <v>41</v>
      </c>
      <c r="E16" s="8" t="s">
        <v>158</v>
      </c>
      <c r="F16" s="8"/>
      <c r="G16" s="8"/>
      <c r="H16" s="8"/>
      <c r="I16" s="9"/>
      <c r="J16" s="5"/>
      <c r="K16" s="5"/>
      <c r="L16" s="5"/>
    </row>
    <row r="17" spans="2:21" ht="28.5">
      <c r="C17" s="6"/>
      <c r="F17" s="95" t="s">
        <v>181</v>
      </c>
    </row>
    <row r="18" spans="2:21">
      <c r="B18" s="2" t="s">
        <v>0</v>
      </c>
      <c r="C18" s="2" t="s">
        <v>1</v>
      </c>
      <c r="D18" s="2" t="s">
        <v>5</v>
      </c>
      <c r="E18" s="2" t="s">
        <v>34</v>
      </c>
      <c r="F18" s="2" t="s">
        <v>2</v>
      </c>
      <c r="G18" s="3" t="s">
        <v>4</v>
      </c>
      <c r="H18" s="3"/>
      <c r="I18" s="2" t="s">
        <v>3</v>
      </c>
      <c r="J18" s="2" t="s">
        <v>32</v>
      </c>
      <c r="K18" s="2" t="s">
        <v>36</v>
      </c>
      <c r="L18" s="2" t="s">
        <v>123</v>
      </c>
      <c r="M18" s="2" t="s">
        <v>33</v>
      </c>
      <c r="N18" s="2" t="s">
        <v>37</v>
      </c>
      <c r="O18" s="2" t="s">
        <v>38</v>
      </c>
      <c r="P18" s="28" t="s">
        <v>40</v>
      </c>
      <c r="Q18" s="2" t="s">
        <v>105</v>
      </c>
      <c r="R18" s="1"/>
      <c r="S18" s="1"/>
      <c r="T18" s="1"/>
      <c r="U18" s="1"/>
    </row>
    <row r="19" spans="2:21" ht="19.899999999999999" customHeight="1">
      <c r="B19" s="2">
        <v>1</v>
      </c>
      <c r="C19" s="13" t="s">
        <v>161</v>
      </c>
      <c r="D19" s="11">
        <v>7500</v>
      </c>
      <c r="E19" s="4">
        <f t="shared" si="0"/>
        <v>250</v>
      </c>
      <c r="F19" s="2">
        <v>31</v>
      </c>
      <c r="G19" s="33">
        <v>1</v>
      </c>
      <c r="H19" s="33">
        <v>1</v>
      </c>
      <c r="I19" s="2">
        <f>30-G19+H19</f>
        <v>30</v>
      </c>
      <c r="J19" s="4">
        <f>SUM(D19-M19)</f>
        <v>7250</v>
      </c>
      <c r="K19" s="86"/>
      <c r="L19" s="2"/>
      <c r="M19" s="4">
        <f>SUM(G19*E19)</f>
        <v>250</v>
      </c>
      <c r="N19" s="4"/>
      <c r="O19" s="4"/>
      <c r="P19" s="36">
        <f t="shared" ref="P19:P30" si="5">SUM(J19-K19-N19-O19-L19)</f>
        <v>7250</v>
      </c>
      <c r="Q19" s="2"/>
      <c r="R19" s="1"/>
      <c r="S19" s="1"/>
      <c r="T19" s="1"/>
      <c r="U19" s="1"/>
    </row>
    <row r="20" spans="2:21" ht="19.899999999999999" customHeight="1">
      <c r="B20" s="2">
        <v>2</v>
      </c>
      <c r="C20" s="13" t="s">
        <v>162</v>
      </c>
      <c r="D20" s="11">
        <v>3500</v>
      </c>
      <c r="E20" s="4">
        <f t="shared" si="0"/>
        <v>116.66666666666667</v>
      </c>
      <c r="F20" s="2">
        <v>31</v>
      </c>
      <c r="G20" s="33">
        <v>2</v>
      </c>
      <c r="H20" s="33"/>
      <c r="I20" s="2">
        <f>30-G20</f>
        <v>28</v>
      </c>
      <c r="J20" s="4">
        <f>SUM(D20-M20)</f>
        <v>3266.6666666666665</v>
      </c>
      <c r="K20" s="86"/>
      <c r="L20" s="2"/>
      <c r="M20" s="4">
        <f>SUM(G20*E20)</f>
        <v>233.33333333333334</v>
      </c>
      <c r="N20" s="4"/>
      <c r="O20" s="4"/>
      <c r="P20" s="36">
        <f t="shared" si="5"/>
        <v>3266.6666666666665</v>
      </c>
      <c r="Q20" s="2"/>
      <c r="R20" s="1"/>
      <c r="S20" s="1"/>
      <c r="T20" s="1"/>
      <c r="U20" s="1"/>
    </row>
    <row r="21" spans="2:21" ht="19.899999999999999" customHeight="1">
      <c r="B21" s="2"/>
      <c r="C21" s="13" t="s">
        <v>183</v>
      </c>
      <c r="D21" s="11"/>
      <c r="E21" s="4"/>
      <c r="F21" s="2"/>
      <c r="G21" s="33"/>
      <c r="H21" s="33"/>
      <c r="I21" s="2"/>
      <c r="J21" s="4"/>
      <c r="K21" s="86"/>
      <c r="L21" s="2"/>
      <c r="M21" s="4"/>
      <c r="N21" s="4"/>
      <c r="O21" s="4"/>
      <c r="P21" s="36">
        <f>SUM(P19:P20)</f>
        <v>10516.666666666666</v>
      </c>
      <c r="Q21" s="2"/>
      <c r="R21" s="41"/>
      <c r="S21" s="1"/>
      <c r="T21" s="1"/>
      <c r="U21" s="1"/>
    </row>
    <row r="22" spans="2:21" ht="19.899999999999999" customHeight="1">
      <c r="B22" s="2"/>
      <c r="C22" s="13"/>
      <c r="D22" s="11"/>
      <c r="E22" s="4"/>
      <c r="F22" s="2"/>
      <c r="G22" s="34"/>
      <c r="H22" s="34"/>
      <c r="I22" s="2"/>
      <c r="J22" s="4"/>
      <c r="K22" s="86"/>
      <c r="L22" s="2"/>
      <c r="M22" s="4"/>
      <c r="N22" s="4"/>
      <c r="O22" s="4"/>
      <c r="P22" s="36"/>
      <c r="Q22" s="2"/>
      <c r="R22" s="1"/>
      <c r="S22" s="1"/>
      <c r="T22" s="1"/>
      <c r="U22" s="1"/>
    </row>
    <row r="23" spans="2:21" ht="19.899999999999999" customHeight="1">
      <c r="B23" s="2"/>
      <c r="C23" s="13"/>
      <c r="D23" s="11"/>
      <c r="E23" s="4"/>
      <c r="F23" s="2"/>
      <c r="G23" s="34"/>
      <c r="H23" s="34"/>
      <c r="I23" s="2"/>
      <c r="J23" s="4"/>
      <c r="K23" s="33"/>
      <c r="L23" s="2"/>
      <c r="M23" s="4"/>
      <c r="N23" s="4"/>
      <c r="O23" s="4"/>
      <c r="P23" s="36"/>
      <c r="Q23" s="2"/>
      <c r="R23" s="1"/>
      <c r="S23" s="1"/>
      <c r="T23" s="1"/>
      <c r="U23" s="1"/>
    </row>
    <row r="24" spans="2:21" ht="19.899999999999999" customHeight="1">
      <c r="B24" s="2"/>
      <c r="C24" s="13"/>
      <c r="D24" s="11"/>
      <c r="E24" s="4"/>
      <c r="F24" s="2"/>
      <c r="G24" s="33"/>
      <c r="H24" s="33"/>
      <c r="I24" s="2"/>
      <c r="J24" s="4"/>
      <c r="K24" s="86"/>
      <c r="L24" s="2"/>
      <c r="M24" s="4"/>
      <c r="N24" s="4"/>
      <c r="O24" s="4"/>
      <c r="P24" s="36"/>
      <c r="Q24" s="2"/>
      <c r="R24" s="1"/>
      <c r="S24" s="1"/>
      <c r="T24" s="1"/>
      <c r="U24" s="1"/>
    </row>
    <row r="25" spans="2:21" ht="19.899999999999999" customHeight="1">
      <c r="B25" s="2"/>
      <c r="C25" s="13"/>
      <c r="D25" s="11"/>
      <c r="E25" s="4"/>
      <c r="F25" s="2"/>
      <c r="G25" s="34"/>
      <c r="H25" s="34"/>
      <c r="I25" s="2"/>
      <c r="J25" s="4"/>
      <c r="K25" s="86"/>
      <c r="L25" s="2"/>
      <c r="M25" s="4"/>
      <c r="N25" s="4"/>
      <c r="O25" s="4"/>
      <c r="P25" s="36"/>
      <c r="Q25" s="2"/>
      <c r="R25" s="1"/>
      <c r="S25" s="1"/>
      <c r="T25" s="1"/>
      <c r="U25" s="1"/>
    </row>
    <row r="26" spans="2:21" ht="36">
      <c r="C26" s="79">
        <v>42430</v>
      </c>
      <c r="D26" t="s">
        <v>41</v>
      </c>
      <c r="E26" s="8" t="s">
        <v>158</v>
      </c>
      <c r="F26" s="8"/>
      <c r="G26" s="8"/>
      <c r="H26" s="8"/>
      <c r="I26" s="9"/>
      <c r="J26" s="5"/>
      <c r="K26" s="5"/>
      <c r="L26" s="5"/>
    </row>
    <row r="27" spans="2:21" ht="28.5">
      <c r="C27" s="6"/>
      <c r="F27" s="95" t="s">
        <v>180</v>
      </c>
    </row>
    <row r="28" spans="2:21">
      <c r="B28" s="2" t="s">
        <v>0</v>
      </c>
      <c r="C28" s="2" t="s">
        <v>1</v>
      </c>
      <c r="D28" s="2" t="s">
        <v>5</v>
      </c>
      <c r="E28" s="2" t="s">
        <v>34</v>
      </c>
      <c r="F28" s="2" t="s">
        <v>2</v>
      </c>
      <c r="G28" s="3" t="s">
        <v>4</v>
      </c>
      <c r="H28" s="3"/>
      <c r="I28" s="2" t="s">
        <v>3</v>
      </c>
      <c r="J28" s="2" t="s">
        <v>32</v>
      </c>
      <c r="K28" s="2" t="s">
        <v>36</v>
      </c>
      <c r="L28" s="2" t="s">
        <v>123</v>
      </c>
      <c r="M28" s="2" t="s">
        <v>33</v>
      </c>
      <c r="N28" s="2" t="s">
        <v>37</v>
      </c>
      <c r="O28" s="2" t="s">
        <v>38</v>
      </c>
      <c r="P28" s="28" t="s">
        <v>40</v>
      </c>
      <c r="Q28" s="2" t="s">
        <v>105</v>
      </c>
      <c r="R28" s="1"/>
      <c r="S28" s="1"/>
      <c r="T28" s="1"/>
      <c r="U28" s="1"/>
    </row>
    <row r="29" spans="2:21" ht="19.899999999999999" customHeight="1">
      <c r="B29" s="2">
        <v>1</v>
      </c>
      <c r="C29" s="13" t="s">
        <v>163</v>
      </c>
      <c r="D29" s="11">
        <v>11000</v>
      </c>
      <c r="E29" s="4">
        <f t="shared" si="0"/>
        <v>366.66666666666669</v>
      </c>
      <c r="F29" s="2">
        <v>31</v>
      </c>
      <c r="G29" s="34">
        <v>0</v>
      </c>
      <c r="H29" s="34">
        <v>1</v>
      </c>
      <c r="I29" s="2">
        <f>30-G29</f>
        <v>30</v>
      </c>
      <c r="J29" s="4">
        <f>SUM(D29-M29)</f>
        <v>11000</v>
      </c>
      <c r="K29" s="86"/>
      <c r="L29" s="2"/>
      <c r="M29" s="4">
        <f>SUM(G29*E29)</f>
        <v>0</v>
      </c>
      <c r="N29" s="4"/>
      <c r="O29" s="4"/>
      <c r="P29" s="36">
        <f t="shared" si="5"/>
        <v>11000</v>
      </c>
      <c r="Q29" s="2"/>
      <c r="R29" s="1"/>
      <c r="S29" s="1"/>
      <c r="T29" s="1"/>
      <c r="U29" s="1"/>
    </row>
    <row r="30" spans="2:21" ht="19.899999999999999" customHeight="1">
      <c r="B30" s="2">
        <v>20</v>
      </c>
      <c r="C30" s="13" t="s">
        <v>171</v>
      </c>
      <c r="D30" s="11">
        <v>3500</v>
      </c>
      <c r="E30" s="4">
        <f t="shared" si="0"/>
        <v>116.66666666666667</v>
      </c>
      <c r="F30" s="2">
        <v>31</v>
      </c>
      <c r="G30" s="34">
        <v>0</v>
      </c>
      <c r="H30" s="34"/>
      <c r="I30" s="2">
        <f>30-G30</f>
        <v>30</v>
      </c>
      <c r="J30" s="4">
        <f>SUM(D30-M30)</f>
        <v>3500</v>
      </c>
      <c r="K30" s="86"/>
      <c r="L30" s="2"/>
      <c r="M30" s="4">
        <f>SUM(G30*E30)</f>
        <v>0</v>
      </c>
      <c r="N30" s="4"/>
      <c r="O30" s="4"/>
      <c r="P30" s="36">
        <f t="shared" si="5"/>
        <v>3500</v>
      </c>
      <c r="Q30" s="2"/>
      <c r="R30" s="1"/>
      <c r="S30" s="1"/>
      <c r="T30" s="1"/>
      <c r="U30" s="1"/>
    </row>
    <row r="31" spans="2:21" ht="19.899999999999999" customHeight="1">
      <c r="B31" s="2">
        <v>5</v>
      </c>
      <c r="C31" s="13" t="s">
        <v>172</v>
      </c>
      <c r="D31" s="11">
        <v>7000</v>
      </c>
      <c r="E31" s="4">
        <f t="shared" si="0"/>
        <v>233.33333333333334</v>
      </c>
      <c r="F31" s="2">
        <v>31</v>
      </c>
      <c r="G31" s="34">
        <v>0</v>
      </c>
      <c r="H31" s="34"/>
      <c r="I31" s="2">
        <f>30-G31</f>
        <v>30</v>
      </c>
      <c r="J31" s="4">
        <f>SUM(D31-M31)</f>
        <v>7000</v>
      </c>
      <c r="K31" s="86"/>
      <c r="L31" s="2"/>
      <c r="M31" s="4">
        <f>SUM(G31*E31)</f>
        <v>0</v>
      </c>
      <c r="N31" s="4"/>
      <c r="O31" s="4"/>
      <c r="P31" s="36">
        <f>SUM(J31-K31-N31-O31-L31)</f>
        <v>7000</v>
      </c>
      <c r="Q31" s="2"/>
      <c r="R31" s="1"/>
      <c r="S31" s="1"/>
      <c r="T31" s="1"/>
      <c r="U31" s="1"/>
    </row>
    <row r="32" spans="2:21" ht="19.899999999999999" customHeight="1">
      <c r="B32" s="2">
        <v>6</v>
      </c>
      <c r="C32" s="13" t="s">
        <v>183</v>
      </c>
      <c r="D32" s="11"/>
      <c r="E32" s="4"/>
      <c r="F32" s="2"/>
      <c r="G32" s="34"/>
      <c r="H32" s="34"/>
      <c r="I32" s="2"/>
      <c r="J32" s="4"/>
      <c r="K32" s="86"/>
      <c r="L32" s="2"/>
      <c r="M32" s="4"/>
      <c r="N32" s="4"/>
      <c r="O32" s="4"/>
      <c r="P32" s="36">
        <f>SUM(P29:P31)</f>
        <v>21500</v>
      </c>
      <c r="Q32" s="2"/>
      <c r="R32" s="1"/>
      <c r="S32" s="1"/>
      <c r="T32" s="1"/>
      <c r="U32" s="1"/>
    </row>
    <row r="33" spans="2:21" ht="19.899999999999999" customHeight="1">
      <c r="B33" s="2"/>
      <c r="C33" s="13"/>
      <c r="D33" s="11"/>
      <c r="E33" s="4"/>
      <c r="F33" s="2"/>
      <c r="G33" s="34"/>
      <c r="H33" s="34"/>
      <c r="I33" s="2"/>
      <c r="J33" s="4"/>
      <c r="K33" s="33"/>
      <c r="L33" s="2"/>
      <c r="M33" s="4"/>
      <c r="N33" s="4"/>
      <c r="O33" s="4"/>
      <c r="P33" s="36"/>
      <c r="Q33" s="2"/>
      <c r="R33" s="1"/>
      <c r="S33" s="1"/>
      <c r="T33" s="1"/>
      <c r="U33" s="1"/>
    </row>
    <row r="34" spans="2:21" ht="36">
      <c r="C34" s="79">
        <v>42430</v>
      </c>
      <c r="D34" t="s">
        <v>41</v>
      </c>
      <c r="E34" s="8" t="s">
        <v>158</v>
      </c>
      <c r="F34" s="8"/>
      <c r="G34" s="8"/>
      <c r="H34" s="8"/>
      <c r="I34" s="9"/>
      <c r="J34" s="5"/>
      <c r="K34" s="5"/>
      <c r="L34" s="5"/>
    </row>
    <row r="35" spans="2:21" ht="28.5">
      <c r="C35" s="6"/>
      <c r="F35" s="95" t="s">
        <v>179</v>
      </c>
    </row>
    <row r="36" spans="2:21">
      <c r="B36" s="2" t="s">
        <v>0</v>
      </c>
      <c r="C36" s="2" t="s">
        <v>1</v>
      </c>
      <c r="D36" s="2" t="s">
        <v>5</v>
      </c>
      <c r="E36" s="2" t="s">
        <v>34</v>
      </c>
      <c r="F36" s="2" t="s">
        <v>2</v>
      </c>
      <c r="G36" s="3" t="s">
        <v>4</v>
      </c>
      <c r="H36" s="3"/>
      <c r="I36" s="2" t="s">
        <v>3</v>
      </c>
      <c r="J36" s="2" t="s">
        <v>32</v>
      </c>
      <c r="K36" s="2" t="s">
        <v>36</v>
      </c>
      <c r="L36" s="2" t="s">
        <v>123</v>
      </c>
      <c r="M36" s="2" t="s">
        <v>33</v>
      </c>
      <c r="N36" s="2" t="s">
        <v>37</v>
      </c>
      <c r="O36" s="2" t="s">
        <v>38</v>
      </c>
      <c r="P36" s="28" t="s">
        <v>40</v>
      </c>
      <c r="Q36" s="2" t="s">
        <v>105</v>
      </c>
      <c r="R36" s="1"/>
      <c r="S36" s="1"/>
      <c r="T36" s="1"/>
      <c r="U36" s="1"/>
    </row>
    <row r="37" spans="2:21" ht="19.899999999999999" customHeight="1">
      <c r="B37" s="2"/>
      <c r="C37" s="13" t="s">
        <v>164</v>
      </c>
      <c r="D37" s="11">
        <v>9000</v>
      </c>
      <c r="E37" s="4">
        <f t="shared" ref="E37" si="6">SUM(D37/30)</f>
        <v>300</v>
      </c>
      <c r="F37" s="2">
        <v>31</v>
      </c>
      <c r="G37" s="34">
        <v>3</v>
      </c>
      <c r="H37" s="34">
        <v>1</v>
      </c>
      <c r="I37" s="2">
        <v>28</v>
      </c>
      <c r="J37" s="4">
        <f t="shared" ref="J37:J40" si="7">SUM(D37-M37)</f>
        <v>8400</v>
      </c>
      <c r="K37" s="33"/>
      <c r="L37" s="2"/>
      <c r="M37" s="4">
        <f>SUM(G37-1)*E37</f>
        <v>600</v>
      </c>
      <c r="N37" s="4"/>
      <c r="O37" s="4"/>
      <c r="P37" s="36">
        <f t="shared" ref="P37:P40" si="8">SUM(J37-K37-N37-O37-L37)</f>
        <v>8400</v>
      </c>
      <c r="Q37" s="2"/>
      <c r="R37" s="1"/>
      <c r="S37" s="1"/>
      <c r="T37" s="1"/>
      <c r="U37" s="1"/>
    </row>
    <row r="38" spans="2:21" ht="19.899999999999999" customHeight="1">
      <c r="B38" s="2"/>
      <c r="C38" s="13" t="s">
        <v>165</v>
      </c>
      <c r="D38" s="11">
        <v>8000</v>
      </c>
      <c r="E38" s="4">
        <f t="shared" ref="E38:E40" si="9">SUM(D38/30)</f>
        <v>266.66666666666669</v>
      </c>
      <c r="F38" s="2">
        <v>31</v>
      </c>
      <c r="G38" s="34">
        <v>0</v>
      </c>
      <c r="H38" s="34">
        <v>1</v>
      </c>
      <c r="I38" s="2">
        <v>30</v>
      </c>
      <c r="J38" s="4">
        <f t="shared" si="7"/>
        <v>8000</v>
      </c>
      <c r="K38" s="86"/>
      <c r="L38" s="2"/>
      <c r="M38" s="4">
        <f t="shared" ref="M38:M40" si="10">SUM(G38*E38)</f>
        <v>0</v>
      </c>
      <c r="N38" s="4"/>
      <c r="O38" s="4"/>
      <c r="P38" s="36">
        <f t="shared" si="8"/>
        <v>8000</v>
      </c>
      <c r="Q38" s="2"/>
      <c r="R38" s="1"/>
      <c r="S38" s="1"/>
      <c r="T38" s="1"/>
      <c r="U38" s="1"/>
    </row>
    <row r="39" spans="2:21" ht="19.899999999999999" customHeight="1">
      <c r="B39" s="2"/>
      <c r="C39" s="13" t="s">
        <v>175</v>
      </c>
      <c r="D39" s="11">
        <v>4700</v>
      </c>
      <c r="E39" s="4">
        <f t="shared" si="9"/>
        <v>156.66666666666666</v>
      </c>
      <c r="F39" s="2">
        <v>31</v>
      </c>
      <c r="G39" s="34">
        <v>0</v>
      </c>
      <c r="H39" s="34"/>
      <c r="I39" s="2">
        <v>30</v>
      </c>
      <c r="J39" s="4">
        <f t="shared" si="7"/>
        <v>4700</v>
      </c>
      <c r="K39" s="86"/>
      <c r="L39" s="2"/>
      <c r="M39" s="4">
        <f t="shared" si="10"/>
        <v>0</v>
      </c>
      <c r="N39" s="4"/>
      <c r="O39" s="4"/>
      <c r="P39" s="36">
        <f t="shared" si="8"/>
        <v>4700</v>
      </c>
      <c r="Q39" s="2"/>
    </row>
    <row r="40" spans="2:21" ht="19.899999999999999" customHeight="1">
      <c r="B40" s="2"/>
      <c r="C40" s="13" t="s">
        <v>176</v>
      </c>
      <c r="D40" s="16">
        <v>5700</v>
      </c>
      <c r="E40" s="4">
        <f t="shared" si="9"/>
        <v>190</v>
      </c>
      <c r="F40" s="2">
        <v>31</v>
      </c>
      <c r="G40" s="35">
        <v>0</v>
      </c>
      <c r="H40" s="35"/>
      <c r="I40" s="2">
        <v>30</v>
      </c>
      <c r="J40" s="4">
        <f t="shared" si="7"/>
        <v>5700</v>
      </c>
      <c r="K40" s="33"/>
      <c r="L40" s="18"/>
      <c r="M40" s="4">
        <f t="shared" si="10"/>
        <v>0</v>
      </c>
      <c r="N40" s="17"/>
      <c r="O40" s="17"/>
      <c r="P40" s="36">
        <f t="shared" si="8"/>
        <v>5700</v>
      </c>
      <c r="Q40" s="2"/>
    </row>
    <row r="41" spans="2:21" ht="19.899999999999999" customHeight="1">
      <c r="B41" s="2"/>
      <c r="C41" s="13" t="s">
        <v>182</v>
      </c>
      <c r="D41" s="16"/>
      <c r="E41" s="17"/>
      <c r="F41" s="2"/>
      <c r="G41" s="35"/>
      <c r="H41" s="35"/>
      <c r="I41" s="2"/>
      <c r="J41" s="17"/>
      <c r="K41" s="86"/>
      <c r="L41" s="18"/>
      <c r="M41" s="17"/>
      <c r="N41" s="17"/>
      <c r="O41" s="17"/>
      <c r="P41" s="36">
        <f>SUM(P37:P40)</f>
        <v>26800</v>
      </c>
      <c r="Q41" s="2"/>
    </row>
    <row r="42" spans="2:21" ht="19.899999999999999" customHeight="1">
      <c r="B42" s="2"/>
      <c r="C42" s="13"/>
      <c r="D42" s="16"/>
      <c r="E42" s="17"/>
      <c r="F42" s="2"/>
      <c r="G42" s="35"/>
      <c r="H42" s="35"/>
      <c r="I42" s="2"/>
      <c r="J42" s="17"/>
      <c r="K42" s="86"/>
      <c r="L42" s="18"/>
      <c r="M42" s="17"/>
      <c r="N42" s="17"/>
      <c r="O42" s="17"/>
      <c r="P42" s="36"/>
      <c r="Q42" s="2"/>
    </row>
    <row r="43" spans="2:21" ht="19.899999999999999" customHeight="1">
      <c r="B43" s="2"/>
      <c r="C43" s="13"/>
      <c r="D43" s="16"/>
      <c r="E43" s="17"/>
      <c r="F43" s="2">
        <v>31</v>
      </c>
      <c r="G43" s="35"/>
      <c r="H43" s="35"/>
      <c r="I43" s="2"/>
      <c r="J43" s="17"/>
      <c r="K43" s="86"/>
      <c r="L43" s="18"/>
      <c r="M43" s="17"/>
      <c r="N43" s="17"/>
      <c r="O43" s="17"/>
      <c r="P43" s="36"/>
      <c r="Q43" s="2"/>
    </row>
    <row r="44" spans="2:21" ht="26.25">
      <c r="C44" s="26"/>
      <c r="D44" s="26"/>
      <c r="E44" s="26"/>
      <c r="F44" s="26"/>
      <c r="G44" s="26" t="s">
        <v>122</v>
      </c>
      <c r="H44" s="26"/>
      <c r="I44" s="26"/>
      <c r="J44" s="26"/>
      <c r="K44" s="26"/>
      <c r="L44" s="76"/>
      <c r="M44" s="65"/>
      <c r="N44" s="26" t="s">
        <v>92</v>
      </c>
      <c r="O44" s="26"/>
    </row>
    <row r="45" spans="2:21" ht="26.2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spans="2:21">
      <c r="B46" s="1"/>
      <c r="K46" s="43"/>
      <c r="L46" s="43"/>
      <c r="M46" s="43"/>
    </row>
    <row r="47" spans="2:21">
      <c r="B47" s="27"/>
      <c r="L47" s="43"/>
    </row>
    <row r="48" spans="2:21">
      <c r="K48" s="43"/>
    </row>
  </sheetData>
  <autoFilter ref="B3:T43">
    <filterColumn colId="5"/>
    <filterColumn colId="6"/>
  </autoFilter>
  <pageMargins left="0.12" right="0.11" top="0.32" bottom="0.32" header="0.3" footer="0.3"/>
  <pageSetup scale="94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T57"/>
  <sheetViews>
    <sheetView topLeftCell="A37" workbookViewId="0">
      <selection activeCell="O49" sqref="O49"/>
    </sheetView>
  </sheetViews>
  <sheetFormatPr defaultRowHeight="15"/>
  <cols>
    <col min="1" max="1" width="0.140625" customWidth="1"/>
    <col min="2" max="2" width="4.7109375" bestFit="1" customWidth="1"/>
    <col min="3" max="3" width="18.42578125" customWidth="1"/>
    <col min="4" max="5" width="9.5703125" customWidth="1"/>
    <col min="6" max="6" width="8.42578125" customWidth="1"/>
    <col min="7" max="7" width="5.42578125" customWidth="1"/>
    <col min="8" max="8" width="8.42578125" customWidth="1"/>
    <col min="9" max="9" width="9.5703125" customWidth="1"/>
    <col min="10" max="10" width="8.5703125" customWidth="1"/>
    <col min="11" max="11" width="8.7109375" customWidth="1"/>
    <col min="12" max="12" width="9.5703125" customWidth="1"/>
    <col min="13" max="13" width="9.85546875" customWidth="1"/>
    <col min="14" max="14" width="6.5703125" customWidth="1"/>
    <col min="15" max="15" width="9.5703125" customWidth="1"/>
    <col min="16" max="16" width="21.140625" customWidth="1"/>
    <col min="17" max="17" width="18.7109375" hidden="1" customWidth="1"/>
    <col min="18" max="18" width="0" hidden="1" customWidth="1"/>
  </cols>
  <sheetData>
    <row r="1" spans="2:20">
      <c r="C1" s="6"/>
    </row>
    <row r="2" spans="2:20" ht="36">
      <c r="C2" s="79">
        <v>42461</v>
      </c>
      <c r="D2" t="s">
        <v>41</v>
      </c>
      <c r="E2" s="8" t="s">
        <v>185</v>
      </c>
      <c r="F2" s="8"/>
      <c r="G2" s="8"/>
      <c r="H2" s="9"/>
      <c r="I2" s="5"/>
      <c r="J2" s="5"/>
      <c r="K2" s="5"/>
      <c r="P2" t="s">
        <v>152</v>
      </c>
      <c r="Q2" t="s">
        <v>105</v>
      </c>
    </row>
    <row r="3" spans="2:20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" t="s">
        <v>105</v>
      </c>
      <c r="Q3" s="1"/>
      <c r="R3" s="1"/>
      <c r="S3" s="1"/>
      <c r="T3" s="1"/>
    </row>
    <row r="4" spans="2:20" ht="19.899999999999999" customHeight="1">
      <c r="B4" s="2">
        <v>1</v>
      </c>
      <c r="C4" s="13" t="s">
        <v>45</v>
      </c>
      <c r="D4" s="11">
        <f>11700+1250</f>
        <v>12950</v>
      </c>
      <c r="E4" s="4">
        <f>SUM(D4/30)</f>
        <v>431.66666666666669</v>
      </c>
      <c r="F4" s="2">
        <v>30</v>
      </c>
      <c r="G4" s="33">
        <v>0</v>
      </c>
      <c r="H4" s="2">
        <f>30-G4</f>
        <v>30</v>
      </c>
      <c r="I4" s="4">
        <f>SUM(D4-L4)</f>
        <v>12950</v>
      </c>
      <c r="J4" s="33">
        <f>2000+2000</f>
        <v>4000</v>
      </c>
      <c r="K4" s="2"/>
      <c r="L4" s="4">
        <f>SUM(G4*E4)</f>
        <v>0</v>
      </c>
      <c r="M4" s="4">
        <v>252</v>
      </c>
      <c r="N4" s="2">
        <v>53</v>
      </c>
      <c r="O4" s="36">
        <f>SUM(I4-J4-M4-N4-K4)</f>
        <v>8645</v>
      </c>
      <c r="P4" s="2">
        <v>300</v>
      </c>
      <c r="Q4" s="81"/>
      <c r="R4" s="1"/>
      <c r="S4" s="1"/>
      <c r="T4" s="1"/>
    </row>
    <row r="5" spans="2:20" ht="19.899999999999999" customHeight="1">
      <c r="B5" s="2">
        <v>2</v>
      </c>
      <c r="C5" s="13" t="s">
        <v>7</v>
      </c>
      <c r="D5" s="11">
        <f>10200+1250</f>
        <v>11450</v>
      </c>
      <c r="E5" s="4">
        <f>SUM(D5/30)</f>
        <v>381.66666666666669</v>
      </c>
      <c r="F5" s="2">
        <v>30</v>
      </c>
      <c r="G5" s="33">
        <v>2</v>
      </c>
      <c r="H5" s="2">
        <f>30-G5</f>
        <v>28</v>
      </c>
      <c r="I5" s="4">
        <f t="shared" ref="I5:I41" si="0">SUM(D5-L5)</f>
        <v>10686.666666666666</v>
      </c>
      <c r="J5" s="33">
        <f>2000+2000</f>
        <v>4000</v>
      </c>
      <c r="K5" s="2">
        <v>60</v>
      </c>
      <c r="L5" s="4">
        <f>SUM(G5*E5)</f>
        <v>763.33333333333337</v>
      </c>
      <c r="M5" s="4">
        <v>252</v>
      </c>
      <c r="N5" s="2">
        <v>53</v>
      </c>
      <c r="O5" s="36">
        <f t="shared" ref="O5:O44" si="1">SUM(I5-J5-M5-N5-K5)</f>
        <v>6321.6666666666661</v>
      </c>
      <c r="P5" s="2"/>
      <c r="Q5" s="81">
        <v>1.5</v>
      </c>
      <c r="R5" s="1">
        <f>+E5/9.5*Q5</f>
        <v>60.26315789473685</v>
      </c>
      <c r="S5" s="1"/>
      <c r="T5" s="1"/>
    </row>
    <row r="6" spans="2:20" ht="19.899999999999999" customHeight="1">
      <c r="B6" s="2">
        <v>3</v>
      </c>
      <c r="C6" s="13" t="s">
        <v>46</v>
      </c>
      <c r="D6" s="11">
        <f>9500+1250</f>
        <v>10750</v>
      </c>
      <c r="E6" s="4">
        <f t="shared" ref="E6:E48" si="2">SUM(D6/30)</f>
        <v>358.33333333333331</v>
      </c>
      <c r="F6" s="2">
        <v>30</v>
      </c>
      <c r="G6" s="33">
        <v>1</v>
      </c>
      <c r="H6" s="2">
        <f t="shared" ref="H6:H48" si="3">30-G6</f>
        <v>29</v>
      </c>
      <c r="I6" s="4">
        <f t="shared" si="0"/>
        <v>10391.666666666666</v>
      </c>
      <c r="J6" s="86"/>
      <c r="K6" s="2"/>
      <c r="L6" s="4">
        <f t="shared" ref="L6:L44" si="4">SUM(G6*E6)</f>
        <v>358.33333333333331</v>
      </c>
      <c r="M6" s="4">
        <v>252</v>
      </c>
      <c r="N6" s="2">
        <v>53</v>
      </c>
      <c r="O6" s="36">
        <f t="shared" si="1"/>
        <v>10086.666666666666</v>
      </c>
      <c r="P6" s="2"/>
      <c r="Q6" s="81"/>
      <c r="R6" s="41"/>
      <c r="S6" s="41"/>
      <c r="T6" s="1"/>
    </row>
    <row r="7" spans="2:20" ht="19.899999999999999" customHeight="1">
      <c r="B7" s="2">
        <v>2</v>
      </c>
      <c r="C7" s="13" t="s">
        <v>47</v>
      </c>
      <c r="D7" s="11">
        <f>8400+300</f>
        <v>8700</v>
      </c>
      <c r="E7" s="4">
        <f t="shared" si="2"/>
        <v>290</v>
      </c>
      <c r="F7" s="2">
        <v>30</v>
      </c>
      <c r="G7" s="34">
        <v>0</v>
      </c>
      <c r="H7" s="2">
        <f t="shared" si="3"/>
        <v>30</v>
      </c>
      <c r="I7" s="4">
        <f t="shared" si="0"/>
        <v>8700</v>
      </c>
      <c r="J7" s="86"/>
      <c r="K7" s="2"/>
      <c r="L7" s="4">
        <f t="shared" si="4"/>
        <v>0</v>
      </c>
      <c r="M7" s="4">
        <v>252</v>
      </c>
      <c r="N7" s="2">
        <v>53</v>
      </c>
      <c r="O7" s="36">
        <f t="shared" si="1"/>
        <v>8395</v>
      </c>
      <c r="P7" s="2">
        <v>300</v>
      </c>
      <c r="Q7" s="81"/>
      <c r="R7" s="1"/>
      <c r="S7" s="1"/>
      <c r="T7" s="1"/>
    </row>
    <row r="8" spans="2:20" ht="19.899999999999999" customHeight="1">
      <c r="B8" s="2">
        <v>5</v>
      </c>
      <c r="C8" s="13" t="s">
        <v>54</v>
      </c>
      <c r="D8" s="11">
        <f>4250+750</f>
        <v>5000</v>
      </c>
      <c r="E8" s="4">
        <f>SUM(D8/30)</f>
        <v>166.66666666666666</v>
      </c>
      <c r="F8" s="2">
        <v>30</v>
      </c>
      <c r="G8" s="33">
        <v>1</v>
      </c>
      <c r="H8" s="2">
        <f>30-G8</f>
        <v>29</v>
      </c>
      <c r="I8" s="4">
        <f>SUM(D8-L8)</f>
        <v>4833.333333333333</v>
      </c>
      <c r="J8" s="33">
        <v>2000</v>
      </c>
      <c r="K8" s="2"/>
      <c r="L8" s="4">
        <f>SUM(G8*E8)</f>
        <v>166.66666666666666</v>
      </c>
      <c r="M8" s="4">
        <v>252</v>
      </c>
      <c r="N8" s="4">
        <v>53</v>
      </c>
      <c r="O8" s="36">
        <f>SUM(I8-J8-M8-N8-K8)</f>
        <v>2528.333333333333</v>
      </c>
      <c r="P8" s="2"/>
      <c r="Q8" s="81"/>
      <c r="R8" s="1"/>
      <c r="S8" s="1">
        <f>+E8/2</f>
        <v>83.333333333333329</v>
      </c>
      <c r="T8" s="1"/>
    </row>
    <row r="9" spans="2:20" ht="19.899999999999999" customHeight="1">
      <c r="B9" s="2">
        <v>6</v>
      </c>
      <c r="C9" s="13" t="s">
        <v>139</v>
      </c>
      <c r="D9" s="11">
        <f>7800+1000</f>
        <v>8800</v>
      </c>
      <c r="E9" s="4">
        <f t="shared" si="2"/>
        <v>293.33333333333331</v>
      </c>
      <c r="F9" s="2">
        <v>30</v>
      </c>
      <c r="G9" s="34">
        <v>2.5</v>
      </c>
      <c r="H9" s="2">
        <f t="shared" si="3"/>
        <v>27.5</v>
      </c>
      <c r="I9" s="4">
        <f t="shared" si="0"/>
        <v>8066.666666666667</v>
      </c>
      <c r="J9" s="33">
        <v>2000</v>
      </c>
      <c r="K9" s="2">
        <v>77</v>
      </c>
      <c r="L9" s="4">
        <f t="shared" si="4"/>
        <v>733.33333333333326</v>
      </c>
      <c r="M9" s="4"/>
      <c r="N9" s="4"/>
      <c r="O9" s="36">
        <f t="shared" si="1"/>
        <v>5989.666666666667</v>
      </c>
      <c r="P9" s="2"/>
      <c r="Q9" s="102">
        <v>2.5</v>
      </c>
      <c r="R9" s="1">
        <f>+E9/9.5*Q9</f>
        <v>77.192982456140342</v>
      </c>
      <c r="S9" s="1"/>
      <c r="T9" s="1"/>
    </row>
    <row r="10" spans="2:20" ht="19.899999999999999" customHeight="1">
      <c r="B10" s="2">
        <v>7</v>
      </c>
      <c r="C10" s="13" t="s">
        <v>48</v>
      </c>
      <c r="D10" s="11">
        <f>7050+1000</f>
        <v>8050</v>
      </c>
      <c r="E10" s="4">
        <f t="shared" si="2"/>
        <v>268.33333333333331</v>
      </c>
      <c r="F10" s="2">
        <v>30</v>
      </c>
      <c r="G10" s="34">
        <v>3</v>
      </c>
      <c r="H10" s="2">
        <f t="shared" si="3"/>
        <v>27</v>
      </c>
      <c r="I10" s="4">
        <f t="shared" si="0"/>
        <v>7245</v>
      </c>
      <c r="J10" s="33">
        <f>200+200</f>
        <v>400</v>
      </c>
      <c r="K10" s="46">
        <v>113</v>
      </c>
      <c r="L10" s="4">
        <f t="shared" si="4"/>
        <v>805</v>
      </c>
      <c r="M10" s="4"/>
      <c r="N10" s="4"/>
      <c r="O10" s="36">
        <f t="shared" si="1"/>
        <v>6732</v>
      </c>
      <c r="P10" s="2"/>
      <c r="Q10" s="81">
        <v>4</v>
      </c>
      <c r="R10" s="1">
        <f>+E10/9.5*Q10</f>
        <v>112.98245614035086</v>
      </c>
      <c r="S10" s="1"/>
      <c r="T10" s="1"/>
    </row>
    <row r="11" spans="2:20" ht="19.899999999999999" customHeight="1">
      <c r="B11" s="2">
        <v>3</v>
      </c>
      <c r="C11" s="13" t="s">
        <v>140</v>
      </c>
      <c r="D11" s="11">
        <f>10000+1000</f>
        <v>11000</v>
      </c>
      <c r="E11" s="4">
        <f t="shared" si="2"/>
        <v>366.66666666666669</v>
      </c>
      <c r="F11" s="2">
        <v>30</v>
      </c>
      <c r="G11" s="33">
        <v>0</v>
      </c>
      <c r="H11" s="2">
        <f t="shared" si="3"/>
        <v>30</v>
      </c>
      <c r="I11" s="4">
        <f t="shared" si="0"/>
        <v>11000</v>
      </c>
      <c r="J11" s="86"/>
      <c r="K11" s="2"/>
      <c r="L11" s="4">
        <f t="shared" si="4"/>
        <v>0</v>
      </c>
      <c r="M11" s="4"/>
      <c r="N11" s="4"/>
      <c r="O11" s="36">
        <f t="shared" si="1"/>
        <v>11000</v>
      </c>
      <c r="P11" s="2">
        <v>300</v>
      </c>
      <c r="Q11" s="81"/>
      <c r="R11" s="1"/>
      <c r="S11" s="1"/>
      <c r="T11" s="1"/>
    </row>
    <row r="12" spans="2:20" ht="19.899999999999999" customHeight="1">
      <c r="B12" s="2">
        <v>9</v>
      </c>
      <c r="C12" s="13" t="s">
        <v>107</v>
      </c>
      <c r="D12" s="11">
        <f>4700+700</f>
        <v>5400</v>
      </c>
      <c r="E12" s="4">
        <f t="shared" si="2"/>
        <v>180</v>
      </c>
      <c r="F12" s="2">
        <v>30</v>
      </c>
      <c r="G12" s="34">
        <v>6</v>
      </c>
      <c r="H12" s="2">
        <f t="shared" si="3"/>
        <v>24</v>
      </c>
      <c r="I12" s="4">
        <f t="shared" si="0"/>
        <v>4320</v>
      </c>
      <c r="J12" s="86"/>
      <c r="K12" s="46">
        <v>21</v>
      </c>
      <c r="L12" s="4">
        <f t="shared" si="4"/>
        <v>1080</v>
      </c>
      <c r="M12" s="4"/>
      <c r="N12" s="4"/>
      <c r="O12" s="36">
        <f t="shared" si="1"/>
        <v>4299</v>
      </c>
      <c r="P12" s="2"/>
      <c r="Q12" s="81">
        <v>1</v>
      </c>
      <c r="R12" s="1">
        <f>+E12/8.5*Q12</f>
        <v>21.176470588235293</v>
      </c>
      <c r="S12" s="1"/>
      <c r="T12" s="1"/>
    </row>
    <row r="13" spans="2:20" ht="19.899999999999999" customHeight="1">
      <c r="B13" s="2">
        <v>10</v>
      </c>
      <c r="C13" s="13" t="s">
        <v>16</v>
      </c>
      <c r="D13" s="11">
        <f>4300+600</f>
        <v>4900</v>
      </c>
      <c r="E13" s="4">
        <f t="shared" si="2"/>
        <v>163.33333333333334</v>
      </c>
      <c r="F13" s="2">
        <v>30</v>
      </c>
      <c r="G13" s="33">
        <v>1.5</v>
      </c>
      <c r="H13" s="2">
        <f t="shared" si="3"/>
        <v>28.5</v>
      </c>
      <c r="I13" s="4">
        <f t="shared" si="0"/>
        <v>4655</v>
      </c>
      <c r="J13" s="86"/>
      <c r="K13" s="2"/>
      <c r="L13" s="4">
        <f t="shared" si="4"/>
        <v>245</v>
      </c>
      <c r="M13" s="4"/>
      <c r="N13" s="4"/>
      <c r="O13" s="36">
        <f t="shared" si="1"/>
        <v>4655</v>
      </c>
      <c r="P13" s="2"/>
      <c r="Q13" s="81"/>
      <c r="R13" s="1"/>
      <c r="S13" s="1"/>
      <c r="T13" s="1"/>
    </row>
    <row r="14" spans="2:20" ht="19.899999999999999" customHeight="1">
      <c r="B14" s="2">
        <v>4</v>
      </c>
      <c r="C14" s="13" t="s">
        <v>142</v>
      </c>
      <c r="D14" s="11">
        <f>3850+700</f>
        <v>4550</v>
      </c>
      <c r="E14" s="4">
        <f t="shared" si="2"/>
        <v>151.66666666666666</v>
      </c>
      <c r="F14" s="2">
        <v>30</v>
      </c>
      <c r="G14" s="33">
        <v>0.5</v>
      </c>
      <c r="H14" s="2">
        <f t="shared" si="3"/>
        <v>29.5</v>
      </c>
      <c r="I14" s="4">
        <f t="shared" si="0"/>
        <v>4474.166666666667</v>
      </c>
      <c r="J14" s="86"/>
      <c r="K14" s="2"/>
      <c r="L14" s="4">
        <f t="shared" si="4"/>
        <v>75.833333333333329</v>
      </c>
      <c r="M14" s="4"/>
      <c r="N14" s="4"/>
      <c r="O14" s="36">
        <f t="shared" si="1"/>
        <v>4474.166666666667</v>
      </c>
      <c r="P14" s="2">
        <v>250</v>
      </c>
      <c r="Q14" s="81"/>
      <c r="R14" s="1"/>
      <c r="S14" s="1"/>
      <c r="T14" s="1"/>
    </row>
    <row r="15" spans="2:20" ht="19.899999999999999" customHeight="1">
      <c r="B15" s="2">
        <v>12</v>
      </c>
      <c r="C15" s="13" t="s">
        <v>143</v>
      </c>
      <c r="D15" s="11">
        <f>4450+700</f>
        <v>5150</v>
      </c>
      <c r="E15" s="4">
        <f t="shared" si="2"/>
        <v>171.66666666666666</v>
      </c>
      <c r="F15" s="2">
        <v>30</v>
      </c>
      <c r="G15" s="33">
        <v>1.5</v>
      </c>
      <c r="H15" s="2">
        <f t="shared" si="3"/>
        <v>28.5</v>
      </c>
      <c r="I15" s="4">
        <f t="shared" si="0"/>
        <v>4892.5</v>
      </c>
      <c r="J15" s="86"/>
      <c r="K15" s="2"/>
      <c r="L15" s="4">
        <f t="shared" si="4"/>
        <v>257.5</v>
      </c>
      <c r="M15" s="4"/>
      <c r="N15" s="4"/>
      <c r="O15" s="36">
        <f t="shared" si="1"/>
        <v>4892.5</v>
      </c>
      <c r="P15" s="2"/>
      <c r="Q15" s="81"/>
      <c r="R15" s="1"/>
      <c r="S15" s="1">
        <f>+E15/2</f>
        <v>85.833333333333329</v>
      </c>
      <c r="T15" s="1"/>
    </row>
    <row r="16" spans="2:20" ht="19.899999999999999" customHeight="1">
      <c r="B16" s="2">
        <v>5</v>
      </c>
      <c r="C16" s="13" t="s">
        <v>58</v>
      </c>
      <c r="D16" s="11">
        <f>3850+750</f>
        <v>4600</v>
      </c>
      <c r="E16" s="4">
        <f t="shared" si="2"/>
        <v>153.33333333333334</v>
      </c>
      <c r="F16" s="2">
        <v>30</v>
      </c>
      <c r="G16" s="33">
        <v>0</v>
      </c>
      <c r="H16" s="2">
        <f>30-G16</f>
        <v>30</v>
      </c>
      <c r="I16" s="4">
        <f t="shared" si="0"/>
        <v>4600</v>
      </c>
      <c r="J16" s="86"/>
      <c r="K16" s="2"/>
      <c r="L16" s="4">
        <f t="shared" si="4"/>
        <v>0</v>
      </c>
      <c r="M16" s="4"/>
      <c r="N16" s="4"/>
      <c r="O16" s="36">
        <f t="shared" si="1"/>
        <v>4600</v>
      </c>
      <c r="P16" s="2">
        <v>300</v>
      </c>
      <c r="Q16" s="81"/>
      <c r="R16" s="1"/>
      <c r="S16" s="1"/>
      <c r="T16" s="1"/>
    </row>
    <row r="17" spans="2:20" ht="19.899999999999999" customHeight="1">
      <c r="B17" s="2">
        <v>14</v>
      </c>
      <c r="C17" s="13" t="s">
        <v>53</v>
      </c>
      <c r="D17" s="11">
        <f>3800+700</f>
        <v>4500</v>
      </c>
      <c r="E17" s="4">
        <f t="shared" si="2"/>
        <v>150</v>
      </c>
      <c r="F17" s="2">
        <v>30</v>
      </c>
      <c r="G17" s="34">
        <v>1</v>
      </c>
      <c r="H17" s="2">
        <f t="shared" si="3"/>
        <v>29</v>
      </c>
      <c r="I17" s="4">
        <f t="shared" si="0"/>
        <v>4350</v>
      </c>
      <c r="J17" s="86"/>
      <c r="K17" s="2"/>
      <c r="L17" s="4">
        <f t="shared" si="4"/>
        <v>150</v>
      </c>
      <c r="M17" s="4"/>
      <c r="N17" s="4"/>
      <c r="O17" s="36">
        <f t="shared" si="1"/>
        <v>4350</v>
      </c>
      <c r="P17" s="2"/>
      <c r="Q17" s="81"/>
      <c r="R17" s="1"/>
      <c r="S17" s="1"/>
      <c r="T17" s="1"/>
    </row>
    <row r="18" spans="2:20" ht="19.899999999999999" customHeight="1">
      <c r="B18" s="2">
        <v>15</v>
      </c>
      <c r="C18" s="13" t="s">
        <v>10</v>
      </c>
      <c r="D18" s="11">
        <f>7100+500</f>
        <v>7600</v>
      </c>
      <c r="E18" s="4">
        <f>SUM(D18/30)</f>
        <v>253.33333333333334</v>
      </c>
      <c r="F18" s="2">
        <v>30</v>
      </c>
      <c r="G18" s="34">
        <v>1.5</v>
      </c>
      <c r="H18" s="2">
        <f t="shared" si="3"/>
        <v>28.5</v>
      </c>
      <c r="I18" s="4">
        <f t="shared" si="0"/>
        <v>7220</v>
      </c>
      <c r="J18" s="33">
        <f>2000+1000</f>
        <v>3000</v>
      </c>
      <c r="K18" s="2"/>
      <c r="L18" s="4">
        <f>SUM(G18*E18)</f>
        <v>380</v>
      </c>
      <c r="M18" s="4"/>
      <c r="N18" s="4"/>
      <c r="O18" s="36">
        <f t="shared" si="1"/>
        <v>4220</v>
      </c>
      <c r="P18" s="2"/>
      <c r="Q18" s="81"/>
      <c r="R18" s="1"/>
      <c r="S18" s="1"/>
      <c r="T18" s="1"/>
    </row>
    <row r="19" spans="2:20" ht="19.899999999999999" customHeight="1">
      <c r="B19" s="2">
        <v>16</v>
      </c>
      <c r="C19" s="13" t="s">
        <v>23</v>
      </c>
      <c r="D19" s="11">
        <f>3700+600</f>
        <v>4300</v>
      </c>
      <c r="E19" s="4">
        <f t="shared" si="2"/>
        <v>143.33333333333334</v>
      </c>
      <c r="F19" s="2">
        <v>30</v>
      </c>
      <c r="G19" s="33">
        <v>1.5</v>
      </c>
      <c r="H19" s="2">
        <f t="shared" si="3"/>
        <v>28.5</v>
      </c>
      <c r="I19" s="4">
        <f t="shared" si="0"/>
        <v>4085</v>
      </c>
      <c r="J19" s="86"/>
      <c r="K19" s="2"/>
      <c r="L19" s="4">
        <f t="shared" si="4"/>
        <v>215</v>
      </c>
      <c r="M19" s="4"/>
      <c r="N19" s="4"/>
      <c r="O19" s="36">
        <f t="shared" si="1"/>
        <v>4085</v>
      </c>
      <c r="P19" s="2"/>
      <c r="Q19" s="81"/>
      <c r="R19" s="1"/>
      <c r="S19" s="1"/>
      <c r="T19" s="1"/>
    </row>
    <row r="20" spans="2:20" ht="19.899999999999999" customHeight="1">
      <c r="B20" s="2">
        <v>17</v>
      </c>
      <c r="C20" s="13" t="s">
        <v>24</v>
      </c>
      <c r="D20" s="11">
        <f>3600+600</f>
        <v>4200</v>
      </c>
      <c r="E20" s="4">
        <f t="shared" si="2"/>
        <v>140</v>
      </c>
      <c r="F20" s="2">
        <v>30</v>
      </c>
      <c r="G20" s="34">
        <v>2</v>
      </c>
      <c r="H20" s="2">
        <f t="shared" si="3"/>
        <v>28</v>
      </c>
      <c r="I20" s="4">
        <f t="shared" si="0"/>
        <v>3920</v>
      </c>
      <c r="J20" s="86"/>
      <c r="K20" s="2"/>
      <c r="L20" s="4">
        <f t="shared" si="4"/>
        <v>280</v>
      </c>
      <c r="M20" s="4"/>
      <c r="N20" s="4"/>
      <c r="O20" s="36">
        <f t="shared" si="1"/>
        <v>3920</v>
      </c>
      <c r="P20" s="2"/>
      <c r="Q20" s="81"/>
      <c r="R20" s="1"/>
      <c r="S20" s="1"/>
      <c r="T20" s="1"/>
    </row>
    <row r="21" spans="2:20" ht="19.899999999999999" customHeight="1">
      <c r="B21" s="2">
        <v>6</v>
      </c>
      <c r="C21" s="13" t="s">
        <v>25</v>
      </c>
      <c r="D21" s="11">
        <f>3700+600</f>
        <v>4300</v>
      </c>
      <c r="E21" s="4">
        <f t="shared" si="2"/>
        <v>143.33333333333334</v>
      </c>
      <c r="F21" s="2">
        <v>30</v>
      </c>
      <c r="G21" s="34">
        <v>0.5</v>
      </c>
      <c r="H21" s="2">
        <f t="shared" si="3"/>
        <v>29.5</v>
      </c>
      <c r="I21" s="4">
        <f t="shared" si="0"/>
        <v>4228.333333333333</v>
      </c>
      <c r="J21" s="86"/>
      <c r="K21" s="46"/>
      <c r="L21" s="4">
        <f t="shared" si="4"/>
        <v>71.666666666666671</v>
      </c>
      <c r="M21" s="4"/>
      <c r="N21" s="4"/>
      <c r="O21" s="36">
        <f t="shared" si="1"/>
        <v>4228.333333333333</v>
      </c>
      <c r="P21" s="2">
        <v>250</v>
      </c>
      <c r="Q21" s="81"/>
      <c r="R21" s="1"/>
      <c r="S21" s="1"/>
      <c r="T21" s="1"/>
    </row>
    <row r="22" spans="2:20" ht="19.899999999999999" customHeight="1">
      <c r="B22" s="2">
        <v>19</v>
      </c>
      <c r="C22" s="13" t="s">
        <v>28</v>
      </c>
      <c r="D22" s="11">
        <f>7000+1000</f>
        <v>8000</v>
      </c>
      <c r="E22" s="4">
        <f t="shared" si="2"/>
        <v>266.66666666666669</v>
      </c>
      <c r="F22" s="2">
        <v>30</v>
      </c>
      <c r="G22" s="100">
        <v>1</v>
      </c>
      <c r="H22" s="2">
        <f t="shared" si="3"/>
        <v>29</v>
      </c>
      <c r="I22" s="4">
        <f t="shared" si="0"/>
        <v>7733.333333333333</v>
      </c>
      <c r="J22" s="33">
        <f>1000+1000</f>
        <v>2000</v>
      </c>
      <c r="K22" s="2"/>
      <c r="L22" s="4">
        <f t="shared" si="4"/>
        <v>266.66666666666669</v>
      </c>
      <c r="M22" s="4"/>
      <c r="N22" s="4"/>
      <c r="O22" s="36">
        <f t="shared" si="1"/>
        <v>5733.333333333333</v>
      </c>
      <c r="P22" s="2"/>
      <c r="Q22" s="81"/>
      <c r="R22" s="1"/>
      <c r="S22" s="1"/>
      <c r="T22" s="1"/>
    </row>
    <row r="23" spans="2:20" ht="19.899999999999999" customHeight="1">
      <c r="B23" s="2">
        <v>20</v>
      </c>
      <c r="C23" s="13" t="s">
        <v>15</v>
      </c>
      <c r="D23" s="11">
        <f>2850+600</f>
        <v>3450</v>
      </c>
      <c r="E23" s="4">
        <f t="shared" si="2"/>
        <v>115</v>
      </c>
      <c r="F23" s="2">
        <v>30</v>
      </c>
      <c r="G23" s="34">
        <v>1</v>
      </c>
      <c r="H23" s="2">
        <f t="shared" si="3"/>
        <v>29</v>
      </c>
      <c r="I23" s="4">
        <f t="shared" si="0"/>
        <v>3335</v>
      </c>
      <c r="J23" s="86"/>
      <c r="K23" s="2"/>
      <c r="L23" s="4">
        <f t="shared" si="4"/>
        <v>115</v>
      </c>
      <c r="M23" s="4"/>
      <c r="N23" s="4"/>
      <c r="O23" s="36">
        <f>SUM(I23-J23-M23-N23-K23)</f>
        <v>3335</v>
      </c>
      <c r="P23" s="2"/>
      <c r="Q23" s="81"/>
      <c r="R23" s="1"/>
      <c r="S23" s="1"/>
      <c r="T23" s="1"/>
    </row>
    <row r="24" spans="2:20" ht="19.899999999999999" customHeight="1">
      <c r="B24" s="2">
        <v>7</v>
      </c>
      <c r="C24" s="13" t="s">
        <v>88</v>
      </c>
      <c r="D24" s="11">
        <f>3500+1150</f>
        <v>4650</v>
      </c>
      <c r="E24" s="4">
        <f t="shared" si="2"/>
        <v>155</v>
      </c>
      <c r="F24" s="2">
        <v>30</v>
      </c>
      <c r="G24" s="34">
        <v>0</v>
      </c>
      <c r="H24" s="2">
        <f t="shared" si="3"/>
        <v>30</v>
      </c>
      <c r="I24" s="4">
        <f t="shared" si="0"/>
        <v>4650</v>
      </c>
      <c r="J24" s="86"/>
      <c r="K24" s="2"/>
      <c r="L24" s="4">
        <f t="shared" si="4"/>
        <v>0</v>
      </c>
      <c r="M24" s="4"/>
      <c r="N24" s="4"/>
      <c r="O24" s="36">
        <f t="shared" si="1"/>
        <v>4650</v>
      </c>
      <c r="P24" s="2">
        <v>300</v>
      </c>
      <c r="Q24" s="81"/>
      <c r="R24" s="1"/>
      <c r="S24" s="1"/>
      <c r="T24" s="1"/>
    </row>
    <row r="25" spans="2:20" ht="19.899999999999999" customHeight="1">
      <c r="B25" s="2">
        <v>22</v>
      </c>
      <c r="C25" s="13" t="s">
        <v>75</v>
      </c>
      <c r="D25" s="11">
        <f>3300+600</f>
        <v>3900</v>
      </c>
      <c r="E25" s="4">
        <f t="shared" si="2"/>
        <v>130</v>
      </c>
      <c r="F25" s="2">
        <v>30</v>
      </c>
      <c r="G25" s="34">
        <v>2</v>
      </c>
      <c r="H25" s="2">
        <f t="shared" si="3"/>
        <v>28</v>
      </c>
      <c r="I25" s="4">
        <f t="shared" si="0"/>
        <v>3640</v>
      </c>
      <c r="J25" s="33">
        <v>1500</v>
      </c>
      <c r="K25" s="46"/>
      <c r="L25" s="4">
        <f t="shared" si="4"/>
        <v>260</v>
      </c>
      <c r="M25" s="4"/>
      <c r="N25" s="4"/>
      <c r="O25" s="36">
        <f t="shared" si="1"/>
        <v>2140</v>
      </c>
      <c r="P25" s="2"/>
      <c r="Q25" s="81"/>
      <c r="R25" s="1"/>
      <c r="S25" s="1">
        <f>+E25/2</f>
        <v>65</v>
      </c>
      <c r="T25" s="1"/>
    </row>
    <row r="26" spans="2:20" ht="19.899999999999999" customHeight="1">
      <c r="B26" s="2">
        <v>23</v>
      </c>
      <c r="C26" s="13" t="s">
        <v>124</v>
      </c>
      <c r="D26" s="11">
        <f>3200+600</f>
        <v>3800</v>
      </c>
      <c r="E26" s="4">
        <f t="shared" si="2"/>
        <v>126.66666666666667</v>
      </c>
      <c r="F26" s="2">
        <v>30</v>
      </c>
      <c r="G26" s="34">
        <v>2.5</v>
      </c>
      <c r="H26" s="2">
        <f t="shared" si="3"/>
        <v>27.5</v>
      </c>
      <c r="I26" s="4">
        <f t="shared" si="0"/>
        <v>3483.3333333333335</v>
      </c>
      <c r="J26" s="33">
        <v>1000</v>
      </c>
      <c r="K26" s="2"/>
      <c r="L26" s="4">
        <f t="shared" si="4"/>
        <v>316.66666666666669</v>
      </c>
      <c r="M26" s="4"/>
      <c r="N26" s="4"/>
      <c r="O26" s="36">
        <f t="shared" si="1"/>
        <v>2483.3333333333335</v>
      </c>
      <c r="P26" s="2"/>
      <c r="Q26" s="81"/>
      <c r="R26" s="1"/>
      <c r="S26" s="1">
        <f>+E26/2</f>
        <v>63.333333333333336</v>
      </c>
      <c r="T26" s="1"/>
    </row>
    <row r="27" spans="2:20" ht="19.899999999999999" customHeight="1">
      <c r="B27" s="2">
        <v>8</v>
      </c>
      <c r="C27" s="13" t="s">
        <v>79</v>
      </c>
      <c r="D27" s="11">
        <f>2500+1000</f>
        <v>3500</v>
      </c>
      <c r="E27" s="4">
        <f t="shared" si="2"/>
        <v>116.66666666666667</v>
      </c>
      <c r="F27" s="2">
        <v>30</v>
      </c>
      <c r="G27" s="34">
        <v>0.5</v>
      </c>
      <c r="H27" s="2">
        <f t="shared" si="3"/>
        <v>29.5</v>
      </c>
      <c r="I27" s="4">
        <f t="shared" si="0"/>
        <v>3441.6666666666665</v>
      </c>
      <c r="J27" s="86"/>
      <c r="K27" s="2"/>
      <c r="L27" s="4">
        <f t="shared" si="4"/>
        <v>58.333333333333336</v>
      </c>
      <c r="M27" s="4"/>
      <c r="N27" s="4"/>
      <c r="O27" s="36">
        <f>SUM(I27-J27-M27-N27-K27)</f>
        <v>3441.6666666666665</v>
      </c>
      <c r="P27" s="2">
        <v>250</v>
      </c>
      <c r="Q27" s="81"/>
      <c r="R27" s="1"/>
      <c r="S27" s="1"/>
      <c r="T27" s="1"/>
    </row>
    <row r="28" spans="2:20" ht="19.899999999999999" customHeight="1">
      <c r="B28" s="2">
        <v>25</v>
      </c>
      <c r="C28" s="13" t="s">
        <v>78</v>
      </c>
      <c r="D28" s="11">
        <v>4000</v>
      </c>
      <c r="E28" s="4">
        <f t="shared" si="2"/>
        <v>133.33333333333334</v>
      </c>
      <c r="F28" s="2">
        <v>30</v>
      </c>
      <c r="G28" s="34">
        <v>2</v>
      </c>
      <c r="H28" s="2">
        <f t="shared" si="3"/>
        <v>28</v>
      </c>
      <c r="I28" s="4">
        <f t="shared" si="0"/>
        <v>3733.3333333333335</v>
      </c>
      <c r="J28" s="86"/>
      <c r="K28" s="2"/>
      <c r="L28" s="4">
        <f t="shared" si="4"/>
        <v>266.66666666666669</v>
      </c>
      <c r="M28" s="4"/>
      <c r="N28" s="4"/>
      <c r="O28" s="36">
        <f t="shared" si="1"/>
        <v>3733.3333333333335</v>
      </c>
      <c r="P28" s="2"/>
      <c r="Q28" s="81"/>
    </row>
    <row r="29" spans="2:20" ht="19.899999999999999" customHeight="1">
      <c r="B29" s="2">
        <v>26</v>
      </c>
      <c r="C29" s="13" t="s">
        <v>89</v>
      </c>
      <c r="D29" s="16">
        <f>2500+500</f>
        <v>3000</v>
      </c>
      <c r="E29" s="17">
        <f t="shared" si="2"/>
        <v>100</v>
      </c>
      <c r="F29" s="2">
        <v>30</v>
      </c>
      <c r="G29" s="35">
        <v>2</v>
      </c>
      <c r="H29" s="2">
        <f t="shared" si="3"/>
        <v>28</v>
      </c>
      <c r="I29" s="17">
        <f t="shared" si="0"/>
        <v>2800</v>
      </c>
      <c r="J29" s="33"/>
      <c r="K29" s="18"/>
      <c r="L29" s="17">
        <f t="shared" si="4"/>
        <v>200</v>
      </c>
      <c r="M29" s="17"/>
      <c r="N29" s="17"/>
      <c r="O29" s="36">
        <f t="shared" si="1"/>
        <v>2800</v>
      </c>
      <c r="P29" s="2"/>
      <c r="Q29" s="81"/>
    </row>
    <row r="30" spans="2:20" ht="19.899999999999999" customHeight="1">
      <c r="B30" s="2">
        <v>9</v>
      </c>
      <c r="C30" s="13" t="s">
        <v>93</v>
      </c>
      <c r="D30" s="16">
        <f>2500+600</f>
        <v>3100</v>
      </c>
      <c r="E30" s="17">
        <f t="shared" si="2"/>
        <v>103.33333333333333</v>
      </c>
      <c r="F30" s="2">
        <v>30</v>
      </c>
      <c r="G30" s="35">
        <v>0.5</v>
      </c>
      <c r="H30" s="2">
        <f t="shared" si="3"/>
        <v>29.5</v>
      </c>
      <c r="I30" s="17">
        <f>SUM(D30-L30)</f>
        <v>3048.3333333333335</v>
      </c>
      <c r="J30" s="86"/>
      <c r="K30" s="18">
        <v>30</v>
      </c>
      <c r="L30" s="17">
        <f t="shared" si="4"/>
        <v>51.666666666666664</v>
      </c>
      <c r="M30" s="17"/>
      <c r="N30" s="17"/>
      <c r="O30" s="36">
        <f t="shared" si="1"/>
        <v>3018.3333333333335</v>
      </c>
      <c r="P30" s="2">
        <v>250</v>
      </c>
      <c r="Q30" s="103">
        <v>2.5</v>
      </c>
      <c r="R30" s="1">
        <f>+E30/8.5*Q30</f>
        <v>30.392156862745097</v>
      </c>
    </row>
    <row r="31" spans="2:20" ht="19.899999999999999" customHeight="1">
      <c r="B31" s="2">
        <v>10</v>
      </c>
      <c r="C31" s="13" t="s">
        <v>101</v>
      </c>
      <c r="D31" s="16">
        <f>2500+600</f>
        <v>3100</v>
      </c>
      <c r="E31" s="17">
        <f t="shared" si="2"/>
        <v>103.33333333333333</v>
      </c>
      <c r="F31" s="2">
        <v>30</v>
      </c>
      <c r="G31" s="35">
        <v>0</v>
      </c>
      <c r="H31" s="2">
        <f t="shared" si="3"/>
        <v>30</v>
      </c>
      <c r="I31" s="17">
        <f t="shared" si="0"/>
        <v>3100</v>
      </c>
      <c r="J31" s="86"/>
      <c r="K31" s="96">
        <v>18</v>
      </c>
      <c r="L31" s="17">
        <f t="shared" si="4"/>
        <v>0</v>
      </c>
      <c r="M31" s="17"/>
      <c r="N31" s="17"/>
      <c r="O31" s="36">
        <f t="shared" si="1"/>
        <v>3082</v>
      </c>
      <c r="P31" s="2">
        <v>300</v>
      </c>
      <c r="Q31" s="81">
        <v>1.5</v>
      </c>
      <c r="R31" s="1">
        <f>+E31/8.5*Q31</f>
        <v>18.235294117647058</v>
      </c>
    </row>
    <row r="32" spans="2:20" ht="19.899999999999999" customHeight="1">
      <c r="B32" s="2"/>
      <c r="C32" s="13"/>
      <c r="D32" s="16"/>
      <c r="E32" s="17"/>
      <c r="F32" s="2">
        <v>30</v>
      </c>
      <c r="G32" s="35"/>
      <c r="H32" s="2"/>
      <c r="I32" s="17"/>
      <c r="J32" s="86"/>
      <c r="K32" s="18"/>
      <c r="L32" s="17"/>
      <c r="M32" s="17"/>
      <c r="N32" s="17"/>
      <c r="O32" s="36"/>
      <c r="P32" s="2"/>
      <c r="Q32" s="81"/>
    </row>
    <row r="33" spans="2:19" ht="19.899999999999999" customHeight="1">
      <c r="B33" s="2">
        <v>29</v>
      </c>
      <c r="C33" s="13" t="s">
        <v>108</v>
      </c>
      <c r="D33" s="16">
        <f>2500+600</f>
        <v>3100</v>
      </c>
      <c r="E33" s="17">
        <f t="shared" si="2"/>
        <v>103.33333333333333</v>
      </c>
      <c r="F33" s="2">
        <v>30</v>
      </c>
      <c r="G33" s="35">
        <v>5</v>
      </c>
      <c r="H33" s="2">
        <f t="shared" si="3"/>
        <v>25</v>
      </c>
      <c r="I33" s="17">
        <f>SUM(D33-L33)</f>
        <v>2583.3333333333335</v>
      </c>
      <c r="J33" s="86"/>
      <c r="K33" s="18"/>
      <c r="L33" s="17">
        <f>SUM(G33*E33)</f>
        <v>516.66666666666663</v>
      </c>
      <c r="M33" s="17"/>
      <c r="N33" s="17"/>
      <c r="O33" s="36">
        <f t="shared" si="1"/>
        <v>2583.3333333333335</v>
      </c>
      <c r="P33" s="2"/>
      <c r="Q33" s="105"/>
    </row>
    <row r="34" spans="2:19" ht="19.899999999999999" customHeight="1">
      <c r="B34" s="2">
        <v>11</v>
      </c>
      <c r="C34" s="13" t="s">
        <v>111</v>
      </c>
      <c r="D34" s="107">
        <f>8500+1000</f>
        <v>9500</v>
      </c>
      <c r="E34" s="17">
        <f t="shared" si="2"/>
        <v>316.66666666666669</v>
      </c>
      <c r="F34" s="2">
        <v>30</v>
      </c>
      <c r="G34" s="35">
        <v>0</v>
      </c>
      <c r="H34" s="2">
        <f t="shared" si="3"/>
        <v>30</v>
      </c>
      <c r="I34" s="17">
        <f t="shared" si="0"/>
        <v>9500</v>
      </c>
      <c r="J34" s="33">
        <f>2000+2000+350</f>
        <v>4350</v>
      </c>
      <c r="K34" s="96"/>
      <c r="L34" s="17">
        <f t="shared" si="4"/>
        <v>0</v>
      </c>
      <c r="M34" s="17"/>
      <c r="N34" s="17"/>
      <c r="O34" s="36">
        <f t="shared" si="1"/>
        <v>5150</v>
      </c>
      <c r="P34" s="2">
        <v>300</v>
      </c>
      <c r="Q34" s="81"/>
    </row>
    <row r="35" spans="2:19" ht="19.899999999999999" customHeight="1">
      <c r="B35" s="2">
        <v>31</v>
      </c>
      <c r="C35" s="13" t="s">
        <v>112</v>
      </c>
      <c r="D35" s="38">
        <f>3500+500+100</f>
        <v>4100</v>
      </c>
      <c r="E35" s="17">
        <f t="shared" si="2"/>
        <v>136.66666666666666</v>
      </c>
      <c r="F35" s="2">
        <v>30</v>
      </c>
      <c r="G35" s="35">
        <v>1</v>
      </c>
      <c r="H35" s="2">
        <f t="shared" si="3"/>
        <v>29</v>
      </c>
      <c r="I35" s="17">
        <f t="shared" si="0"/>
        <v>3963.3333333333335</v>
      </c>
      <c r="J35" s="33">
        <f>1000+500</f>
        <v>1500</v>
      </c>
      <c r="K35" s="96"/>
      <c r="L35" s="17">
        <f t="shared" si="4"/>
        <v>136.66666666666666</v>
      </c>
      <c r="M35" s="17"/>
      <c r="N35" s="17"/>
      <c r="O35" s="36">
        <f>SUM(I35-J35-M35-N35-K35)</f>
        <v>2463.3333333333335</v>
      </c>
      <c r="P35" s="2"/>
      <c r="Q35" s="81"/>
    </row>
    <row r="36" spans="2:19" ht="19.899999999999999" customHeight="1">
      <c r="B36" s="2">
        <v>12</v>
      </c>
      <c r="C36" s="13" t="s">
        <v>114</v>
      </c>
      <c r="D36" s="107">
        <f>12500+500</f>
        <v>13000</v>
      </c>
      <c r="E36" s="17">
        <f t="shared" si="2"/>
        <v>433.33333333333331</v>
      </c>
      <c r="F36" s="2">
        <v>30</v>
      </c>
      <c r="G36" s="35">
        <v>0</v>
      </c>
      <c r="H36" s="2">
        <f t="shared" si="3"/>
        <v>30</v>
      </c>
      <c r="I36" s="17">
        <f t="shared" si="0"/>
        <v>13000</v>
      </c>
      <c r="J36" s="33">
        <f>1000+500</f>
        <v>1500</v>
      </c>
      <c r="K36" s="18"/>
      <c r="L36" s="17">
        <f t="shared" si="4"/>
        <v>0</v>
      </c>
      <c r="M36" s="17"/>
      <c r="N36" s="17"/>
      <c r="O36" s="36">
        <f t="shared" si="1"/>
        <v>11500</v>
      </c>
      <c r="P36" s="2">
        <v>300</v>
      </c>
      <c r="Q36" s="81"/>
    </row>
    <row r="37" spans="2:19" ht="19.899999999999999" customHeight="1">
      <c r="B37" s="2">
        <v>33</v>
      </c>
      <c r="C37" s="13" t="s">
        <v>117</v>
      </c>
      <c r="D37" s="38">
        <f>2500+500</f>
        <v>3000</v>
      </c>
      <c r="E37" s="17">
        <f t="shared" si="2"/>
        <v>100</v>
      </c>
      <c r="F37" s="2">
        <v>30</v>
      </c>
      <c r="G37" s="35">
        <v>12</v>
      </c>
      <c r="H37" s="2">
        <f t="shared" si="3"/>
        <v>18</v>
      </c>
      <c r="I37" s="17">
        <f t="shared" si="0"/>
        <v>1800</v>
      </c>
      <c r="J37" s="86"/>
      <c r="K37" s="18"/>
      <c r="L37" s="17">
        <f t="shared" si="4"/>
        <v>1200</v>
      </c>
      <c r="M37" s="17"/>
      <c r="N37" s="17"/>
      <c r="O37" s="36">
        <f t="shared" si="1"/>
        <v>1800</v>
      </c>
      <c r="P37" s="2"/>
      <c r="Q37" s="81"/>
    </row>
    <row r="38" spans="2:19" ht="19.899999999999999" customHeight="1">
      <c r="B38" s="2">
        <v>34</v>
      </c>
      <c r="C38" s="13" t="s">
        <v>120</v>
      </c>
      <c r="D38" s="38">
        <f>2500+500</f>
        <v>3000</v>
      </c>
      <c r="E38" s="17">
        <f t="shared" si="2"/>
        <v>100</v>
      </c>
      <c r="F38" s="2">
        <v>30</v>
      </c>
      <c r="G38" s="35">
        <v>1</v>
      </c>
      <c r="H38" s="2">
        <f t="shared" si="3"/>
        <v>29</v>
      </c>
      <c r="I38" s="17">
        <f t="shared" si="0"/>
        <v>2900</v>
      </c>
      <c r="J38" s="86"/>
      <c r="K38" s="18"/>
      <c r="L38" s="17">
        <f t="shared" si="4"/>
        <v>100</v>
      </c>
      <c r="M38" s="17"/>
      <c r="N38" s="17"/>
      <c r="O38" s="36">
        <f t="shared" si="1"/>
        <v>2900</v>
      </c>
      <c r="P38" s="2"/>
      <c r="Q38" s="81"/>
    </row>
    <row r="39" spans="2:19" ht="19.899999999999999" customHeight="1">
      <c r="B39" s="2">
        <v>13</v>
      </c>
      <c r="C39" s="13" t="s">
        <v>126</v>
      </c>
      <c r="D39" s="107">
        <f>10000+500</f>
        <v>10500</v>
      </c>
      <c r="E39" s="17">
        <f t="shared" si="2"/>
        <v>350</v>
      </c>
      <c r="F39" s="2">
        <v>30</v>
      </c>
      <c r="G39" s="35">
        <v>0</v>
      </c>
      <c r="H39" s="2">
        <f t="shared" si="3"/>
        <v>30</v>
      </c>
      <c r="I39" s="17">
        <f>SUM(D39-L39)</f>
        <v>10500</v>
      </c>
      <c r="J39" s="86"/>
      <c r="K39" s="18"/>
      <c r="L39" s="17">
        <f t="shared" si="4"/>
        <v>0</v>
      </c>
      <c r="M39" s="17"/>
      <c r="N39" s="17"/>
      <c r="O39" s="36">
        <f t="shared" si="1"/>
        <v>10500</v>
      </c>
      <c r="P39" s="2">
        <v>300</v>
      </c>
      <c r="Q39" s="81"/>
    </row>
    <row r="40" spans="2:19" ht="19.899999999999999" customHeight="1">
      <c r="B40" s="2">
        <v>36</v>
      </c>
      <c r="C40" s="13" t="s">
        <v>130</v>
      </c>
      <c r="D40" s="38">
        <f>12000+500</f>
        <v>12500</v>
      </c>
      <c r="E40" s="17">
        <f t="shared" si="2"/>
        <v>416.66666666666669</v>
      </c>
      <c r="F40" s="2">
        <v>30</v>
      </c>
      <c r="G40" s="101">
        <v>1</v>
      </c>
      <c r="H40" s="2">
        <f t="shared" si="3"/>
        <v>29</v>
      </c>
      <c r="I40" s="17">
        <f t="shared" si="0"/>
        <v>12083.333333333334</v>
      </c>
      <c r="J40" s="86"/>
      <c r="K40" s="18"/>
      <c r="L40" s="17">
        <f t="shared" si="4"/>
        <v>416.66666666666669</v>
      </c>
      <c r="M40" s="17"/>
      <c r="N40" s="17"/>
      <c r="O40" s="36">
        <f t="shared" si="1"/>
        <v>12083.333333333334</v>
      </c>
      <c r="P40" s="2"/>
      <c r="Q40" s="81"/>
    </row>
    <row r="41" spans="2:19" ht="19.899999999999999" customHeight="1">
      <c r="B41" s="2">
        <v>37</v>
      </c>
      <c r="C41" s="66" t="s">
        <v>131</v>
      </c>
      <c r="D41" s="38">
        <f>2500+500</f>
        <v>3000</v>
      </c>
      <c r="E41" s="17">
        <f t="shared" si="2"/>
        <v>100</v>
      </c>
      <c r="F41" s="2">
        <v>30</v>
      </c>
      <c r="G41" s="35">
        <v>3.5</v>
      </c>
      <c r="H41" s="2">
        <f t="shared" si="3"/>
        <v>26.5</v>
      </c>
      <c r="I41" s="17">
        <f t="shared" si="0"/>
        <v>2650</v>
      </c>
      <c r="J41" s="88">
        <v>500</v>
      </c>
      <c r="K41" s="18"/>
      <c r="L41" s="17">
        <f t="shared" si="4"/>
        <v>350</v>
      </c>
      <c r="M41" s="17"/>
      <c r="N41" s="17"/>
      <c r="O41" s="36">
        <f t="shared" si="1"/>
        <v>2150</v>
      </c>
      <c r="P41" s="2"/>
      <c r="Q41" s="81"/>
      <c r="S41">
        <f>+E41/2</f>
        <v>50</v>
      </c>
    </row>
    <row r="42" spans="2:19" ht="19.899999999999999" customHeight="1">
      <c r="B42" s="2">
        <v>38</v>
      </c>
      <c r="C42" s="66" t="s">
        <v>147</v>
      </c>
      <c r="D42" s="38">
        <f>3500+1000</f>
        <v>4500</v>
      </c>
      <c r="E42" s="17">
        <f t="shared" si="2"/>
        <v>150</v>
      </c>
      <c r="F42" s="2">
        <v>30</v>
      </c>
      <c r="G42" s="35">
        <v>2</v>
      </c>
      <c r="H42" s="2">
        <f t="shared" si="3"/>
        <v>28</v>
      </c>
      <c r="I42" s="17">
        <f t="shared" ref="I42:I43" si="5">SUM(D42-L42)</f>
        <v>4200</v>
      </c>
      <c r="J42" s="88">
        <v>1500</v>
      </c>
      <c r="K42" s="18">
        <v>16</v>
      </c>
      <c r="L42" s="17">
        <f t="shared" si="4"/>
        <v>300</v>
      </c>
      <c r="M42" s="17"/>
      <c r="N42" s="17"/>
      <c r="O42" s="36">
        <f t="shared" si="1"/>
        <v>2684</v>
      </c>
      <c r="P42" s="2"/>
      <c r="Q42" s="81">
        <v>1</v>
      </c>
      <c r="R42" s="1">
        <f>+E42/9.5*Q42</f>
        <v>15.789473684210526</v>
      </c>
    </row>
    <row r="43" spans="2:19" ht="19.899999999999999" customHeight="1">
      <c r="B43" s="2">
        <v>14</v>
      </c>
      <c r="C43" s="66" t="s">
        <v>151</v>
      </c>
      <c r="D43" s="107">
        <v>5000</v>
      </c>
      <c r="E43" s="17">
        <f t="shared" si="2"/>
        <v>166.66666666666666</v>
      </c>
      <c r="F43" s="2">
        <v>30</v>
      </c>
      <c r="G43" s="35">
        <v>0</v>
      </c>
      <c r="H43" s="2">
        <f t="shared" si="3"/>
        <v>30</v>
      </c>
      <c r="I43" s="17">
        <f t="shared" si="5"/>
        <v>5000</v>
      </c>
      <c r="J43" s="87"/>
      <c r="K43" s="18"/>
      <c r="L43" s="17">
        <f t="shared" si="4"/>
        <v>0</v>
      </c>
      <c r="M43" s="17"/>
      <c r="N43" s="17"/>
      <c r="O43" s="36">
        <f t="shared" si="1"/>
        <v>5000</v>
      </c>
      <c r="P43" s="2">
        <v>300</v>
      </c>
      <c r="Q43" s="81"/>
    </row>
    <row r="44" spans="2:19" ht="19.899999999999999" customHeight="1">
      <c r="B44" s="2">
        <v>40</v>
      </c>
      <c r="C44" s="13" t="s">
        <v>50</v>
      </c>
      <c r="D44" s="11">
        <f>6700+800</f>
        <v>7500</v>
      </c>
      <c r="E44" s="4">
        <f t="shared" si="2"/>
        <v>250</v>
      </c>
      <c r="F44" s="2">
        <v>30</v>
      </c>
      <c r="G44" s="2">
        <v>6.5</v>
      </c>
      <c r="H44" s="2">
        <f t="shared" si="3"/>
        <v>23.5</v>
      </c>
      <c r="I44" s="4">
        <f>SUM(D44-L44)</f>
        <v>5875</v>
      </c>
      <c r="J44" s="33">
        <v>1500</v>
      </c>
      <c r="K44" s="46"/>
      <c r="L44" s="4">
        <f t="shared" si="4"/>
        <v>1625</v>
      </c>
      <c r="M44" s="4"/>
      <c r="N44" s="4"/>
      <c r="O44" s="104">
        <f t="shared" si="1"/>
        <v>4375</v>
      </c>
      <c r="P44" s="2"/>
      <c r="Q44" s="81"/>
    </row>
    <row r="45" spans="2:19" ht="19.899999999999999" customHeight="1">
      <c r="B45" s="2">
        <v>15</v>
      </c>
      <c r="C45" s="13" t="s">
        <v>159</v>
      </c>
      <c r="D45" s="11">
        <v>10000</v>
      </c>
      <c r="E45" s="4">
        <f t="shared" si="2"/>
        <v>333.33333333333331</v>
      </c>
      <c r="F45" s="2">
        <v>30</v>
      </c>
      <c r="G45" s="2">
        <v>0.5</v>
      </c>
      <c r="H45" s="2">
        <f t="shared" si="3"/>
        <v>29.5</v>
      </c>
      <c r="I45" s="4">
        <f>SUM(D45-L45)</f>
        <v>9833.3333333333339</v>
      </c>
      <c r="J45" s="33">
        <f>2500+600+1500+500+250</f>
        <v>5350</v>
      </c>
      <c r="K45" s="46">
        <v>88</v>
      </c>
      <c r="L45" s="4">
        <f>SUM(G45*E45)</f>
        <v>166.66666666666666</v>
      </c>
      <c r="M45" s="4"/>
      <c r="N45" s="4"/>
      <c r="O45" s="104">
        <f>SUM(I45-J45-M45-N45-K45)</f>
        <v>4395.3333333333339</v>
      </c>
      <c r="P45" s="2">
        <v>250</v>
      </c>
      <c r="Q45" s="2">
        <v>2.5</v>
      </c>
      <c r="R45" s="1">
        <f>+E45/9.5*Q45</f>
        <v>87.719298245614027</v>
      </c>
    </row>
    <row r="46" spans="2:19" ht="19.899999999999999" customHeight="1">
      <c r="B46" s="2">
        <v>42</v>
      </c>
      <c r="C46" s="13" t="s">
        <v>188</v>
      </c>
      <c r="D46" s="11">
        <v>4250</v>
      </c>
      <c r="E46" s="4">
        <f t="shared" si="2"/>
        <v>141.66666666666666</v>
      </c>
      <c r="F46" s="2">
        <v>30</v>
      </c>
      <c r="G46" s="3">
        <v>2</v>
      </c>
      <c r="H46" s="2">
        <f t="shared" si="3"/>
        <v>28</v>
      </c>
      <c r="I46" s="4">
        <f>SUM(D46-L46)</f>
        <v>3966.6666666666665</v>
      </c>
      <c r="J46" s="33"/>
      <c r="K46" s="46"/>
      <c r="L46" s="4">
        <f>SUM(G46*E46)</f>
        <v>283.33333333333331</v>
      </c>
      <c r="M46" s="4"/>
      <c r="N46" s="4"/>
      <c r="O46" s="104">
        <f t="shared" ref="O46:O48" si="6">SUM(I46-J46-M46-N46-K46)</f>
        <v>3966.6666666666665</v>
      </c>
      <c r="P46" s="2"/>
      <c r="Q46" s="2"/>
    </row>
    <row r="47" spans="2:19" ht="19.899999999999999" customHeight="1">
      <c r="B47" s="2">
        <v>16</v>
      </c>
      <c r="C47" s="13" t="s">
        <v>186</v>
      </c>
      <c r="D47" s="11">
        <v>20000</v>
      </c>
      <c r="E47" s="4">
        <f>SUM(D47/30)</f>
        <v>666.66666666666663</v>
      </c>
      <c r="F47" s="2">
        <v>30</v>
      </c>
      <c r="G47" s="2">
        <v>0</v>
      </c>
      <c r="H47" s="2">
        <f t="shared" si="3"/>
        <v>30</v>
      </c>
      <c r="I47" s="4">
        <f>SUM(D47-L47)</f>
        <v>20000</v>
      </c>
      <c r="J47" s="33">
        <v>5000</v>
      </c>
      <c r="K47" s="46"/>
      <c r="L47" s="4">
        <f>SUM(G47*E47)</f>
        <v>0</v>
      </c>
      <c r="M47" s="4"/>
      <c r="N47" s="4"/>
      <c r="O47" s="104">
        <f t="shared" si="6"/>
        <v>15000</v>
      </c>
      <c r="P47" s="2"/>
      <c r="Q47" s="2"/>
    </row>
    <row r="48" spans="2:19" ht="19.899999999999999" customHeight="1">
      <c r="B48" s="2">
        <v>44</v>
      </c>
      <c r="C48" s="13" t="s">
        <v>187</v>
      </c>
      <c r="D48" s="11">
        <v>7000</v>
      </c>
      <c r="E48" s="4">
        <f t="shared" si="2"/>
        <v>233.33333333333334</v>
      </c>
      <c r="F48" s="2">
        <v>30</v>
      </c>
      <c r="G48" s="2">
        <v>2</v>
      </c>
      <c r="H48" s="2">
        <f t="shared" si="3"/>
        <v>28</v>
      </c>
      <c r="I48" s="4">
        <f>SUM(D48-L48)</f>
        <v>6533.333333333333</v>
      </c>
      <c r="J48" s="33">
        <v>1000</v>
      </c>
      <c r="K48" s="46"/>
      <c r="L48" s="4">
        <f>SUM(G48*E48)</f>
        <v>466.66666666666669</v>
      </c>
      <c r="M48" s="4"/>
      <c r="N48" s="4"/>
      <c r="O48" s="104">
        <f t="shared" si="6"/>
        <v>5533.333333333333</v>
      </c>
      <c r="P48" s="46"/>
      <c r="Q48" s="2"/>
      <c r="S48">
        <f>+E48/2</f>
        <v>116.66666666666667</v>
      </c>
    </row>
    <row r="49" spans="2:17" ht="19.899999999999999" customHeight="1">
      <c r="B49" s="82"/>
      <c r="C49" s="48" t="s">
        <v>40</v>
      </c>
      <c r="D49" s="57">
        <f>SUM(D4:D48)</f>
        <v>286650</v>
      </c>
      <c r="E49" s="54"/>
      <c r="F49" s="55"/>
      <c r="G49" s="57">
        <f>SUM(G4:G48)</f>
        <v>73.5</v>
      </c>
      <c r="H49" s="55"/>
      <c r="I49" s="57">
        <f>SUM(I4:I48)</f>
        <v>273971.66666666669</v>
      </c>
      <c r="J49" s="57">
        <f t="shared" ref="J49:O49" si="7">SUM(J4:J48)</f>
        <v>42100</v>
      </c>
      <c r="K49" s="57">
        <f t="shared" si="7"/>
        <v>423</v>
      </c>
      <c r="L49" s="57">
        <f t="shared" si="7"/>
        <v>12678.333333333334</v>
      </c>
      <c r="M49" s="57">
        <f t="shared" si="7"/>
        <v>1260</v>
      </c>
      <c r="N49" s="57">
        <f t="shared" si="7"/>
        <v>265</v>
      </c>
      <c r="O49" s="99">
        <f t="shared" si="7"/>
        <v>229923.66666666672</v>
      </c>
      <c r="P49" s="110">
        <f>SUBTOTAL(9,P6:P48)</f>
        <v>3950</v>
      </c>
      <c r="Q49" s="110"/>
    </row>
    <row r="50" spans="2:17" ht="19.899999999999999" customHeight="1" thickBot="1">
      <c r="B50" s="3"/>
      <c r="C50" s="48"/>
      <c r="D50" s="21"/>
      <c r="E50" s="23"/>
      <c r="F50" s="12"/>
      <c r="G50" s="54"/>
      <c r="H50" s="12"/>
      <c r="I50" s="21"/>
      <c r="J50" s="50"/>
      <c r="K50" s="50"/>
      <c r="L50" s="50"/>
      <c r="M50" s="51"/>
      <c r="N50" s="51"/>
      <c r="O50" s="51"/>
      <c r="P50" s="110"/>
      <c r="Q50" s="110"/>
    </row>
    <row r="51" spans="2:17">
      <c r="B51" s="83"/>
      <c r="F51" s="2"/>
      <c r="H51" s="43"/>
      <c r="K51" s="47"/>
    </row>
    <row r="52" spans="2:17" ht="26.25">
      <c r="C52" s="26"/>
      <c r="D52" s="26"/>
      <c r="E52" s="26"/>
      <c r="F52" s="26"/>
      <c r="G52" s="26" t="s">
        <v>122</v>
      </c>
      <c r="H52" s="26"/>
      <c r="I52" s="26"/>
      <c r="J52" s="26"/>
      <c r="K52" s="76"/>
      <c r="L52" s="26" t="s">
        <v>92</v>
      </c>
      <c r="M52" s="26"/>
      <c r="N52" s="26"/>
    </row>
    <row r="53" spans="2:17" ht="26.25">
      <c r="B53" s="2"/>
      <c r="C53" s="2" t="s">
        <v>183</v>
      </c>
      <c r="D53" s="26"/>
      <c r="E53" s="26"/>
      <c r="F53" s="26"/>
      <c r="G53" s="106"/>
      <c r="H53" s="26"/>
      <c r="I53" s="26"/>
      <c r="J53" s="26"/>
      <c r="K53" s="26"/>
      <c r="L53" s="26"/>
      <c r="M53" s="26"/>
      <c r="N53" s="26"/>
      <c r="P53" s="2">
        <f>SUM(P4:P47)</f>
        <v>4250</v>
      </c>
    </row>
    <row r="54" spans="2:17" ht="24">
      <c r="B54" s="1"/>
      <c r="C54" s="108" t="s">
        <v>183</v>
      </c>
      <c r="G54" s="2"/>
      <c r="H54" s="43"/>
      <c r="J54" s="43"/>
      <c r="K54" s="43"/>
      <c r="L54" s="43"/>
      <c r="P54" s="2">
        <f>SUM(P4:P47)</f>
        <v>4250</v>
      </c>
    </row>
    <row r="55" spans="2:17" ht="26.25">
      <c r="B55" s="1"/>
      <c r="C55" s="26"/>
      <c r="H55" s="43"/>
      <c r="J55" s="43"/>
      <c r="K55" s="43"/>
      <c r="L55" s="43"/>
    </row>
    <row r="56" spans="2:17" ht="26.25">
      <c r="B56" s="1"/>
      <c r="H56" s="26"/>
      <c r="K56" s="43"/>
    </row>
    <row r="57" spans="2:17">
      <c r="J57" s="43"/>
    </row>
  </sheetData>
  <autoFilter ref="B2:S54">
    <filterColumn colId="5"/>
  </autoFilter>
  <mergeCells count="2">
    <mergeCell ref="P49:P50"/>
    <mergeCell ref="Q49:Q50"/>
  </mergeCells>
  <pageMargins left="0.12" right="0.11" top="0.32" bottom="0.32" header="0.3" footer="0.3"/>
  <pageSetup scale="94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T57"/>
  <sheetViews>
    <sheetView topLeftCell="A37" workbookViewId="0">
      <selection activeCell="M49" sqref="M49"/>
    </sheetView>
  </sheetViews>
  <sheetFormatPr defaultRowHeight="15"/>
  <cols>
    <col min="1" max="1" width="0.140625" customWidth="1"/>
    <col min="2" max="2" width="4.7109375" bestFit="1" customWidth="1"/>
    <col min="3" max="3" width="18.42578125" customWidth="1"/>
    <col min="4" max="4" width="9.5703125" customWidth="1"/>
    <col min="5" max="5" width="10.5703125" customWidth="1"/>
    <col min="6" max="6" width="8.42578125" customWidth="1"/>
    <col min="7" max="7" width="7.28515625" customWidth="1"/>
    <col min="8" max="8" width="11" customWidth="1"/>
    <col min="9" max="9" width="9.5703125" customWidth="1"/>
    <col min="10" max="10" width="8.5703125" customWidth="1"/>
    <col min="11" max="12" width="8.7109375" customWidth="1"/>
    <col min="13" max="13" width="11.7109375" customWidth="1"/>
    <col min="14" max="14" width="6.5703125" customWidth="1"/>
    <col min="15" max="15" width="9.5703125" customWidth="1"/>
    <col min="16" max="16" width="11.7109375" bestFit="1" customWidth="1"/>
    <col min="17" max="17" width="18.7109375" customWidth="1"/>
  </cols>
  <sheetData>
    <row r="1" spans="2:20">
      <c r="C1" s="6"/>
    </row>
    <row r="2" spans="2:20" ht="36">
      <c r="C2" s="79">
        <v>42430</v>
      </c>
      <c r="D2" t="s">
        <v>41</v>
      </c>
      <c r="E2" s="8" t="s">
        <v>158</v>
      </c>
      <c r="F2" s="8"/>
      <c r="G2" s="8"/>
      <c r="H2" s="9"/>
      <c r="I2" s="5"/>
      <c r="J2" s="5"/>
      <c r="K2" s="5"/>
      <c r="P2" t="s">
        <v>152</v>
      </c>
      <c r="Q2" t="s">
        <v>105</v>
      </c>
    </row>
    <row r="3" spans="2:20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" t="s">
        <v>105</v>
      </c>
      <c r="Q3" s="1"/>
      <c r="R3" s="1"/>
      <c r="S3" s="1"/>
      <c r="T3" s="1"/>
    </row>
    <row r="4" spans="2:20" ht="19.899999999999999" customHeight="1">
      <c r="B4" s="2">
        <v>1</v>
      </c>
      <c r="C4" s="13" t="s">
        <v>45</v>
      </c>
      <c r="D4" s="11">
        <v>11700</v>
      </c>
      <c r="E4" s="4">
        <f>SUM(D4/30)</f>
        <v>390</v>
      </c>
      <c r="F4" s="2">
        <v>31</v>
      </c>
      <c r="G4" s="33">
        <v>1</v>
      </c>
      <c r="H4" s="2">
        <f>30-G4</f>
        <v>29</v>
      </c>
      <c r="I4" s="4">
        <f>SUM(D4-L4)</f>
        <v>11310</v>
      </c>
      <c r="J4" s="33">
        <f>2000+2000</f>
        <v>4000</v>
      </c>
      <c r="K4" s="2"/>
      <c r="L4" s="4">
        <f>SUM(G4*E4)</f>
        <v>390</v>
      </c>
      <c r="M4" s="4">
        <v>252</v>
      </c>
      <c r="N4" s="2">
        <v>53</v>
      </c>
      <c r="O4" s="36">
        <f>SUM(I4-J4-M4-N4-K4)</f>
        <v>7005</v>
      </c>
      <c r="P4" s="2"/>
      <c r="Q4" s="81"/>
      <c r="R4" s="1">
        <v>3000</v>
      </c>
      <c r="S4" s="1"/>
      <c r="T4" s="1"/>
    </row>
    <row r="5" spans="2:20" ht="19.899999999999999" customHeight="1">
      <c r="B5" s="2">
        <v>2</v>
      </c>
      <c r="C5" s="13" t="s">
        <v>7</v>
      </c>
      <c r="D5" s="11">
        <v>10200</v>
      </c>
      <c r="E5" s="4">
        <f>SUM(D5/30)</f>
        <v>340</v>
      </c>
      <c r="F5" s="2">
        <v>31</v>
      </c>
      <c r="G5" s="33">
        <v>2</v>
      </c>
      <c r="H5" s="2">
        <f>30-G5</f>
        <v>28</v>
      </c>
      <c r="I5" s="4">
        <f t="shared" ref="I5:I46" si="0">SUM(D5-L5)</f>
        <v>9520</v>
      </c>
      <c r="J5" s="33">
        <f>2000+2000</f>
        <v>4000</v>
      </c>
      <c r="K5" s="2"/>
      <c r="L5" s="4">
        <f>SUM(G5*E5)</f>
        <v>680</v>
      </c>
      <c r="M5" s="4">
        <v>252</v>
      </c>
      <c r="N5" s="2">
        <v>53</v>
      </c>
      <c r="O5" s="36">
        <f t="shared" ref="O5:O47" si="1">SUM(I5-J5-M5-N5-K5)</f>
        <v>5215</v>
      </c>
      <c r="P5" s="2"/>
      <c r="Q5" s="81"/>
      <c r="R5" s="1">
        <v>3000</v>
      </c>
      <c r="S5" s="1"/>
      <c r="T5" s="1"/>
    </row>
    <row r="6" spans="2:20" ht="19.899999999999999" customHeight="1">
      <c r="B6" s="2">
        <v>1</v>
      </c>
      <c r="C6" s="13" t="s">
        <v>46</v>
      </c>
      <c r="D6" s="11">
        <v>9500</v>
      </c>
      <c r="E6" s="4">
        <f t="shared" ref="E6:E48" si="2">SUM(D6/30)</f>
        <v>316.66666666666669</v>
      </c>
      <c r="F6" s="2">
        <v>31</v>
      </c>
      <c r="G6" s="33">
        <v>0</v>
      </c>
      <c r="H6" s="2">
        <f t="shared" ref="H6:H47" si="3">30-G6</f>
        <v>30</v>
      </c>
      <c r="I6" s="4">
        <f t="shared" si="0"/>
        <v>9500</v>
      </c>
      <c r="J6" s="86"/>
      <c r="K6" s="2"/>
      <c r="L6" s="4">
        <f t="shared" ref="L6:L46" si="4">SUM(G6*E6)</f>
        <v>0</v>
      </c>
      <c r="M6" s="4">
        <v>252</v>
      </c>
      <c r="N6" s="2">
        <v>53</v>
      </c>
      <c r="O6" s="36">
        <f t="shared" si="1"/>
        <v>9195</v>
      </c>
      <c r="P6" s="2">
        <v>300</v>
      </c>
      <c r="Q6" s="81"/>
      <c r="R6" s="41">
        <v>3000</v>
      </c>
      <c r="S6" s="41"/>
      <c r="T6" s="1"/>
    </row>
    <row r="7" spans="2:20" ht="19.899999999999999" customHeight="1">
      <c r="B7" s="2">
        <v>2</v>
      </c>
      <c r="C7" s="13" t="s">
        <v>47</v>
      </c>
      <c r="D7" s="11">
        <v>8400</v>
      </c>
      <c r="E7" s="4">
        <f t="shared" si="2"/>
        <v>280</v>
      </c>
      <c r="F7" s="2">
        <v>31</v>
      </c>
      <c r="G7" s="34">
        <v>0.5</v>
      </c>
      <c r="H7" s="2">
        <f t="shared" si="3"/>
        <v>29.5</v>
      </c>
      <c r="I7" s="4">
        <f t="shared" si="0"/>
        <v>8260</v>
      </c>
      <c r="J7" s="86">
        <v>2000</v>
      </c>
      <c r="K7" s="2"/>
      <c r="L7" s="4">
        <f t="shared" si="4"/>
        <v>140</v>
      </c>
      <c r="M7" s="4">
        <v>252</v>
      </c>
      <c r="N7" s="2">
        <v>53</v>
      </c>
      <c r="O7" s="36">
        <f t="shared" si="1"/>
        <v>5955</v>
      </c>
      <c r="P7" s="2">
        <v>250</v>
      </c>
      <c r="Q7" s="81"/>
      <c r="R7" s="109">
        <v>3000</v>
      </c>
      <c r="S7" s="1"/>
      <c r="T7" s="1"/>
    </row>
    <row r="8" spans="2:20" ht="19.899999999999999" customHeight="1">
      <c r="B8" s="2">
        <v>5</v>
      </c>
      <c r="C8" s="13" t="s">
        <v>139</v>
      </c>
      <c r="D8" s="11">
        <v>7800</v>
      </c>
      <c r="E8" s="4">
        <f t="shared" si="2"/>
        <v>260</v>
      </c>
      <c r="F8" s="2">
        <v>31</v>
      </c>
      <c r="G8" s="34">
        <v>26</v>
      </c>
      <c r="H8" s="2">
        <f t="shared" si="3"/>
        <v>4</v>
      </c>
      <c r="I8" s="4">
        <f t="shared" si="0"/>
        <v>1040</v>
      </c>
      <c r="J8" s="33"/>
      <c r="K8" s="2"/>
      <c r="L8" s="4">
        <f t="shared" si="4"/>
        <v>6760</v>
      </c>
      <c r="M8" s="4"/>
      <c r="N8" s="4"/>
      <c r="O8" s="36">
        <f t="shared" si="1"/>
        <v>1040</v>
      </c>
      <c r="P8" s="2"/>
      <c r="Q8" s="98"/>
      <c r="R8" s="1"/>
      <c r="S8" s="1"/>
      <c r="T8" s="1"/>
    </row>
    <row r="9" spans="2:20" ht="19.899999999999999" customHeight="1">
      <c r="B9" s="2">
        <v>6</v>
      </c>
      <c r="C9" s="13" t="s">
        <v>48</v>
      </c>
      <c r="D9" s="11">
        <v>7050</v>
      </c>
      <c r="E9" s="4">
        <f t="shared" si="2"/>
        <v>235</v>
      </c>
      <c r="F9" s="2">
        <v>31</v>
      </c>
      <c r="G9" s="34">
        <v>3</v>
      </c>
      <c r="H9" s="2">
        <f t="shared" si="3"/>
        <v>27</v>
      </c>
      <c r="I9" s="4">
        <f t="shared" si="0"/>
        <v>6345</v>
      </c>
      <c r="J9" s="33">
        <f>500+500</f>
        <v>1000</v>
      </c>
      <c r="K9" s="46">
        <f>+E9/9.5*1.5</f>
        <v>37.10526315789474</v>
      </c>
      <c r="L9" s="4">
        <f t="shared" si="4"/>
        <v>705</v>
      </c>
      <c r="M9" s="4"/>
      <c r="N9" s="4"/>
      <c r="O9" s="36">
        <f t="shared" si="1"/>
        <v>5307.894736842105</v>
      </c>
      <c r="P9" s="2"/>
      <c r="Q9" s="81">
        <v>1.5</v>
      </c>
      <c r="R9" s="1"/>
      <c r="S9" s="1"/>
      <c r="T9" s="1"/>
    </row>
    <row r="10" spans="2:20" ht="19.899999999999999" customHeight="1">
      <c r="B10" s="2">
        <v>7</v>
      </c>
      <c r="C10" s="13" t="s">
        <v>140</v>
      </c>
      <c r="D10" s="11">
        <v>10000</v>
      </c>
      <c r="E10" s="4">
        <f t="shared" si="2"/>
        <v>333.33333333333331</v>
      </c>
      <c r="F10" s="2">
        <v>31</v>
      </c>
      <c r="G10" s="33">
        <v>2</v>
      </c>
      <c r="H10" s="2">
        <f t="shared" si="3"/>
        <v>28</v>
      </c>
      <c r="I10" s="4">
        <f t="shared" si="0"/>
        <v>9333.3333333333339</v>
      </c>
      <c r="J10" s="86"/>
      <c r="K10" s="2"/>
      <c r="L10" s="4">
        <f t="shared" si="4"/>
        <v>666.66666666666663</v>
      </c>
      <c r="M10" s="4"/>
      <c r="N10" s="4"/>
      <c r="O10" s="36">
        <f t="shared" si="1"/>
        <v>9333.3333333333339</v>
      </c>
      <c r="P10" s="2"/>
      <c r="Q10" s="81"/>
      <c r="R10" s="1"/>
      <c r="S10" s="1"/>
      <c r="T10" s="1"/>
    </row>
    <row r="11" spans="2:20" ht="19.899999999999999" customHeight="1">
      <c r="B11" s="2">
        <v>3</v>
      </c>
      <c r="C11" s="13" t="s">
        <v>107</v>
      </c>
      <c r="D11" s="11">
        <v>4700</v>
      </c>
      <c r="E11" s="4">
        <f t="shared" si="2"/>
        <v>156.66666666666666</v>
      </c>
      <c r="F11" s="2">
        <v>31</v>
      </c>
      <c r="G11" s="34">
        <v>0.5</v>
      </c>
      <c r="H11" s="2">
        <f t="shared" si="3"/>
        <v>29.5</v>
      </c>
      <c r="I11" s="4">
        <f t="shared" si="0"/>
        <v>4621.666666666667</v>
      </c>
      <c r="J11" s="86"/>
      <c r="K11" s="46">
        <f>+E11/8.3*0.75</f>
        <v>14.156626506024093</v>
      </c>
      <c r="L11" s="4">
        <f t="shared" si="4"/>
        <v>78.333333333333329</v>
      </c>
      <c r="M11" s="4"/>
      <c r="N11" s="4"/>
      <c r="O11" s="36">
        <f t="shared" si="1"/>
        <v>4607.5100401606433</v>
      </c>
      <c r="P11" s="2">
        <v>250</v>
      </c>
      <c r="Q11" s="81"/>
      <c r="R11" s="1"/>
      <c r="S11" s="1"/>
      <c r="T11" s="1"/>
    </row>
    <row r="12" spans="2:20" ht="19.899999999999999" customHeight="1">
      <c r="B12" s="2">
        <v>4</v>
      </c>
      <c r="C12" s="13" t="s">
        <v>16</v>
      </c>
      <c r="D12" s="11">
        <v>4300</v>
      </c>
      <c r="E12" s="4">
        <f t="shared" si="2"/>
        <v>143.33333333333334</v>
      </c>
      <c r="F12" s="2">
        <v>31</v>
      </c>
      <c r="G12" s="33">
        <v>0</v>
      </c>
      <c r="H12" s="2">
        <f t="shared" si="3"/>
        <v>30</v>
      </c>
      <c r="I12" s="4">
        <f t="shared" si="0"/>
        <v>4300</v>
      </c>
      <c r="J12" s="86"/>
      <c r="K12" s="2"/>
      <c r="L12" s="4">
        <f t="shared" si="4"/>
        <v>0</v>
      </c>
      <c r="M12" s="4"/>
      <c r="N12" s="4"/>
      <c r="O12" s="36">
        <f t="shared" si="1"/>
        <v>4300</v>
      </c>
      <c r="P12" s="2">
        <v>300</v>
      </c>
      <c r="Q12" s="81"/>
      <c r="R12" s="1"/>
      <c r="S12" s="1"/>
      <c r="T12" s="1"/>
    </row>
    <row r="13" spans="2:20" ht="19.899999999999999" customHeight="1">
      <c r="B13" s="2">
        <v>10</v>
      </c>
      <c r="C13" s="13" t="s">
        <v>142</v>
      </c>
      <c r="D13" s="11">
        <v>3850</v>
      </c>
      <c r="E13" s="4">
        <f t="shared" si="2"/>
        <v>128.33333333333334</v>
      </c>
      <c r="F13" s="2">
        <v>31</v>
      </c>
      <c r="G13" s="33">
        <v>2.5</v>
      </c>
      <c r="H13" s="2">
        <f t="shared" si="3"/>
        <v>27.5</v>
      </c>
      <c r="I13" s="4">
        <f t="shared" si="0"/>
        <v>3529.1666666666665</v>
      </c>
      <c r="J13" s="86"/>
      <c r="K13" s="2"/>
      <c r="L13" s="4">
        <f t="shared" si="4"/>
        <v>320.83333333333337</v>
      </c>
      <c r="M13" s="4"/>
      <c r="N13" s="4"/>
      <c r="O13" s="36">
        <f t="shared" si="1"/>
        <v>3529.1666666666665</v>
      </c>
      <c r="P13" s="2"/>
      <c r="Q13" s="81"/>
      <c r="R13" s="1"/>
      <c r="S13" s="1"/>
      <c r="T13" s="1"/>
    </row>
    <row r="14" spans="2:20" ht="19.899999999999999" customHeight="1">
      <c r="B14" s="2">
        <v>5</v>
      </c>
      <c r="C14" s="13" t="s">
        <v>143</v>
      </c>
      <c r="D14" s="11">
        <v>4450</v>
      </c>
      <c r="E14" s="4">
        <f t="shared" si="2"/>
        <v>148.33333333333334</v>
      </c>
      <c r="F14" s="2">
        <v>31</v>
      </c>
      <c r="G14" s="33">
        <v>0.5</v>
      </c>
      <c r="H14" s="2">
        <f t="shared" si="3"/>
        <v>29.5</v>
      </c>
      <c r="I14" s="4">
        <f t="shared" si="0"/>
        <v>4375.833333333333</v>
      </c>
      <c r="J14" s="86"/>
      <c r="K14" s="2"/>
      <c r="L14" s="4">
        <f t="shared" si="4"/>
        <v>74.166666666666671</v>
      </c>
      <c r="M14" s="4"/>
      <c r="N14" s="4"/>
      <c r="O14" s="36">
        <f t="shared" si="1"/>
        <v>4375.833333333333</v>
      </c>
      <c r="P14" s="2">
        <v>250</v>
      </c>
      <c r="Q14" s="81"/>
      <c r="R14" s="1"/>
      <c r="S14" s="1"/>
      <c r="T14" s="1"/>
    </row>
    <row r="15" spans="2:20" ht="19.899999999999999" customHeight="1">
      <c r="B15" s="2">
        <v>6</v>
      </c>
      <c r="C15" s="13" t="s">
        <v>58</v>
      </c>
      <c r="D15" s="11">
        <v>3850</v>
      </c>
      <c r="E15" s="4">
        <f t="shared" si="2"/>
        <v>128.33333333333334</v>
      </c>
      <c r="F15" s="2">
        <v>31</v>
      </c>
      <c r="G15" s="33">
        <v>0</v>
      </c>
      <c r="H15" s="2">
        <f t="shared" si="3"/>
        <v>30</v>
      </c>
      <c r="I15" s="4">
        <f t="shared" si="0"/>
        <v>3850</v>
      </c>
      <c r="J15" s="86"/>
      <c r="K15" s="2"/>
      <c r="L15" s="4">
        <f t="shared" si="4"/>
        <v>0</v>
      </c>
      <c r="M15" s="4"/>
      <c r="N15" s="4"/>
      <c r="O15" s="36">
        <f t="shared" si="1"/>
        <v>3850</v>
      </c>
      <c r="P15" s="2">
        <v>300</v>
      </c>
      <c r="Q15" s="81"/>
      <c r="R15" s="1"/>
      <c r="S15" s="1"/>
      <c r="T15" s="1"/>
    </row>
    <row r="16" spans="2:20" ht="19.899999999999999" customHeight="1">
      <c r="B16" s="2">
        <v>13</v>
      </c>
      <c r="C16" s="13" t="s">
        <v>54</v>
      </c>
      <c r="D16" s="11">
        <v>4250</v>
      </c>
      <c r="E16" s="4">
        <f t="shared" si="2"/>
        <v>141.66666666666666</v>
      </c>
      <c r="F16" s="2">
        <v>31</v>
      </c>
      <c r="G16" s="33">
        <v>2</v>
      </c>
      <c r="H16" s="2">
        <f t="shared" si="3"/>
        <v>28</v>
      </c>
      <c r="I16" s="4">
        <f t="shared" si="0"/>
        <v>3966.6666666666665</v>
      </c>
      <c r="J16" s="86">
        <v>3000</v>
      </c>
      <c r="K16" s="2"/>
      <c r="L16" s="4">
        <f t="shared" si="4"/>
        <v>283.33333333333331</v>
      </c>
      <c r="M16" s="4"/>
      <c r="N16" s="4"/>
      <c r="O16" s="36">
        <f t="shared" si="1"/>
        <v>966.66666666666652</v>
      </c>
      <c r="P16" s="2"/>
      <c r="Q16" s="81"/>
      <c r="R16" s="1"/>
      <c r="S16" s="1"/>
      <c r="T16" s="1"/>
    </row>
    <row r="17" spans="2:20" ht="19.899999999999999" customHeight="1">
      <c r="B17" s="2">
        <v>14</v>
      </c>
      <c r="C17" s="13" t="s">
        <v>53</v>
      </c>
      <c r="D17" s="11">
        <v>3800</v>
      </c>
      <c r="E17" s="4">
        <f t="shared" si="2"/>
        <v>126.66666666666667</v>
      </c>
      <c r="F17" s="2">
        <v>31</v>
      </c>
      <c r="G17" s="34">
        <v>1</v>
      </c>
      <c r="H17" s="2">
        <f t="shared" si="3"/>
        <v>29</v>
      </c>
      <c r="I17" s="4">
        <f t="shared" si="0"/>
        <v>3673.3333333333335</v>
      </c>
      <c r="J17" s="86"/>
      <c r="K17" s="2"/>
      <c r="L17" s="4">
        <f t="shared" si="4"/>
        <v>126.66666666666667</v>
      </c>
      <c r="M17" s="4"/>
      <c r="N17" s="4"/>
      <c r="O17" s="36">
        <f t="shared" si="1"/>
        <v>3673.3333333333335</v>
      </c>
      <c r="P17" s="2"/>
      <c r="Q17" s="81"/>
      <c r="R17" s="1"/>
      <c r="S17" s="1"/>
      <c r="T17" s="1"/>
    </row>
    <row r="18" spans="2:20" ht="19.899999999999999" customHeight="1">
      <c r="B18" s="2">
        <v>15</v>
      </c>
      <c r="C18" s="13" t="s">
        <v>10</v>
      </c>
      <c r="D18" s="11">
        <v>7100</v>
      </c>
      <c r="E18" s="4">
        <f>SUM(D18/30)</f>
        <v>236.66666666666666</v>
      </c>
      <c r="F18" s="2">
        <v>31</v>
      </c>
      <c r="G18" s="34">
        <v>4</v>
      </c>
      <c r="H18" s="2">
        <f t="shared" si="3"/>
        <v>26</v>
      </c>
      <c r="I18" s="4">
        <f t="shared" si="0"/>
        <v>6153.333333333333</v>
      </c>
      <c r="J18" s="33">
        <f>1500+1500</f>
        <v>3000</v>
      </c>
      <c r="K18" s="2"/>
      <c r="L18" s="4">
        <f>SUM(G18*E18)</f>
        <v>946.66666666666663</v>
      </c>
      <c r="M18" s="4"/>
      <c r="N18" s="4"/>
      <c r="O18" s="36">
        <f t="shared" si="1"/>
        <v>3153.333333333333</v>
      </c>
      <c r="P18" s="2"/>
      <c r="Q18" s="81"/>
      <c r="R18" s="1"/>
      <c r="S18" s="1"/>
      <c r="T18" s="1"/>
    </row>
    <row r="19" spans="2:20" ht="19.899999999999999" customHeight="1">
      <c r="B19" s="2">
        <v>16</v>
      </c>
      <c r="C19" s="13" t="s">
        <v>23</v>
      </c>
      <c r="D19" s="11">
        <v>3700</v>
      </c>
      <c r="E19" s="4">
        <f t="shared" si="2"/>
        <v>123.33333333333333</v>
      </c>
      <c r="F19" s="2">
        <v>31</v>
      </c>
      <c r="G19" s="33">
        <v>1.5</v>
      </c>
      <c r="H19" s="2">
        <f t="shared" si="3"/>
        <v>28.5</v>
      </c>
      <c r="I19" s="4">
        <f t="shared" si="0"/>
        <v>3515</v>
      </c>
      <c r="J19" s="86"/>
      <c r="K19" s="2"/>
      <c r="L19" s="4">
        <f t="shared" si="4"/>
        <v>185</v>
      </c>
      <c r="M19" s="4"/>
      <c r="N19" s="4"/>
      <c r="O19" s="36">
        <f t="shared" si="1"/>
        <v>3515</v>
      </c>
      <c r="P19" s="2"/>
      <c r="Q19" s="81"/>
      <c r="R19" s="1"/>
      <c r="S19" s="1"/>
      <c r="T19" s="1"/>
    </row>
    <row r="20" spans="2:20" ht="19.899999999999999" customHeight="1">
      <c r="B20" s="2">
        <v>7</v>
      </c>
      <c r="C20" s="13" t="s">
        <v>24</v>
      </c>
      <c r="D20" s="11">
        <v>3600</v>
      </c>
      <c r="E20" s="4">
        <f t="shared" si="2"/>
        <v>120</v>
      </c>
      <c r="F20" s="2">
        <v>31</v>
      </c>
      <c r="G20" s="34">
        <v>0.5</v>
      </c>
      <c r="H20" s="2">
        <f t="shared" si="3"/>
        <v>29.5</v>
      </c>
      <c r="I20" s="4">
        <f t="shared" si="0"/>
        <v>3540</v>
      </c>
      <c r="J20" s="86"/>
      <c r="K20" s="2"/>
      <c r="L20" s="4">
        <f t="shared" si="4"/>
        <v>60</v>
      </c>
      <c r="M20" s="4"/>
      <c r="N20" s="4"/>
      <c r="O20" s="36">
        <f t="shared" si="1"/>
        <v>3540</v>
      </c>
      <c r="P20" s="2">
        <v>250</v>
      </c>
      <c r="Q20" s="81"/>
      <c r="R20" s="1"/>
      <c r="S20" s="1"/>
      <c r="T20" s="1"/>
    </row>
    <row r="21" spans="2:20" ht="19.899999999999999" customHeight="1">
      <c r="B21" s="2">
        <v>18</v>
      </c>
      <c r="C21" s="13" t="s">
        <v>25</v>
      </c>
      <c r="D21" s="11">
        <v>3700</v>
      </c>
      <c r="E21" s="4">
        <f t="shared" si="2"/>
        <v>123.33333333333333</v>
      </c>
      <c r="F21" s="2">
        <v>31</v>
      </c>
      <c r="G21" s="34">
        <v>8</v>
      </c>
      <c r="H21" s="2">
        <f t="shared" si="3"/>
        <v>22</v>
      </c>
      <c r="I21" s="4">
        <f t="shared" si="0"/>
        <v>2713.3333333333335</v>
      </c>
      <c r="J21" s="86"/>
      <c r="K21" s="46">
        <f>+E21/8.3*1</f>
        <v>14.859437751004014</v>
      </c>
      <c r="L21" s="4">
        <f t="shared" si="4"/>
        <v>986.66666666666663</v>
      </c>
      <c r="M21" s="4"/>
      <c r="N21" s="4"/>
      <c r="O21" s="36">
        <f t="shared" si="1"/>
        <v>2698.4738955823295</v>
      </c>
      <c r="P21" s="2"/>
      <c r="Q21" s="81">
        <v>1</v>
      </c>
      <c r="R21" s="1"/>
      <c r="S21" s="1"/>
      <c r="T21" s="1"/>
    </row>
    <row r="22" spans="2:20" ht="19.899999999999999" customHeight="1">
      <c r="B22" s="2">
        <v>19</v>
      </c>
      <c r="C22" s="13" t="s">
        <v>28</v>
      </c>
      <c r="D22" s="11">
        <v>7000</v>
      </c>
      <c r="E22" s="4">
        <f t="shared" si="2"/>
        <v>233.33333333333334</v>
      </c>
      <c r="F22" s="2">
        <v>31</v>
      </c>
      <c r="G22" s="34">
        <v>1</v>
      </c>
      <c r="H22" s="2">
        <f t="shared" si="3"/>
        <v>29</v>
      </c>
      <c r="I22" s="4">
        <f t="shared" si="0"/>
        <v>6766.666666666667</v>
      </c>
      <c r="J22" s="86">
        <f>2000+500</f>
        <v>2500</v>
      </c>
      <c r="K22" s="2"/>
      <c r="L22" s="4">
        <f t="shared" si="4"/>
        <v>233.33333333333334</v>
      </c>
      <c r="M22" s="4"/>
      <c r="N22" s="4"/>
      <c r="O22" s="36">
        <f t="shared" si="1"/>
        <v>4266.666666666667</v>
      </c>
      <c r="P22" s="2"/>
      <c r="Q22" s="81"/>
      <c r="R22" s="1"/>
      <c r="S22" s="1"/>
      <c r="T22" s="1"/>
    </row>
    <row r="23" spans="2:20" ht="19.899999999999999" customHeight="1">
      <c r="B23" s="2">
        <v>20</v>
      </c>
      <c r="C23" s="13" t="s">
        <v>15</v>
      </c>
      <c r="D23" s="11">
        <v>2850</v>
      </c>
      <c r="E23" s="4">
        <f t="shared" si="2"/>
        <v>95</v>
      </c>
      <c r="F23" s="2">
        <v>31</v>
      </c>
      <c r="G23" s="34">
        <v>2</v>
      </c>
      <c r="H23" s="2">
        <f t="shared" si="3"/>
        <v>28</v>
      </c>
      <c r="I23" s="4">
        <f t="shared" si="0"/>
        <v>2660</v>
      </c>
      <c r="J23" s="86"/>
      <c r="K23" s="2"/>
      <c r="L23" s="4">
        <f t="shared" si="4"/>
        <v>190</v>
      </c>
      <c r="M23" s="4"/>
      <c r="N23" s="4"/>
      <c r="O23" s="36">
        <f>SUM(I23-J23-M23-N23-K23)</f>
        <v>2660</v>
      </c>
      <c r="P23" s="2"/>
      <c r="Q23" s="81"/>
      <c r="R23" s="1"/>
      <c r="S23" s="1"/>
      <c r="T23" s="1"/>
    </row>
    <row r="24" spans="2:20" ht="19.899999999999999" customHeight="1">
      <c r="B24" s="2">
        <v>21</v>
      </c>
      <c r="C24" s="13" t="s">
        <v>88</v>
      </c>
      <c r="D24" s="11">
        <v>3500</v>
      </c>
      <c r="E24" s="4">
        <f t="shared" si="2"/>
        <v>116.66666666666667</v>
      </c>
      <c r="F24" s="2">
        <v>31</v>
      </c>
      <c r="G24" s="34">
        <v>1</v>
      </c>
      <c r="H24" s="2">
        <f t="shared" si="3"/>
        <v>29</v>
      </c>
      <c r="I24" s="4">
        <f t="shared" si="0"/>
        <v>3383.3333333333335</v>
      </c>
      <c r="J24" s="86"/>
      <c r="K24" s="2"/>
      <c r="L24" s="4">
        <f t="shared" si="4"/>
        <v>116.66666666666667</v>
      </c>
      <c r="M24" s="4"/>
      <c r="N24" s="4"/>
      <c r="O24" s="36">
        <f t="shared" si="1"/>
        <v>3383.3333333333335</v>
      </c>
      <c r="P24" s="2"/>
      <c r="Q24" s="81"/>
      <c r="R24" s="1"/>
      <c r="S24" s="1"/>
      <c r="T24" s="1"/>
    </row>
    <row r="25" spans="2:20" ht="19.899999999999999" customHeight="1">
      <c r="B25" s="2">
        <v>22</v>
      </c>
      <c r="C25" s="13" t="s">
        <v>75</v>
      </c>
      <c r="D25" s="11">
        <v>3300</v>
      </c>
      <c r="E25" s="4">
        <f t="shared" si="2"/>
        <v>110</v>
      </c>
      <c r="F25" s="2">
        <v>31</v>
      </c>
      <c r="G25" s="34">
        <v>2</v>
      </c>
      <c r="H25" s="2">
        <f t="shared" si="3"/>
        <v>28</v>
      </c>
      <c r="I25" s="4">
        <f t="shared" si="0"/>
        <v>3080</v>
      </c>
      <c r="J25" s="33"/>
      <c r="K25" s="46">
        <f>+E25/8.3*0.75</f>
        <v>9.9397590361445776</v>
      </c>
      <c r="L25" s="4">
        <f t="shared" si="4"/>
        <v>220</v>
      </c>
      <c r="M25" s="4"/>
      <c r="N25" s="4"/>
      <c r="O25" s="36">
        <f t="shared" si="1"/>
        <v>3070.0602409638554</v>
      </c>
      <c r="P25" s="2"/>
      <c r="Q25" s="81">
        <v>0.75</v>
      </c>
      <c r="R25" s="1"/>
      <c r="S25" s="1"/>
      <c r="T25" s="1"/>
    </row>
    <row r="26" spans="2:20" ht="19.899999999999999" customHeight="1">
      <c r="B26" s="2">
        <v>23</v>
      </c>
      <c r="C26" s="13" t="s">
        <v>124</v>
      </c>
      <c r="D26" s="11">
        <v>3200</v>
      </c>
      <c r="E26" s="4">
        <f t="shared" si="2"/>
        <v>106.66666666666667</v>
      </c>
      <c r="F26" s="2">
        <v>31</v>
      </c>
      <c r="G26" s="34">
        <v>2</v>
      </c>
      <c r="H26" s="2">
        <f t="shared" si="3"/>
        <v>28</v>
      </c>
      <c r="I26" s="4">
        <f t="shared" si="0"/>
        <v>2986.6666666666665</v>
      </c>
      <c r="J26" s="33">
        <v>500</v>
      </c>
      <c r="K26" s="2"/>
      <c r="L26" s="4">
        <f t="shared" si="4"/>
        <v>213.33333333333334</v>
      </c>
      <c r="M26" s="4"/>
      <c r="N26" s="4"/>
      <c r="O26" s="36">
        <f t="shared" si="1"/>
        <v>2486.6666666666665</v>
      </c>
      <c r="P26" s="2"/>
      <c r="Q26" s="81"/>
      <c r="R26" s="1"/>
      <c r="S26" s="1"/>
      <c r="T26" s="1"/>
    </row>
    <row r="27" spans="2:20" ht="19.899999999999999" customHeight="1">
      <c r="B27" s="2">
        <v>8</v>
      </c>
      <c r="C27" s="13" t="s">
        <v>79</v>
      </c>
      <c r="D27" s="11">
        <v>2500</v>
      </c>
      <c r="E27" s="4">
        <f t="shared" si="2"/>
        <v>83.333333333333329</v>
      </c>
      <c r="F27" s="2">
        <v>31</v>
      </c>
      <c r="G27" s="34">
        <v>0.5</v>
      </c>
      <c r="H27" s="2">
        <f t="shared" si="3"/>
        <v>29.5</v>
      </c>
      <c r="I27" s="4">
        <f t="shared" si="0"/>
        <v>2458.3333333333335</v>
      </c>
      <c r="J27" s="86"/>
      <c r="K27" s="2"/>
      <c r="L27" s="4">
        <f t="shared" si="4"/>
        <v>41.666666666666664</v>
      </c>
      <c r="M27" s="4"/>
      <c r="N27" s="4"/>
      <c r="O27" s="36">
        <f>SUM(I27-J27-M27-N27-K27)</f>
        <v>2458.3333333333335</v>
      </c>
      <c r="P27" s="2">
        <v>250</v>
      </c>
      <c r="Q27" s="81"/>
      <c r="R27" s="1"/>
      <c r="S27" s="1"/>
      <c r="T27" s="1"/>
    </row>
    <row r="28" spans="2:20" ht="19.899999999999999" customHeight="1">
      <c r="B28" s="2">
        <v>9</v>
      </c>
      <c r="C28" s="13" t="s">
        <v>78</v>
      </c>
      <c r="D28" s="11">
        <v>4000</v>
      </c>
      <c r="E28" s="4">
        <f t="shared" si="2"/>
        <v>133.33333333333334</v>
      </c>
      <c r="F28" s="2">
        <v>31</v>
      </c>
      <c r="G28" s="34">
        <v>0.5</v>
      </c>
      <c r="H28" s="2">
        <f t="shared" si="3"/>
        <v>29.5</v>
      </c>
      <c r="I28" s="4">
        <f t="shared" si="0"/>
        <v>3933.3333333333335</v>
      </c>
      <c r="J28" s="86"/>
      <c r="K28" s="2"/>
      <c r="L28" s="4">
        <f t="shared" si="4"/>
        <v>66.666666666666671</v>
      </c>
      <c r="M28" s="4"/>
      <c r="N28" s="4"/>
      <c r="O28" s="36">
        <f t="shared" si="1"/>
        <v>3933.3333333333335</v>
      </c>
      <c r="P28" s="2">
        <v>250</v>
      </c>
      <c r="Q28" s="81"/>
    </row>
    <row r="29" spans="2:20" ht="19.899999999999999" customHeight="1">
      <c r="B29" s="2">
        <v>26</v>
      </c>
      <c r="C29" s="13" t="s">
        <v>89</v>
      </c>
      <c r="D29" s="16">
        <v>2500</v>
      </c>
      <c r="E29" s="17">
        <f t="shared" si="2"/>
        <v>83.333333333333329</v>
      </c>
      <c r="F29" s="2">
        <v>31</v>
      </c>
      <c r="G29" s="35">
        <v>1</v>
      </c>
      <c r="H29" s="2">
        <f t="shared" si="3"/>
        <v>29</v>
      </c>
      <c r="I29" s="17">
        <f t="shared" si="0"/>
        <v>2416.6666666666665</v>
      </c>
      <c r="J29" s="33"/>
      <c r="K29" s="18"/>
      <c r="L29" s="17">
        <f t="shared" si="4"/>
        <v>83.333333333333329</v>
      </c>
      <c r="M29" s="17"/>
      <c r="N29" s="17"/>
      <c r="O29" s="36">
        <f t="shared" si="1"/>
        <v>2416.6666666666665</v>
      </c>
      <c r="P29" s="2"/>
      <c r="Q29" s="81"/>
    </row>
    <row r="30" spans="2:20" ht="19.899999999999999" customHeight="1">
      <c r="B30" s="2">
        <v>27</v>
      </c>
      <c r="C30" s="13" t="s">
        <v>93</v>
      </c>
      <c r="D30" s="16">
        <v>2500</v>
      </c>
      <c r="E30" s="17">
        <f t="shared" si="2"/>
        <v>83.333333333333329</v>
      </c>
      <c r="F30" s="2">
        <v>31</v>
      </c>
      <c r="G30" s="35">
        <v>1</v>
      </c>
      <c r="H30" s="2">
        <f t="shared" si="3"/>
        <v>29</v>
      </c>
      <c r="I30" s="17">
        <f t="shared" si="0"/>
        <v>2416.6666666666665</v>
      </c>
      <c r="J30" s="86"/>
      <c r="K30" s="18"/>
      <c r="L30" s="17">
        <f t="shared" si="4"/>
        <v>83.333333333333329</v>
      </c>
      <c r="M30" s="17"/>
      <c r="N30" s="17"/>
      <c r="O30" s="36">
        <f t="shared" si="1"/>
        <v>2416.6666666666665</v>
      </c>
      <c r="P30" s="2"/>
      <c r="Q30" s="81"/>
    </row>
    <row r="31" spans="2:20" ht="19.899999999999999" customHeight="1">
      <c r="B31" s="2">
        <v>10</v>
      </c>
      <c r="C31" s="13" t="s">
        <v>101</v>
      </c>
      <c r="D31" s="16">
        <v>2500</v>
      </c>
      <c r="E31" s="17">
        <f t="shared" si="2"/>
        <v>83.333333333333329</v>
      </c>
      <c r="F31" s="2">
        <v>31</v>
      </c>
      <c r="G31" s="35">
        <v>0.5</v>
      </c>
      <c r="H31" s="2">
        <f t="shared" si="3"/>
        <v>29.5</v>
      </c>
      <c r="I31" s="17">
        <f t="shared" si="0"/>
        <v>2458.3333333333335</v>
      </c>
      <c r="J31" s="86"/>
      <c r="K31" s="96">
        <f>+E31/8.3</f>
        <v>10.04016064257028</v>
      </c>
      <c r="L31" s="17">
        <f t="shared" si="4"/>
        <v>41.666666666666664</v>
      </c>
      <c r="M31" s="17"/>
      <c r="N31" s="17"/>
      <c r="O31" s="36">
        <f t="shared" si="1"/>
        <v>2448.2931726907632</v>
      </c>
      <c r="P31" s="2">
        <v>250</v>
      </c>
      <c r="Q31" s="81"/>
    </row>
    <row r="32" spans="2:20" ht="19.899999999999999" customHeight="1">
      <c r="B32" s="2"/>
      <c r="C32" s="13"/>
      <c r="D32" s="16"/>
      <c r="E32" s="17"/>
      <c r="F32" s="2">
        <v>31</v>
      </c>
      <c r="G32" s="35"/>
      <c r="H32" s="2"/>
      <c r="I32" s="17"/>
      <c r="J32" s="86"/>
      <c r="K32" s="18"/>
      <c r="L32" s="17"/>
      <c r="M32" s="17"/>
      <c r="N32" s="17"/>
      <c r="O32" s="36"/>
      <c r="P32" s="2"/>
      <c r="Q32" s="81"/>
    </row>
    <row r="33" spans="2:17" ht="19.899999999999999" customHeight="1">
      <c r="B33" s="2">
        <v>29</v>
      </c>
      <c r="C33" s="13" t="s">
        <v>108</v>
      </c>
      <c r="D33" s="16">
        <v>2500</v>
      </c>
      <c r="E33" s="17">
        <f t="shared" si="2"/>
        <v>83.333333333333329</v>
      </c>
      <c r="F33" s="2">
        <v>31</v>
      </c>
      <c r="G33" s="35">
        <v>2.5</v>
      </c>
      <c r="H33" s="2">
        <f t="shared" si="3"/>
        <v>27.5</v>
      </c>
      <c r="I33" s="17">
        <f>+E33*7</f>
        <v>583.33333333333326</v>
      </c>
      <c r="J33" s="86"/>
      <c r="K33" s="18"/>
      <c r="L33" s="17">
        <f t="shared" si="4"/>
        <v>208.33333333333331</v>
      </c>
      <c r="M33" s="17"/>
      <c r="N33" s="17"/>
      <c r="O33" s="36">
        <f t="shared" si="1"/>
        <v>583.33333333333326</v>
      </c>
      <c r="P33" s="2"/>
      <c r="Q33" s="81"/>
    </row>
    <row r="34" spans="2:17" ht="19.899999999999999" customHeight="1">
      <c r="B34" s="2">
        <v>30</v>
      </c>
      <c r="C34" s="13" t="s">
        <v>111</v>
      </c>
      <c r="D34" s="38">
        <v>8500</v>
      </c>
      <c r="E34" s="17">
        <f t="shared" si="2"/>
        <v>283.33333333333331</v>
      </c>
      <c r="F34" s="2">
        <v>31</v>
      </c>
      <c r="G34" s="35">
        <v>1</v>
      </c>
      <c r="H34" s="2">
        <f t="shared" si="3"/>
        <v>29</v>
      </c>
      <c r="I34" s="17">
        <f t="shared" si="0"/>
        <v>8216.6666666666661</v>
      </c>
      <c r="J34" s="33">
        <f>250+2000+2000</f>
        <v>4250</v>
      </c>
      <c r="K34" s="96">
        <f>+E34/9.5*0.5</f>
        <v>14.912280701754385</v>
      </c>
      <c r="L34" s="17">
        <f t="shared" si="4"/>
        <v>283.33333333333331</v>
      </c>
      <c r="M34" s="17"/>
      <c r="N34" s="17"/>
      <c r="O34" s="36">
        <f t="shared" si="1"/>
        <v>3951.7543859649118</v>
      </c>
      <c r="P34" s="2"/>
      <c r="Q34" s="81">
        <v>0.5</v>
      </c>
    </row>
    <row r="35" spans="2:17" ht="19.899999999999999" customHeight="1">
      <c r="B35" s="2">
        <v>31</v>
      </c>
      <c r="C35" s="13" t="s">
        <v>112</v>
      </c>
      <c r="D35" s="38">
        <v>3500</v>
      </c>
      <c r="E35" s="17">
        <f t="shared" si="2"/>
        <v>116.66666666666667</v>
      </c>
      <c r="F35" s="2">
        <v>31</v>
      </c>
      <c r="G35" s="35">
        <v>3.5</v>
      </c>
      <c r="H35" s="2">
        <f t="shared" si="3"/>
        <v>26.5</v>
      </c>
      <c r="I35" s="17">
        <f t="shared" si="0"/>
        <v>3091.6666666666665</v>
      </c>
      <c r="J35" s="33">
        <f>1000+500</f>
        <v>1500</v>
      </c>
      <c r="K35" s="96">
        <f>+E35/8.3</f>
        <v>14.056224899598392</v>
      </c>
      <c r="L35" s="17">
        <f t="shared" si="4"/>
        <v>408.33333333333337</v>
      </c>
      <c r="M35" s="17"/>
      <c r="N35" s="17"/>
      <c r="O35" s="36">
        <f>SUM(I35-J35-M35-N35-K35)</f>
        <v>1577.6104417670681</v>
      </c>
      <c r="P35" s="2"/>
      <c r="Q35" s="81">
        <v>1</v>
      </c>
    </row>
    <row r="36" spans="2:17" ht="19.899999999999999" customHeight="1">
      <c r="B36" s="2">
        <v>11</v>
      </c>
      <c r="C36" s="13" t="s">
        <v>114</v>
      </c>
      <c r="D36" s="38">
        <v>12500</v>
      </c>
      <c r="E36" s="17">
        <f t="shared" si="2"/>
        <v>416.66666666666669</v>
      </c>
      <c r="F36" s="2">
        <v>31</v>
      </c>
      <c r="G36" s="35">
        <v>0.5</v>
      </c>
      <c r="H36" s="2">
        <f t="shared" si="3"/>
        <v>29.5</v>
      </c>
      <c r="I36" s="17">
        <f t="shared" si="0"/>
        <v>12291.666666666666</v>
      </c>
      <c r="J36" s="86">
        <v>2000</v>
      </c>
      <c r="K36" s="18"/>
      <c r="L36" s="17">
        <f t="shared" si="4"/>
        <v>208.33333333333334</v>
      </c>
      <c r="M36" s="17"/>
      <c r="N36" s="17"/>
      <c r="O36" s="36">
        <f t="shared" si="1"/>
        <v>10291.666666666666</v>
      </c>
      <c r="P36" s="2">
        <v>250</v>
      </c>
      <c r="Q36" s="81"/>
    </row>
    <row r="37" spans="2:17" ht="19.899999999999999" customHeight="1">
      <c r="B37" s="2">
        <v>33</v>
      </c>
      <c r="C37" s="13" t="s">
        <v>117</v>
      </c>
      <c r="D37" s="38">
        <v>2500</v>
      </c>
      <c r="E37" s="17">
        <f t="shared" si="2"/>
        <v>83.333333333333329</v>
      </c>
      <c r="F37" s="2">
        <v>31</v>
      </c>
      <c r="G37" s="35">
        <v>3</v>
      </c>
      <c r="H37" s="2">
        <f t="shared" si="3"/>
        <v>27</v>
      </c>
      <c r="I37" s="17">
        <f t="shared" si="0"/>
        <v>2250</v>
      </c>
      <c r="J37" s="86"/>
      <c r="K37" s="18"/>
      <c r="L37" s="17">
        <f t="shared" si="4"/>
        <v>250</v>
      </c>
      <c r="M37" s="17"/>
      <c r="N37" s="17"/>
      <c r="O37" s="36">
        <f t="shared" si="1"/>
        <v>2250</v>
      </c>
      <c r="P37" s="2"/>
      <c r="Q37" s="81"/>
    </row>
    <row r="38" spans="2:17" ht="19.899999999999999" customHeight="1">
      <c r="B38" s="2">
        <v>34</v>
      </c>
      <c r="C38" s="13" t="s">
        <v>120</v>
      </c>
      <c r="D38" s="38">
        <v>2500</v>
      </c>
      <c r="E38" s="17">
        <f t="shared" si="2"/>
        <v>83.333333333333329</v>
      </c>
      <c r="F38" s="2">
        <v>31</v>
      </c>
      <c r="G38" s="35">
        <v>1</v>
      </c>
      <c r="H38" s="2">
        <f t="shared" si="3"/>
        <v>29</v>
      </c>
      <c r="I38" s="17">
        <f t="shared" si="0"/>
        <v>2416.6666666666665</v>
      </c>
      <c r="J38" s="86">
        <v>1000</v>
      </c>
      <c r="K38" s="18">
        <v>200</v>
      </c>
      <c r="L38" s="17">
        <f t="shared" si="4"/>
        <v>83.333333333333329</v>
      </c>
      <c r="M38" s="17"/>
      <c r="N38" s="17"/>
      <c r="O38" s="36">
        <f t="shared" si="1"/>
        <v>1216.6666666666665</v>
      </c>
      <c r="P38" s="2"/>
      <c r="Q38" s="81"/>
    </row>
    <row r="39" spans="2:17" ht="19.899999999999999" customHeight="1">
      <c r="B39" s="2">
        <v>12</v>
      </c>
      <c r="C39" s="13" t="s">
        <v>126</v>
      </c>
      <c r="D39" s="38">
        <v>10000</v>
      </c>
      <c r="E39" s="17">
        <f t="shared" si="2"/>
        <v>333.33333333333331</v>
      </c>
      <c r="F39" s="2">
        <v>31</v>
      </c>
      <c r="G39" s="35">
        <v>0</v>
      </c>
      <c r="H39" s="2">
        <f t="shared" si="3"/>
        <v>30</v>
      </c>
      <c r="I39" s="17">
        <f>SUM(D39-L39)</f>
        <v>10000</v>
      </c>
      <c r="J39" s="86"/>
      <c r="K39" s="18"/>
      <c r="L39" s="17">
        <f t="shared" si="4"/>
        <v>0</v>
      </c>
      <c r="M39" s="17"/>
      <c r="N39" s="17"/>
      <c r="O39" s="36">
        <f t="shared" si="1"/>
        <v>10000</v>
      </c>
      <c r="P39" s="2">
        <v>300</v>
      </c>
      <c r="Q39" s="81"/>
    </row>
    <row r="40" spans="2:17" ht="19.899999999999999" customHeight="1">
      <c r="B40" s="2">
        <v>13</v>
      </c>
      <c r="C40" s="13" t="s">
        <v>130</v>
      </c>
      <c r="D40" s="38">
        <v>12000</v>
      </c>
      <c r="E40" s="17">
        <f t="shared" si="2"/>
        <v>400</v>
      </c>
      <c r="F40" s="2">
        <v>31</v>
      </c>
      <c r="G40" s="35">
        <v>0</v>
      </c>
      <c r="H40" s="2">
        <f t="shared" si="3"/>
        <v>30</v>
      </c>
      <c r="I40" s="17">
        <f t="shared" si="0"/>
        <v>12000</v>
      </c>
      <c r="J40" s="86"/>
      <c r="K40" s="18"/>
      <c r="L40" s="17">
        <f t="shared" si="4"/>
        <v>0</v>
      </c>
      <c r="M40" s="17"/>
      <c r="N40" s="17"/>
      <c r="O40" s="36">
        <f t="shared" si="1"/>
        <v>12000</v>
      </c>
      <c r="P40" s="2">
        <v>300</v>
      </c>
      <c r="Q40" s="81"/>
    </row>
    <row r="41" spans="2:17" ht="19.899999999999999" customHeight="1">
      <c r="B41" s="2">
        <v>37</v>
      </c>
      <c r="C41" s="66" t="s">
        <v>131</v>
      </c>
      <c r="D41" s="38">
        <v>2500</v>
      </c>
      <c r="E41" s="17">
        <f t="shared" si="2"/>
        <v>83.333333333333329</v>
      </c>
      <c r="F41" s="2">
        <v>31</v>
      </c>
      <c r="G41" s="35">
        <v>5.5</v>
      </c>
      <c r="H41" s="2">
        <f t="shared" si="3"/>
        <v>24.5</v>
      </c>
      <c r="I41" s="17">
        <f t="shared" si="0"/>
        <v>2041.6666666666667</v>
      </c>
      <c r="J41" s="88">
        <v>500</v>
      </c>
      <c r="K41" s="18"/>
      <c r="L41" s="17">
        <f t="shared" si="4"/>
        <v>458.33333333333331</v>
      </c>
      <c r="M41" s="17"/>
      <c r="N41" s="17"/>
      <c r="O41" s="36">
        <f t="shared" si="1"/>
        <v>1541.6666666666667</v>
      </c>
      <c r="P41" s="2"/>
      <c r="Q41" s="81"/>
    </row>
    <row r="42" spans="2:17" ht="19.899999999999999" customHeight="1">
      <c r="B42" s="2">
        <v>38</v>
      </c>
      <c r="C42" s="66" t="s">
        <v>137</v>
      </c>
      <c r="D42" s="38">
        <v>2500</v>
      </c>
      <c r="E42" s="17">
        <f t="shared" si="2"/>
        <v>83.333333333333329</v>
      </c>
      <c r="F42" s="2">
        <v>31</v>
      </c>
      <c r="G42" s="35">
        <v>18</v>
      </c>
      <c r="H42" s="2">
        <f t="shared" si="3"/>
        <v>12</v>
      </c>
      <c r="I42" s="17">
        <f>SUM(D42-L42)</f>
        <v>1000</v>
      </c>
      <c r="J42" s="87"/>
      <c r="K42" s="18"/>
      <c r="L42" s="17">
        <f t="shared" si="4"/>
        <v>1500</v>
      </c>
      <c r="M42" s="17"/>
      <c r="N42" s="17"/>
      <c r="O42" s="36">
        <f t="shared" si="1"/>
        <v>1000</v>
      </c>
      <c r="P42" s="2"/>
      <c r="Q42" s="81"/>
    </row>
    <row r="43" spans="2:17" ht="19.899999999999999" customHeight="1">
      <c r="B43" s="2">
        <v>14</v>
      </c>
      <c r="C43" s="66" t="s">
        <v>147</v>
      </c>
      <c r="D43" s="38">
        <v>3500</v>
      </c>
      <c r="E43" s="17">
        <f t="shared" si="2"/>
        <v>116.66666666666667</v>
      </c>
      <c r="F43" s="2">
        <v>31</v>
      </c>
      <c r="G43" s="35">
        <v>0</v>
      </c>
      <c r="H43" s="2">
        <f t="shared" si="3"/>
        <v>30</v>
      </c>
      <c r="I43" s="17">
        <f t="shared" ref="I43:I44" si="5">SUM(D43-L43)</f>
        <v>3500</v>
      </c>
      <c r="J43" s="87">
        <v>500</v>
      </c>
      <c r="K43" s="18"/>
      <c r="L43" s="17">
        <f t="shared" si="4"/>
        <v>0</v>
      </c>
      <c r="M43" s="17"/>
      <c r="N43" s="17"/>
      <c r="O43" s="36">
        <f t="shared" si="1"/>
        <v>3000</v>
      </c>
      <c r="P43" s="2">
        <v>300</v>
      </c>
      <c r="Q43" s="81"/>
    </row>
    <row r="44" spans="2:17" ht="19.899999999999999" customHeight="1">
      <c r="B44" s="2">
        <v>40</v>
      </c>
      <c r="C44" s="66" t="s">
        <v>151</v>
      </c>
      <c r="D44" s="38">
        <v>5000</v>
      </c>
      <c r="E44" s="17">
        <f t="shared" si="2"/>
        <v>166.66666666666666</v>
      </c>
      <c r="F44" s="2">
        <v>31</v>
      </c>
      <c r="G44" s="35">
        <v>5</v>
      </c>
      <c r="H44" s="2">
        <f t="shared" si="3"/>
        <v>25</v>
      </c>
      <c r="I44" s="17">
        <f t="shared" si="5"/>
        <v>4166.666666666667</v>
      </c>
      <c r="J44" s="87"/>
      <c r="K44" s="18"/>
      <c r="L44" s="17">
        <f t="shared" si="4"/>
        <v>833.33333333333326</v>
      </c>
      <c r="M44" s="17"/>
      <c r="N44" s="17"/>
      <c r="O44" s="36">
        <f t="shared" si="1"/>
        <v>4166.666666666667</v>
      </c>
      <c r="P44" s="2"/>
      <c r="Q44" s="81"/>
    </row>
    <row r="45" spans="2:17" ht="19.899999999999999" customHeight="1">
      <c r="B45" s="2">
        <v>41</v>
      </c>
      <c r="C45" s="66" t="s">
        <v>50</v>
      </c>
      <c r="D45" s="16">
        <v>6700</v>
      </c>
      <c r="E45" s="17">
        <f t="shared" si="2"/>
        <v>223.33333333333334</v>
      </c>
      <c r="F45" s="2">
        <v>31</v>
      </c>
      <c r="G45" s="18">
        <v>1</v>
      </c>
      <c r="H45" s="2">
        <f t="shared" si="3"/>
        <v>29</v>
      </c>
      <c r="I45" s="17">
        <f>SUM(D45-L45)</f>
        <v>6476.666666666667</v>
      </c>
      <c r="J45" s="87">
        <v>1000</v>
      </c>
      <c r="K45" s="96">
        <f>+E45/9.5*5</f>
        <v>117.54385964912281</v>
      </c>
      <c r="L45" s="17">
        <f t="shared" si="4"/>
        <v>223.33333333333334</v>
      </c>
      <c r="M45" s="17"/>
      <c r="N45" s="17"/>
      <c r="O45" s="37">
        <f t="shared" si="1"/>
        <v>5359.1228070175439</v>
      </c>
      <c r="P45" s="2"/>
      <c r="Q45" s="81">
        <v>5</v>
      </c>
    </row>
    <row r="46" spans="2:17" ht="19.899999999999999" customHeight="1">
      <c r="B46" s="2">
        <v>42</v>
      </c>
      <c r="C46" s="66" t="s">
        <v>154</v>
      </c>
      <c r="D46" s="16">
        <v>2500</v>
      </c>
      <c r="E46" s="17">
        <f t="shared" si="2"/>
        <v>83.333333333333329</v>
      </c>
      <c r="F46" s="2">
        <v>31</v>
      </c>
      <c r="G46" s="18">
        <v>19.5</v>
      </c>
      <c r="H46" s="2">
        <f t="shared" si="3"/>
        <v>10.5</v>
      </c>
      <c r="I46" s="17">
        <f t="shared" si="0"/>
        <v>875</v>
      </c>
      <c r="J46" s="87"/>
      <c r="K46" s="18"/>
      <c r="L46" s="17">
        <f t="shared" si="4"/>
        <v>1625</v>
      </c>
      <c r="M46" s="17"/>
      <c r="N46" s="17"/>
      <c r="O46" s="37">
        <f t="shared" si="1"/>
        <v>875</v>
      </c>
      <c r="P46" s="2"/>
      <c r="Q46" s="81"/>
    </row>
    <row r="47" spans="2:17" ht="19.899999999999999" customHeight="1">
      <c r="B47" s="2">
        <v>15</v>
      </c>
      <c r="C47" s="66" t="s">
        <v>157</v>
      </c>
      <c r="D47" s="16">
        <v>6500</v>
      </c>
      <c r="E47" s="17">
        <f t="shared" si="2"/>
        <v>216.66666666666666</v>
      </c>
      <c r="F47" s="2">
        <v>31</v>
      </c>
      <c r="G47" s="18">
        <v>0</v>
      </c>
      <c r="H47" s="18">
        <f t="shared" si="3"/>
        <v>30</v>
      </c>
      <c r="I47" s="17">
        <f>SUM(D47-L47)</f>
        <v>6500</v>
      </c>
      <c r="J47" s="88">
        <f>2000+1500</f>
        <v>3500</v>
      </c>
      <c r="K47" s="18"/>
      <c r="L47" s="17">
        <f>SUM(G47*E47)</f>
        <v>0</v>
      </c>
      <c r="M47" s="17"/>
      <c r="N47" s="17"/>
      <c r="O47" s="37">
        <f t="shared" si="1"/>
        <v>3000</v>
      </c>
      <c r="P47" s="2">
        <v>300</v>
      </c>
      <c r="Q47" s="2"/>
    </row>
    <row r="48" spans="2:17" ht="19.899999999999999" customHeight="1">
      <c r="B48" s="27">
        <v>44</v>
      </c>
      <c r="C48" s="89" t="s">
        <v>159</v>
      </c>
      <c r="D48" s="90">
        <v>10000</v>
      </c>
      <c r="E48" s="42">
        <f t="shared" si="2"/>
        <v>333.33333333333331</v>
      </c>
      <c r="F48" s="2">
        <v>31</v>
      </c>
      <c r="G48" s="2">
        <v>1.5</v>
      </c>
      <c r="H48" s="2">
        <v>30</v>
      </c>
      <c r="I48" s="17">
        <f>SUM(D48-L48)</f>
        <v>9500</v>
      </c>
      <c r="J48" s="92">
        <f>100+150+2450+150+1500+100+100</f>
        <v>4550</v>
      </c>
      <c r="K48" s="97">
        <f>E48/9.5*2</f>
        <v>70.175438596491219</v>
      </c>
      <c r="L48" s="17">
        <f>SUM(G48*E48)</f>
        <v>500</v>
      </c>
      <c r="M48" s="91"/>
      <c r="N48" s="91"/>
      <c r="O48" s="37">
        <f>SUM(I48-J48-M48-N48-K48)</f>
        <v>4879.8245614035086</v>
      </c>
      <c r="P48" s="2"/>
      <c r="Q48" s="85">
        <v>2</v>
      </c>
    </row>
    <row r="49" spans="2:17" ht="19.899999999999999" customHeight="1">
      <c r="B49" s="82"/>
      <c r="C49" s="48" t="s">
        <v>40</v>
      </c>
      <c r="D49" s="57">
        <f>SUM(D4:D48)</f>
        <v>239000</v>
      </c>
      <c r="E49" s="54"/>
      <c r="F49" s="55"/>
      <c r="G49" s="54"/>
      <c r="H49" s="55"/>
      <c r="I49" s="57">
        <f>SUM(I4:I48)</f>
        <v>217016.6666666666</v>
      </c>
      <c r="J49" s="57">
        <f>SUM(J4:J48)</f>
        <v>38800</v>
      </c>
      <c r="K49" s="57">
        <f t="shared" ref="K49:N49" si="6">SUM(K4:K48)</f>
        <v>502.78905094060451</v>
      </c>
      <c r="L49" s="57">
        <f t="shared" si="6"/>
        <v>20275</v>
      </c>
      <c r="M49" s="57">
        <f t="shared" si="6"/>
        <v>1008</v>
      </c>
      <c r="N49" s="57">
        <f t="shared" si="6"/>
        <v>212</v>
      </c>
      <c r="O49" s="99">
        <f>SUM(O4:O48)</f>
        <v>176493.87761572609</v>
      </c>
      <c r="P49" s="59"/>
    </row>
    <row r="50" spans="2:17" ht="19.899999999999999" customHeight="1" thickBot="1">
      <c r="B50" s="3"/>
      <c r="C50" s="48" t="s">
        <v>40</v>
      </c>
      <c r="D50" s="21"/>
      <c r="E50" s="23"/>
      <c r="F50" s="12"/>
      <c r="G50" s="54"/>
      <c r="H50" s="12"/>
      <c r="I50" s="21"/>
      <c r="J50" s="50"/>
      <c r="K50" s="50"/>
      <c r="L50" s="50"/>
      <c r="M50" s="51"/>
      <c r="N50" s="51"/>
      <c r="O50" s="51"/>
      <c r="P50" s="46"/>
    </row>
    <row r="51" spans="2:17">
      <c r="B51" s="83"/>
      <c r="C51" s="2" t="s">
        <v>40</v>
      </c>
      <c r="G51" s="2"/>
      <c r="I51" s="43"/>
      <c r="L51" s="47"/>
      <c r="P51" s="2">
        <f>SUBTOTAL(9,P6:P50)</f>
        <v>4100</v>
      </c>
      <c r="Q51" s="2"/>
    </row>
    <row r="52" spans="2:17" ht="26.25">
      <c r="C52" s="26"/>
      <c r="D52" s="26"/>
      <c r="E52" s="26"/>
      <c r="F52" s="26"/>
      <c r="G52" s="26" t="s">
        <v>122</v>
      </c>
      <c r="H52" s="26"/>
      <c r="I52" s="26"/>
      <c r="J52" s="26"/>
      <c r="K52" s="76"/>
      <c r="L52" s="65"/>
      <c r="M52" s="26"/>
      <c r="N52" s="26"/>
    </row>
    <row r="53" spans="2:17" ht="26.2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</row>
    <row r="54" spans="2:17">
      <c r="B54" s="1"/>
      <c r="J54" s="43"/>
      <c r="K54" s="43"/>
      <c r="L54" s="43"/>
      <c r="M54">
        <f>3000*4</f>
        <v>12000</v>
      </c>
      <c r="N54">
        <f>+M54*6.5%</f>
        <v>780</v>
      </c>
    </row>
    <row r="55" spans="2:17">
      <c r="B55" s="1"/>
      <c r="J55" s="43"/>
      <c r="K55" s="43"/>
      <c r="L55" s="43"/>
      <c r="M55">
        <v>15000</v>
      </c>
      <c r="N55">
        <f>+M55*6.5%</f>
        <v>975</v>
      </c>
    </row>
    <row r="56" spans="2:17">
      <c r="B56" s="27"/>
      <c r="K56" s="43"/>
      <c r="M56">
        <v>6.5</v>
      </c>
      <c r="N56">
        <v>1953</v>
      </c>
    </row>
    <row r="57" spans="2:17">
      <c r="J57" s="43"/>
    </row>
  </sheetData>
  <autoFilter ref="B2:S52">
    <filterColumn colId="5"/>
  </autoFilter>
  <pageMargins left="0.12" right="0.11" top="0.32" bottom="0.32" header="0.3" footer="0.3"/>
  <pageSetup scale="94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T59"/>
  <sheetViews>
    <sheetView topLeftCell="A46" workbookViewId="0">
      <selection activeCell="F63" sqref="F63"/>
    </sheetView>
  </sheetViews>
  <sheetFormatPr defaultRowHeight="15"/>
  <cols>
    <col min="1" max="1" width="0.140625" customWidth="1"/>
    <col min="2" max="2" width="4.7109375" bestFit="1" customWidth="1"/>
    <col min="3" max="3" width="22.140625" bestFit="1" customWidth="1"/>
    <col min="4" max="4" width="9.5703125" bestFit="1" customWidth="1"/>
    <col min="5" max="5" width="13.140625" customWidth="1"/>
    <col min="6" max="6" width="11.7109375" bestFit="1" customWidth="1"/>
    <col min="7" max="7" width="10.140625" customWidth="1"/>
    <col min="8" max="8" width="11" bestFit="1" customWidth="1"/>
    <col min="9" max="9" width="9.5703125" bestFit="1" customWidth="1"/>
    <col min="10" max="10" width="8.5703125" bestFit="1" customWidth="1"/>
    <col min="11" max="11" width="16" bestFit="1" customWidth="1"/>
    <col min="12" max="12" width="8.7109375" bestFit="1" customWidth="1"/>
    <col min="13" max="13" width="24.5703125" bestFit="1" customWidth="1"/>
    <col min="14" max="14" width="6.5703125" bestFit="1" customWidth="1"/>
    <col min="15" max="15" width="9.5703125" bestFit="1" customWidth="1"/>
    <col min="16" max="16" width="11.7109375" bestFit="1" customWidth="1"/>
    <col min="17" max="17" width="12" bestFit="1" customWidth="1"/>
  </cols>
  <sheetData>
    <row r="1" spans="2:20">
      <c r="C1" s="6"/>
    </row>
    <row r="2" spans="2:20" ht="36">
      <c r="C2" s="79">
        <v>42401</v>
      </c>
      <c r="D2" t="s">
        <v>41</v>
      </c>
      <c r="E2" s="8" t="s">
        <v>155</v>
      </c>
      <c r="F2" s="8"/>
      <c r="G2" s="8"/>
      <c r="H2" s="9"/>
      <c r="I2" s="5"/>
      <c r="J2" s="5"/>
      <c r="K2" s="5"/>
      <c r="P2" t="s">
        <v>105</v>
      </c>
    </row>
    <row r="3" spans="2:20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" t="s">
        <v>105</v>
      </c>
      <c r="Q3" s="1"/>
      <c r="R3" s="1"/>
      <c r="S3" s="1"/>
      <c r="T3" s="1"/>
    </row>
    <row r="4" spans="2:20" ht="19.899999999999999" customHeight="1">
      <c r="B4" s="2">
        <v>1</v>
      </c>
      <c r="C4" s="13" t="s">
        <v>45</v>
      </c>
      <c r="D4" s="11">
        <v>11700</v>
      </c>
      <c r="E4" s="4">
        <f>SUM(D4/30)</f>
        <v>390</v>
      </c>
      <c r="F4" s="2">
        <v>29</v>
      </c>
      <c r="G4" s="33">
        <v>3</v>
      </c>
      <c r="H4" s="2">
        <f>30-G4</f>
        <v>27</v>
      </c>
      <c r="I4" s="4">
        <f>SUM(D4-L4)</f>
        <v>10530</v>
      </c>
      <c r="J4" s="33">
        <f>2000+2000</f>
        <v>4000</v>
      </c>
      <c r="K4" s="2"/>
      <c r="L4" s="4">
        <f>SUM(G4*E4)</f>
        <v>1170</v>
      </c>
      <c r="M4" s="4">
        <v>252</v>
      </c>
      <c r="N4" s="2">
        <v>53</v>
      </c>
      <c r="O4" s="36">
        <f>SUM(I4-J4-M4-N4-K4)</f>
        <v>6225</v>
      </c>
      <c r="P4" s="2"/>
      <c r="Q4" s="1"/>
      <c r="R4" s="1"/>
      <c r="S4" s="1"/>
      <c r="T4" s="1"/>
    </row>
    <row r="5" spans="2:20" ht="19.899999999999999" customHeight="1">
      <c r="B5" s="2">
        <v>2</v>
      </c>
      <c r="C5" s="13" t="s">
        <v>7</v>
      </c>
      <c r="D5" s="11">
        <v>10200</v>
      </c>
      <c r="E5" s="4">
        <f>SUM(D5/30)</f>
        <v>340</v>
      </c>
      <c r="F5" s="2">
        <v>29</v>
      </c>
      <c r="G5" s="33">
        <v>2</v>
      </c>
      <c r="H5" s="2">
        <f>30-G5</f>
        <v>28</v>
      </c>
      <c r="I5" s="4">
        <f t="shared" ref="I5:I51" si="0">SUM(D5-L5)</f>
        <v>9520</v>
      </c>
      <c r="J5" s="33">
        <f>2000+2000</f>
        <v>4000</v>
      </c>
      <c r="K5" s="2">
        <v>91</v>
      </c>
      <c r="L5" s="4">
        <f>SUM(G5*E5)</f>
        <v>680</v>
      </c>
      <c r="M5" s="4">
        <v>252</v>
      </c>
      <c r="N5" s="2">
        <v>53</v>
      </c>
      <c r="O5" s="36">
        <f t="shared" ref="O5:O51" si="1">SUM(I5-J5-M5-N5-K5)</f>
        <v>5124</v>
      </c>
      <c r="P5" s="2">
        <v>2.5</v>
      </c>
      <c r="Q5" s="1">
        <f>+E5/9.3*P5</f>
        <v>91.397849462365585</v>
      </c>
      <c r="R5" s="1"/>
      <c r="S5" s="1"/>
      <c r="T5" s="1"/>
    </row>
    <row r="6" spans="2:20" ht="19.899999999999999" customHeight="1">
      <c r="B6" s="2">
        <v>1</v>
      </c>
      <c r="C6" s="13" t="s">
        <v>46</v>
      </c>
      <c r="D6" s="11">
        <v>9500</v>
      </c>
      <c r="E6" s="4">
        <f t="shared" ref="E6:E52" si="2">SUM(D6/30)</f>
        <v>316.66666666666669</v>
      </c>
      <c r="F6" s="2">
        <v>29</v>
      </c>
      <c r="G6" s="33">
        <v>0</v>
      </c>
      <c r="H6" s="2">
        <f t="shared" ref="H6:H51" si="3">30-G6</f>
        <v>30</v>
      </c>
      <c r="I6" s="4">
        <f t="shared" si="0"/>
        <v>9500</v>
      </c>
      <c r="J6" s="86"/>
      <c r="K6" s="2"/>
      <c r="L6" s="4">
        <f t="shared" ref="L6:L51" si="4">SUM(G6*E6)</f>
        <v>0</v>
      </c>
      <c r="M6" s="4">
        <v>252</v>
      </c>
      <c r="N6" s="2">
        <v>53</v>
      </c>
      <c r="O6" s="36">
        <f t="shared" si="1"/>
        <v>9195</v>
      </c>
      <c r="P6" s="2">
        <v>300</v>
      </c>
      <c r="Q6" s="41"/>
      <c r="R6" s="41"/>
      <c r="S6" s="41"/>
      <c r="T6" s="1"/>
    </row>
    <row r="7" spans="2:20" ht="19.899999999999999" customHeight="1">
      <c r="B7" s="2">
        <v>4</v>
      </c>
      <c r="C7" s="13" t="s">
        <v>47</v>
      </c>
      <c r="D7" s="11">
        <v>8400</v>
      </c>
      <c r="E7" s="4">
        <f t="shared" si="2"/>
        <v>280</v>
      </c>
      <c r="F7" s="2">
        <v>29</v>
      </c>
      <c r="G7" s="34">
        <v>3</v>
      </c>
      <c r="H7" s="2">
        <f t="shared" si="3"/>
        <v>27</v>
      </c>
      <c r="I7" s="4">
        <f t="shared" si="0"/>
        <v>7560</v>
      </c>
      <c r="J7" s="86"/>
      <c r="K7" s="2"/>
      <c r="L7" s="4">
        <f t="shared" si="4"/>
        <v>840</v>
      </c>
      <c r="M7" s="4">
        <v>252</v>
      </c>
      <c r="N7" s="2">
        <v>53</v>
      </c>
      <c r="O7" s="36">
        <f t="shared" si="1"/>
        <v>7255</v>
      </c>
      <c r="P7" s="2"/>
      <c r="Q7" s="1"/>
      <c r="R7" s="1"/>
      <c r="S7" s="1"/>
      <c r="T7" s="1"/>
    </row>
    <row r="8" spans="2:20" ht="19.899999999999999" customHeight="1">
      <c r="B8" s="2">
        <v>5</v>
      </c>
      <c r="C8" s="13" t="s">
        <v>138</v>
      </c>
      <c r="D8" s="11">
        <v>12000</v>
      </c>
      <c r="E8" s="4">
        <f>SUM(D8/30)</f>
        <v>400</v>
      </c>
      <c r="F8" s="2">
        <v>4</v>
      </c>
      <c r="G8" s="33"/>
      <c r="H8" s="2">
        <v>4</v>
      </c>
      <c r="I8" s="4">
        <f>+E8*4</f>
        <v>1600</v>
      </c>
      <c r="J8" s="86"/>
      <c r="K8" s="2"/>
      <c r="L8" s="4">
        <f>SUM(G8*E8)</f>
        <v>0</v>
      </c>
      <c r="M8" s="4">
        <v>336</v>
      </c>
      <c r="N8" s="4">
        <v>70</v>
      </c>
      <c r="O8" s="36">
        <f t="shared" si="1"/>
        <v>1194</v>
      </c>
      <c r="P8" s="46"/>
      <c r="Q8" s="1"/>
      <c r="R8" s="46"/>
      <c r="S8" s="40"/>
    </row>
    <row r="9" spans="2:20" ht="19.899999999999999" customHeight="1">
      <c r="B9" s="2">
        <v>2</v>
      </c>
      <c r="C9" s="13" t="s">
        <v>139</v>
      </c>
      <c r="D9" s="11">
        <v>7800</v>
      </c>
      <c r="E9" s="4">
        <f t="shared" si="2"/>
        <v>260</v>
      </c>
      <c r="F9" s="2">
        <v>29</v>
      </c>
      <c r="G9" s="34">
        <v>0</v>
      </c>
      <c r="H9" s="2">
        <f t="shared" si="3"/>
        <v>30</v>
      </c>
      <c r="I9" s="4">
        <f t="shared" si="0"/>
        <v>7800</v>
      </c>
      <c r="J9" s="33">
        <v>2000</v>
      </c>
      <c r="K9" s="2">
        <f>500+98</f>
        <v>598</v>
      </c>
      <c r="L9" s="4">
        <f t="shared" si="4"/>
        <v>0</v>
      </c>
      <c r="M9" s="4"/>
      <c r="N9" s="4"/>
      <c r="O9" s="36">
        <f t="shared" si="1"/>
        <v>5202</v>
      </c>
      <c r="P9" s="46">
        <v>300</v>
      </c>
      <c r="Q9" s="1"/>
      <c r="R9" s="1"/>
      <c r="S9" s="1"/>
      <c r="T9" s="1"/>
    </row>
    <row r="10" spans="2:20" ht="19.899999999999999" customHeight="1">
      <c r="B10" s="2">
        <v>7</v>
      </c>
      <c r="C10" s="13" t="s">
        <v>48</v>
      </c>
      <c r="D10" s="11">
        <v>7050</v>
      </c>
      <c r="E10" s="4">
        <f t="shared" si="2"/>
        <v>235</v>
      </c>
      <c r="F10" s="2">
        <v>29</v>
      </c>
      <c r="G10" s="34">
        <v>3.5</v>
      </c>
      <c r="H10" s="2">
        <f t="shared" si="3"/>
        <v>26.5</v>
      </c>
      <c r="I10" s="4">
        <f t="shared" si="0"/>
        <v>6227.5</v>
      </c>
      <c r="J10" s="33">
        <f>200+500</f>
        <v>700</v>
      </c>
      <c r="K10" s="2">
        <v>62</v>
      </c>
      <c r="L10" s="4">
        <f t="shared" si="4"/>
        <v>822.5</v>
      </c>
      <c r="M10" s="4"/>
      <c r="N10" s="4"/>
      <c r="O10" s="36">
        <f t="shared" si="1"/>
        <v>5465.5</v>
      </c>
      <c r="P10" s="2"/>
      <c r="Q10" s="1">
        <f>+E10/9.3*P10</f>
        <v>0</v>
      </c>
      <c r="R10" s="1"/>
      <c r="S10" s="1"/>
      <c r="T10" s="1"/>
    </row>
    <row r="11" spans="2:20" ht="19.899999999999999" customHeight="1">
      <c r="B11" s="2">
        <v>3</v>
      </c>
      <c r="C11" s="13" t="s">
        <v>140</v>
      </c>
      <c r="D11" s="11">
        <v>10000</v>
      </c>
      <c r="E11" s="4">
        <f t="shared" si="2"/>
        <v>333.33333333333331</v>
      </c>
      <c r="F11" s="2">
        <v>29</v>
      </c>
      <c r="G11" s="33">
        <v>0</v>
      </c>
      <c r="H11" s="2">
        <f t="shared" si="3"/>
        <v>30</v>
      </c>
      <c r="I11" s="4">
        <f t="shared" si="0"/>
        <v>10000</v>
      </c>
      <c r="J11" s="86"/>
      <c r="K11" s="2"/>
      <c r="L11" s="4">
        <f t="shared" si="4"/>
        <v>0</v>
      </c>
      <c r="M11" s="4"/>
      <c r="N11" s="4"/>
      <c r="O11" s="36">
        <f t="shared" si="1"/>
        <v>10000</v>
      </c>
      <c r="P11" s="2">
        <v>300</v>
      </c>
      <c r="Q11" s="1"/>
      <c r="R11" s="1"/>
      <c r="S11" s="1"/>
      <c r="T11" s="1"/>
    </row>
    <row r="12" spans="2:20" ht="19.899999999999999" customHeight="1">
      <c r="B12" s="2">
        <v>9</v>
      </c>
      <c r="C12" s="13" t="s">
        <v>107</v>
      </c>
      <c r="D12" s="11">
        <v>4700</v>
      </c>
      <c r="E12" s="4">
        <f t="shared" si="2"/>
        <v>156.66666666666666</v>
      </c>
      <c r="F12" s="2">
        <v>29</v>
      </c>
      <c r="G12" s="34">
        <v>2.5</v>
      </c>
      <c r="H12" s="2">
        <f t="shared" si="3"/>
        <v>27.5</v>
      </c>
      <c r="I12" s="4">
        <f t="shared" si="0"/>
        <v>4308.333333333333</v>
      </c>
      <c r="J12" s="86"/>
      <c r="K12" s="2"/>
      <c r="L12" s="4">
        <f t="shared" si="4"/>
        <v>391.66666666666663</v>
      </c>
      <c r="M12" s="4"/>
      <c r="N12" s="4"/>
      <c r="O12" s="36">
        <f t="shared" si="1"/>
        <v>4308.333333333333</v>
      </c>
      <c r="P12" s="2"/>
      <c r="Q12" s="1"/>
      <c r="R12" s="1"/>
      <c r="S12" s="1"/>
      <c r="T12" s="1"/>
    </row>
    <row r="13" spans="2:20" ht="19.899999999999999" customHeight="1">
      <c r="B13" s="2">
        <v>10</v>
      </c>
      <c r="C13" s="13" t="s">
        <v>16</v>
      </c>
      <c r="D13" s="11">
        <v>4300</v>
      </c>
      <c r="E13" s="4">
        <f t="shared" si="2"/>
        <v>143.33333333333334</v>
      </c>
      <c r="F13" s="2">
        <v>29</v>
      </c>
      <c r="G13" s="33">
        <v>1.5</v>
      </c>
      <c r="H13" s="2">
        <f t="shared" si="3"/>
        <v>28.5</v>
      </c>
      <c r="I13" s="4">
        <f t="shared" si="0"/>
        <v>4085</v>
      </c>
      <c r="J13" s="86"/>
      <c r="K13" s="2"/>
      <c r="L13" s="4">
        <f t="shared" si="4"/>
        <v>215</v>
      </c>
      <c r="M13" s="4"/>
      <c r="N13" s="4"/>
      <c r="O13" s="36">
        <f t="shared" si="1"/>
        <v>4085</v>
      </c>
      <c r="P13" s="2"/>
      <c r="Q13" s="1"/>
      <c r="R13" s="1"/>
      <c r="S13" s="1"/>
      <c r="T13" s="1"/>
    </row>
    <row r="14" spans="2:20" ht="19.899999999999999" customHeight="1">
      <c r="B14" s="2">
        <v>11</v>
      </c>
      <c r="C14" s="13" t="s">
        <v>142</v>
      </c>
      <c r="D14" s="11">
        <v>3850</v>
      </c>
      <c r="E14" s="4">
        <f t="shared" si="2"/>
        <v>128.33333333333334</v>
      </c>
      <c r="F14" s="2">
        <v>29</v>
      </c>
      <c r="G14" s="33">
        <v>3</v>
      </c>
      <c r="H14" s="2">
        <f t="shared" si="3"/>
        <v>27</v>
      </c>
      <c r="I14" s="4">
        <f t="shared" si="0"/>
        <v>3465</v>
      </c>
      <c r="J14" s="86"/>
      <c r="K14" s="2"/>
      <c r="L14" s="4">
        <f t="shared" si="4"/>
        <v>385</v>
      </c>
      <c r="M14" s="4"/>
      <c r="N14" s="4"/>
      <c r="O14" s="36">
        <f t="shared" si="1"/>
        <v>3465</v>
      </c>
      <c r="P14" s="2"/>
      <c r="Q14" s="1"/>
      <c r="R14" s="1"/>
      <c r="S14" s="1"/>
      <c r="T14" s="1"/>
    </row>
    <row r="15" spans="2:20" ht="19.899999999999999" customHeight="1">
      <c r="B15" s="2">
        <v>12</v>
      </c>
      <c r="C15" s="13" t="s">
        <v>143</v>
      </c>
      <c r="D15" s="11">
        <v>4450</v>
      </c>
      <c r="E15" s="4">
        <f t="shared" si="2"/>
        <v>148.33333333333334</v>
      </c>
      <c r="F15" s="2">
        <v>29</v>
      </c>
      <c r="G15" s="33">
        <v>14</v>
      </c>
      <c r="H15" s="2">
        <f t="shared" si="3"/>
        <v>16</v>
      </c>
      <c r="I15" s="4">
        <f t="shared" si="0"/>
        <v>2373.333333333333</v>
      </c>
      <c r="J15" s="86"/>
      <c r="K15" s="2"/>
      <c r="L15" s="4">
        <f t="shared" si="4"/>
        <v>2076.666666666667</v>
      </c>
      <c r="M15" s="4"/>
      <c r="N15" s="4"/>
      <c r="O15" s="36">
        <f t="shared" si="1"/>
        <v>2373.333333333333</v>
      </c>
      <c r="P15" s="2"/>
      <c r="Q15" s="1"/>
      <c r="R15" s="1"/>
      <c r="S15" s="1"/>
      <c r="T15" s="1"/>
    </row>
    <row r="16" spans="2:20" ht="19.899999999999999" customHeight="1">
      <c r="B16" s="2">
        <v>4</v>
      </c>
      <c r="C16" s="13" t="s">
        <v>58</v>
      </c>
      <c r="D16" s="11">
        <v>3850</v>
      </c>
      <c r="E16" s="4">
        <f t="shared" si="2"/>
        <v>128.33333333333334</v>
      </c>
      <c r="F16" s="2">
        <v>29</v>
      </c>
      <c r="G16" s="33">
        <v>0</v>
      </c>
      <c r="H16" s="2">
        <f t="shared" si="3"/>
        <v>30</v>
      </c>
      <c r="I16" s="4">
        <f t="shared" si="0"/>
        <v>3850</v>
      </c>
      <c r="J16" s="86"/>
      <c r="K16" s="2"/>
      <c r="L16" s="4">
        <f t="shared" si="4"/>
        <v>0</v>
      </c>
      <c r="M16" s="4"/>
      <c r="N16" s="4"/>
      <c r="O16" s="36">
        <f t="shared" si="1"/>
        <v>3850</v>
      </c>
      <c r="P16" s="2">
        <v>300</v>
      </c>
      <c r="Q16" s="1"/>
      <c r="R16" s="1"/>
      <c r="S16" s="1"/>
      <c r="T16" s="1"/>
    </row>
    <row r="17" spans="2:20" ht="19.899999999999999" customHeight="1">
      <c r="B17" s="2">
        <v>14</v>
      </c>
      <c r="C17" s="13" t="s">
        <v>54</v>
      </c>
      <c r="D17" s="11">
        <v>4250</v>
      </c>
      <c r="E17" s="4">
        <f t="shared" si="2"/>
        <v>141.66666666666666</v>
      </c>
      <c r="F17" s="2">
        <v>29</v>
      </c>
      <c r="G17" s="33">
        <v>1.5</v>
      </c>
      <c r="H17" s="2">
        <f t="shared" si="3"/>
        <v>28.5</v>
      </c>
      <c r="I17" s="4">
        <f t="shared" si="0"/>
        <v>4037.5</v>
      </c>
      <c r="J17" s="86"/>
      <c r="K17" s="2"/>
      <c r="L17" s="4">
        <f t="shared" si="4"/>
        <v>212.5</v>
      </c>
      <c r="M17" s="4"/>
      <c r="N17" s="4"/>
      <c r="O17" s="36">
        <f t="shared" si="1"/>
        <v>4037.5</v>
      </c>
      <c r="P17" s="2"/>
      <c r="Q17" s="41"/>
      <c r="R17" s="1"/>
      <c r="S17" s="1"/>
      <c r="T17" s="1"/>
    </row>
    <row r="18" spans="2:20" ht="19.899999999999999" customHeight="1">
      <c r="B18" s="2">
        <v>15</v>
      </c>
      <c r="C18" s="13" t="s">
        <v>53</v>
      </c>
      <c r="D18" s="11">
        <v>3800</v>
      </c>
      <c r="E18" s="4">
        <f t="shared" si="2"/>
        <v>126.66666666666667</v>
      </c>
      <c r="F18" s="2">
        <v>29</v>
      </c>
      <c r="G18" s="34">
        <v>3</v>
      </c>
      <c r="H18" s="2">
        <f t="shared" si="3"/>
        <v>27</v>
      </c>
      <c r="I18" s="4">
        <f t="shared" si="0"/>
        <v>3420</v>
      </c>
      <c r="J18" s="86"/>
      <c r="K18" s="2"/>
      <c r="L18" s="4">
        <f t="shared" si="4"/>
        <v>380</v>
      </c>
      <c r="M18" s="4"/>
      <c r="N18" s="4"/>
      <c r="O18" s="36">
        <f t="shared" si="1"/>
        <v>3420</v>
      </c>
      <c r="P18" s="2"/>
      <c r="Q18" s="1"/>
      <c r="R18" s="1"/>
      <c r="S18" s="1"/>
      <c r="T18" s="1"/>
    </row>
    <row r="19" spans="2:20" ht="19.899999999999999" customHeight="1">
      <c r="B19" s="2">
        <v>16</v>
      </c>
      <c r="C19" s="13" t="s">
        <v>10</v>
      </c>
      <c r="D19" s="11">
        <v>7100</v>
      </c>
      <c r="E19" s="4">
        <f>SUM(D19/30)</f>
        <v>236.66666666666666</v>
      </c>
      <c r="F19" s="2">
        <v>29</v>
      </c>
      <c r="G19" s="34">
        <v>4</v>
      </c>
      <c r="H19" s="2">
        <f t="shared" si="3"/>
        <v>26</v>
      </c>
      <c r="I19" s="4">
        <f t="shared" si="0"/>
        <v>6153.333333333333</v>
      </c>
      <c r="J19" s="33">
        <v>1500</v>
      </c>
      <c r="K19" s="2"/>
      <c r="L19" s="4">
        <f>SUM(G19*E19)</f>
        <v>946.66666666666663</v>
      </c>
      <c r="M19" s="4"/>
      <c r="N19" s="4"/>
      <c r="O19" s="36">
        <f t="shared" si="1"/>
        <v>4653.333333333333</v>
      </c>
      <c r="P19" s="2"/>
      <c r="Q19" s="1"/>
      <c r="R19" s="1"/>
      <c r="S19" s="1"/>
      <c r="T19" s="1"/>
    </row>
    <row r="20" spans="2:20" ht="19.899999999999999" customHeight="1">
      <c r="B20" s="2">
        <v>17</v>
      </c>
      <c r="C20" s="13" t="s">
        <v>23</v>
      </c>
      <c r="D20" s="11">
        <v>3700</v>
      </c>
      <c r="E20" s="4">
        <f t="shared" si="2"/>
        <v>123.33333333333333</v>
      </c>
      <c r="F20" s="2">
        <v>29</v>
      </c>
      <c r="G20" s="33">
        <v>2</v>
      </c>
      <c r="H20" s="2">
        <f t="shared" si="3"/>
        <v>28</v>
      </c>
      <c r="I20" s="4">
        <f t="shared" si="0"/>
        <v>3453.3333333333335</v>
      </c>
      <c r="J20" s="86"/>
      <c r="K20" s="2"/>
      <c r="L20" s="4">
        <f t="shared" si="4"/>
        <v>246.66666666666666</v>
      </c>
      <c r="M20" s="4"/>
      <c r="N20" s="4"/>
      <c r="O20" s="36">
        <f t="shared" si="1"/>
        <v>3453.3333333333335</v>
      </c>
      <c r="P20" s="2"/>
      <c r="Q20" s="1"/>
      <c r="R20" s="1"/>
      <c r="S20" s="1"/>
      <c r="T20" s="1"/>
    </row>
    <row r="21" spans="2:20" ht="19.899999999999999" customHeight="1">
      <c r="B21" s="2">
        <v>18</v>
      </c>
      <c r="C21" s="13" t="s">
        <v>24</v>
      </c>
      <c r="D21" s="11">
        <v>3600</v>
      </c>
      <c r="E21" s="4">
        <f t="shared" si="2"/>
        <v>120</v>
      </c>
      <c r="F21" s="2">
        <v>29</v>
      </c>
      <c r="G21" s="34">
        <v>3</v>
      </c>
      <c r="H21" s="2">
        <f t="shared" si="3"/>
        <v>27</v>
      </c>
      <c r="I21" s="4">
        <f t="shared" si="0"/>
        <v>3240</v>
      </c>
      <c r="J21" s="86"/>
      <c r="K21" s="2"/>
      <c r="L21" s="4">
        <f t="shared" si="4"/>
        <v>360</v>
      </c>
      <c r="M21" s="4"/>
      <c r="N21" s="4"/>
      <c r="O21" s="36">
        <f t="shared" si="1"/>
        <v>3240</v>
      </c>
      <c r="P21" s="2"/>
      <c r="Q21" s="1"/>
      <c r="R21" s="1"/>
      <c r="S21" s="1"/>
      <c r="T21" s="1"/>
    </row>
    <row r="22" spans="2:20" ht="19.899999999999999" customHeight="1">
      <c r="B22" s="2">
        <v>19</v>
      </c>
      <c r="C22" s="13" t="s">
        <v>25</v>
      </c>
      <c r="D22" s="11">
        <v>3700</v>
      </c>
      <c r="E22" s="4">
        <f t="shared" si="2"/>
        <v>123.33333333333333</v>
      </c>
      <c r="F22" s="2">
        <v>29</v>
      </c>
      <c r="G22" s="34">
        <v>2</v>
      </c>
      <c r="H22" s="2">
        <f t="shared" si="3"/>
        <v>28</v>
      </c>
      <c r="I22" s="4">
        <f t="shared" si="0"/>
        <v>3453.3333333333335</v>
      </c>
      <c r="J22" s="86"/>
      <c r="K22" s="2"/>
      <c r="L22" s="4">
        <f t="shared" si="4"/>
        <v>246.66666666666666</v>
      </c>
      <c r="M22" s="4"/>
      <c r="N22" s="4"/>
      <c r="O22" s="36">
        <f t="shared" si="1"/>
        <v>3453.3333333333335</v>
      </c>
      <c r="P22" s="2"/>
      <c r="Q22" s="1"/>
      <c r="R22" s="1"/>
      <c r="S22" s="1"/>
      <c r="T22" s="1"/>
    </row>
    <row r="23" spans="2:20" ht="19.899999999999999" customHeight="1">
      <c r="B23" s="2">
        <v>20</v>
      </c>
      <c r="C23" s="13" t="s">
        <v>28</v>
      </c>
      <c r="D23" s="11">
        <v>7000</v>
      </c>
      <c r="E23" s="4">
        <f t="shared" si="2"/>
        <v>233.33333333333334</v>
      </c>
      <c r="F23" s="2">
        <v>29</v>
      </c>
      <c r="G23" s="34">
        <v>2.5</v>
      </c>
      <c r="H23" s="2">
        <f t="shared" si="3"/>
        <v>27.5</v>
      </c>
      <c r="I23" s="4">
        <f t="shared" si="0"/>
        <v>6416.666666666667</v>
      </c>
      <c r="J23" s="86">
        <v>3000</v>
      </c>
      <c r="K23" s="2"/>
      <c r="L23" s="4">
        <f t="shared" si="4"/>
        <v>583.33333333333337</v>
      </c>
      <c r="M23" s="4"/>
      <c r="N23" s="4"/>
      <c r="O23" s="36">
        <f t="shared" si="1"/>
        <v>3416.666666666667</v>
      </c>
      <c r="P23" s="2"/>
      <c r="Q23" s="1"/>
      <c r="R23" s="1"/>
      <c r="S23" s="1"/>
      <c r="T23" s="1"/>
    </row>
    <row r="24" spans="2:20" ht="19.899999999999999" customHeight="1">
      <c r="B24" s="2">
        <v>5</v>
      </c>
      <c r="C24" s="13" t="s">
        <v>15</v>
      </c>
      <c r="D24" s="11">
        <v>2850</v>
      </c>
      <c r="E24" s="4">
        <f t="shared" si="2"/>
        <v>95</v>
      </c>
      <c r="F24" s="2">
        <v>29</v>
      </c>
      <c r="G24" s="34">
        <v>0</v>
      </c>
      <c r="H24" s="2">
        <f t="shared" si="3"/>
        <v>30</v>
      </c>
      <c r="I24" s="4">
        <f t="shared" si="0"/>
        <v>2850</v>
      </c>
      <c r="J24" s="86"/>
      <c r="K24" s="2"/>
      <c r="L24" s="4">
        <f t="shared" si="4"/>
        <v>0</v>
      </c>
      <c r="M24" s="4"/>
      <c r="N24" s="4"/>
      <c r="O24" s="36">
        <f>SUM(I24-J24-M24-N24-K24)</f>
        <v>2850</v>
      </c>
      <c r="P24" s="2">
        <v>300</v>
      </c>
      <c r="Q24" s="1"/>
      <c r="R24" s="1"/>
      <c r="S24" s="1"/>
      <c r="T24" s="1"/>
    </row>
    <row r="25" spans="2:20" ht="19.899999999999999" customHeight="1">
      <c r="B25" s="2">
        <v>6</v>
      </c>
      <c r="C25" s="13" t="s">
        <v>88</v>
      </c>
      <c r="D25" s="11">
        <v>3500</v>
      </c>
      <c r="E25" s="4">
        <f t="shared" si="2"/>
        <v>116.66666666666667</v>
      </c>
      <c r="F25" s="2">
        <v>29</v>
      </c>
      <c r="G25" s="34">
        <v>0.5</v>
      </c>
      <c r="H25" s="2">
        <f t="shared" si="3"/>
        <v>29.5</v>
      </c>
      <c r="I25" s="4">
        <f t="shared" si="0"/>
        <v>3441.6666666666665</v>
      </c>
      <c r="J25" s="86"/>
      <c r="K25" s="2"/>
      <c r="L25" s="4">
        <f t="shared" si="4"/>
        <v>58.333333333333336</v>
      </c>
      <c r="M25" s="4"/>
      <c r="N25" s="4"/>
      <c r="O25" s="36">
        <f t="shared" si="1"/>
        <v>3441.6666666666665</v>
      </c>
      <c r="P25" s="2">
        <v>250</v>
      </c>
      <c r="Q25" s="1"/>
      <c r="R25" s="1"/>
      <c r="S25" s="1"/>
      <c r="T25" s="1"/>
    </row>
    <row r="26" spans="2:20" ht="19.899999999999999" customHeight="1">
      <c r="B26" s="2">
        <v>23</v>
      </c>
      <c r="C26" s="13" t="s">
        <v>75</v>
      </c>
      <c r="D26" s="11">
        <v>3300</v>
      </c>
      <c r="E26" s="4">
        <f t="shared" si="2"/>
        <v>110</v>
      </c>
      <c r="F26" s="2">
        <v>29</v>
      </c>
      <c r="G26" s="34">
        <v>4.5</v>
      </c>
      <c r="H26" s="2">
        <f t="shared" si="3"/>
        <v>25.5</v>
      </c>
      <c r="I26" s="4">
        <f t="shared" si="0"/>
        <v>2805</v>
      </c>
      <c r="J26" s="33">
        <v>1500</v>
      </c>
      <c r="K26" s="2"/>
      <c r="L26" s="4">
        <f t="shared" si="4"/>
        <v>495</v>
      </c>
      <c r="M26" s="4"/>
      <c r="N26" s="4"/>
      <c r="O26" s="36">
        <f t="shared" si="1"/>
        <v>1305</v>
      </c>
      <c r="P26" s="2"/>
      <c r="Q26" s="1"/>
      <c r="R26" s="1"/>
      <c r="S26" s="1"/>
      <c r="T26" s="1"/>
    </row>
    <row r="27" spans="2:20" ht="19.899999999999999" customHeight="1">
      <c r="B27" s="2">
        <v>24</v>
      </c>
      <c r="C27" s="13" t="s">
        <v>124</v>
      </c>
      <c r="D27" s="11">
        <v>3200</v>
      </c>
      <c r="E27" s="4">
        <f t="shared" si="2"/>
        <v>106.66666666666667</v>
      </c>
      <c r="F27" s="2">
        <v>29</v>
      </c>
      <c r="G27" s="34">
        <v>2.5</v>
      </c>
      <c r="H27" s="2">
        <f t="shared" si="3"/>
        <v>27.5</v>
      </c>
      <c r="I27" s="4">
        <f t="shared" si="0"/>
        <v>2933.3333333333335</v>
      </c>
      <c r="J27" s="33">
        <v>1000</v>
      </c>
      <c r="K27" s="2"/>
      <c r="L27" s="4">
        <f t="shared" si="4"/>
        <v>266.66666666666669</v>
      </c>
      <c r="M27" s="4"/>
      <c r="N27" s="4"/>
      <c r="O27" s="36">
        <f t="shared" si="1"/>
        <v>1933.3333333333335</v>
      </c>
      <c r="P27" s="2"/>
      <c r="Q27" s="1"/>
      <c r="R27" s="1"/>
      <c r="S27" s="1"/>
      <c r="T27" s="1"/>
    </row>
    <row r="28" spans="2:20" ht="19.899999999999999" customHeight="1">
      <c r="B28" s="2">
        <v>25</v>
      </c>
      <c r="C28" s="13" t="s">
        <v>79</v>
      </c>
      <c r="D28" s="11">
        <v>2500</v>
      </c>
      <c r="E28" s="4">
        <f t="shared" si="2"/>
        <v>83.333333333333329</v>
      </c>
      <c r="F28" s="2">
        <v>29</v>
      </c>
      <c r="G28" s="34">
        <v>1.5</v>
      </c>
      <c r="H28" s="2">
        <f t="shared" si="3"/>
        <v>28.5</v>
      </c>
      <c r="I28" s="4">
        <f t="shared" si="0"/>
        <v>2375</v>
      </c>
      <c r="J28" s="86"/>
      <c r="K28" s="2">
        <v>12</v>
      </c>
      <c r="L28" s="4">
        <f t="shared" si="4"/>
        <v>125</v>
      </c>
      <c r="M28" s="4"/>
      <c r="N28" s="4"/>
      <c r="O28" s="36">
        <f>SUM(I28-J28-M28-N28-K28)</f>
        <v>2363</v>
      </c>
      <c r="P28" s="2"/>
      <c r="Q28" s="1">
        <f>+E28/8.3*P28</f>
        <v>0</v>
      </c>
      <c r="R28" s="1"/>
      <c r="S28" s="1"/>
      <c r="T28" s="1"/>
    </row>
    <row r="29" spans="2:20" ht="19.899999999999999" customHeight="1">
      <c r="B29" s="2">
        <v>7</v>
      </c>
      <c r="C29" s="13" t="s">
        <v>78</v>
      </c>
      <c r="D29" s="11">
        <v>4000</v>
      </c>
      <c r="E29" s="4">
        <f t="shared" si="2"/>
        <v>133.33333333333334</v>
      </c>
      <c r="F29" s="2">
        <v>29</v>
      </c>
      <c r="G29" s="34">
        <v>0.5</v>
      </c>
      <c r="H29" s="2">
        <f t="shared" si="3"/>
        <v>29.5</v>
      </c>
      <c r="I29" s="4">
        <f t="shared" si="0"/>
        <v>3933.3333333333335</v>
      </c>
      <c r="J29" s="86"/>
      <c r="K29" s="2"/>
      <c r="L29" s="4">
        <f t="shared" si="4"/>
        <v>66.666666666666671</v>
      </c>
      <c r="M29" s="4"/>
      <c r="N29" s="4"/>
      <c r="O29" s="36">
        <f t="shared" si="1"/>
        <v>3933.3333333333335</v>
      </c>
      <c r="P29" s="2">
        <v>250</v>
      </c>
    </row>
    <row r="30" spans="2:20" ht="19.899999999999999" customHeight="1">
      <c r="B30" s="2">
        <v>27</v>
      </c>
      <c r="C30" s="13" t="s">
        <v>89</v>
      </c>
      <c r="D30" s="16">
        <v>2500</v>
      </c>
      <c r="E30" s="17">
        <f t="shared" si="2"/>
        <v>83.333333333333329</v>
      </c>
      <c r="F30" s="2">
        <v>29</v>
      </c>
      <c r="G30" s="35">
        <v>1.5</v>
      </c>
      <c r="H30" s="2">
        <f t="shared" si="3"/>
        <v>28.5</v>
      </c>
      <c r="I30" s="17">
        <f t="shared" si="0"/>
        <v>2375</v>
      </c>
      <c r="J30" s="33">
        <v>500</v>
      </c>
      <c r="K30" s="18"/>
      <c r="L30" s="17">
        <f t="shared" si="4"/>
        <v>125</v>
      </c>
      <c r="M30" s="17"/>
      <c r="N30" s="17"/>
      <c r="O30" s="36">
        <f t="shared" si="1"/>
        <v>1875</v>
      </c>
      <c r="P30" s="2"/>
    </row>
    <row r="31" spans="2:20" ht="19.899999999999999" customHeight="1">
      <c r="B31" s="2">
        <v>8</v>
      </c>
      <c r="C31" s="13" t="s">
        <v>93</v>
      </c>
      <c r="D31" s="16">
        <v>2500</v>
      </c>
      <c r="E31" s="17">
        <f t="shared" si="2"/>
        <v>83.333333333333329</v>
      </c>
      <c r="F31" s="2">
        <v>29</v>
      </c>
      <c r="G31" s="35">
        <v>0</v>
      </c>
      <c r="H31" s="2">
        <f t="shared" si="3"/>
        <v>30</v>
      </c>
      <c r="I31" s="17">
        <f t="shared" si="0"/>
        <v>2500</v>
      </c>
      <c r="J31" s="86"/>
      <c r="K31" s="18"/>
      <c r="L31" s="17">
        <f t="shared" si="4"/>
        <v>0</v>
      </c>
      <c r="M31" s="17"/>
      <c r="N31" s="17"/>
      <c r="O31" s="36">
        <f t="shared" si="1"/>
        <v>2500</v>
      </c>
      <c r="P31" s="2">
        <v>300</v>
      </c>
    </row>
    <row r="32" spans="2:20" ht="19.899999999999999" customHeight="1">
      <c r="B32" s="2">
        <v>9</v>
      </c>
      <c r="C32" s="13" t="s">
        <v>101</v>
      </c>
      <c r="D32" s="16">
        <v>2500</v>
      </c>
      <c r="E32" s="17">
        <f t="shared" si="2"/>
        <v>83.333333333333329</v>
      </c>
      <c r="F32" s="2">
        <v>29</v>
      </c>
      <c r="G32" s="35">
        <v>0</v>
      </c>
      <c r="H32" s="2">
        <f t="shared" si="3"/>
        <v>30</v>
      </c>
      <c r="I32" s="17">
        <f t="shared" si="0"/>
        <v>2500</v>
      </c>
      <c r="J32" s="86"/>
      <c r="K32" s="18"/>
      <c r="L32" s="17">
        <f t="shared" si="4"/>
        <v>0</v>
      </c>
      <c r="M32" s="17"/>
      <c r="N32" s="17"/>
      <c r="O32" s="36">
        <f t="shared" si="1"/>
        <v>2500</v>
      </c>
      <c r="P32" s="2">
        <v>300</v>
      </c>
    </row>
    <row r="33" spans="2:17" ht="19.899999999999999" customHeight="1">
      <c r="B33" s="2"/>
      <c r="C33" s="13"/>
      <c r="D33" s="16"/>
      <c r="E33" s="17"/>
      <c r="F33" s="2"/>
      <c r="G33" s="35"/>
      <c r="H33" s="2"/>
      <c r="I33" s="17"/>
      <c r="J33" s="86"/>
      <c r="K33" s="18"/>
      <c r="L33" s="17"/>
      <c r="M33" s="17"/>
      <c r="N33" s="17"/>
      <c r="O33" s="36"/>
      <c r="P33" s="2"/>
    </row>
    <row r="34" spans="2:17" ht="19.899999999999999" customHeight="1">
      <c r="B34" s="2">
        <v>30</v>
      </c>
      <c r="C34" s="13" t="s">
        <v>104</v>
      </c>
      <c r="D34" s="16">
        <v>3000</v>
      </c>
      <c r="E34" s="17">
        <f t="shared" si="2"/>
        <v>100</v>
      </c>
      <c r="F34" s="2">
        <v>29</v>
      </c>
      <c r="G34" s="35">
        <v>15.5</v>
      </c>
      <c r="H34" s="2">
        <f t="shared" si="3"/>
        <v>14.5</v>
      </c>
      <c r="I34" s="17">
        <f>SUM(D34-L34)</f>
        <v>1450</v>
      </c>
      <c r="J34" s="86"/>
      <c r="K34" s="18"/>
      <c r="L34" s="17">
        <f t="shared" si="4"/>
        <v>1550</v>
      </c>
      <c r="M34" s="17"/>
      <c r="N34" s="17"/>
      <c r="O34" s="36">
        <f t="shared" si="1"/>
        <v>1450</v>
      </c>
      <c r="P34" s="2"/>
    </row>
    <row r="35" spans="2:17" ht="19.899999999999999" customHeight="1">
      <c r="B35" s="2">
        <v>31</v>
      </c>
      <c r="C35" s="13" t="s">
        <v>108</v>
      </c>
      <c r="D35" s="16">
        <v>2500</v>
      </c>
      <c r="E35" s="17">
        <f t="shared" si="2"/>
        <v>83.333333333333329</v>
      </c>
      <c r="F35" s="2">
        <v>7</v>
      </c>
      <c r="G35" s="35"/>
      <c r="H35" s="2">
        <v>7</v>
      </c>
      <c r="I35" s="17">
        <f>+E35*7</f>
        <v>583.33333333333326</v>
      </c>
      <c r="J35" s="86"/>
      <c r="K35" s="18"/>
      <c r="L35" s="17">
        <f t="shared" si="4"/>
        <v>0</v>
      </c>
      <c r="M35" s="17"/>
      <c r="N35" s="17"/>
      <c r="O35" s="36">
        <f t="shared" si="1"/>
        <v>583.33333333333326</v>
      </c>
      <c r="P35" s="2"/>
    </row>
    <row r="36" spans="2:17" ht="19.899999999999999" customHeight="1">
      <c r="B36" s="2">
        <v>32</v>
      </c>
      <c r="C36" s="13" t="s">
        <v>111</v>
      </c>
      <c r="D36" s="38">
        <v>8500</v>
      </c>
      <c r="E36" s="17">
        <f t="shared" si="2"/>
        <v>283.33333333333331</v>
      </c>
      <c r="F36" s="2">
        <v>29</v>
      </c>
      <c r="G36" s="35">
        <v>1</v>
      </c>
      <c r="H36" s="2">
        <f t="shared" si="3"/>
        <v>29</v>
      </c>
      <c r="I36" s="17">
        <f t="shared" si="0"/>
        <v>8216.6666666666661</v>
      </c>
      <c r="J36" s="33">
        <f>400+2000+2000+150</f>
        <v>4550</v>
      </c>
      <c r="K36" s="18"/>
      <c r="L36" s="17">
        <f t="shared" si="4"/>
        <v>283.33333333333331</v>
      </c>
      <c r="M36" s="17"/>
      <c r="N36" s="17"/>
      <c r="O36" s="36">
        <f t="shared" si="1"/>
        <v>3666.6666666666661</v>
      </c>
      <c r="P36" s="2"/>
    </row>
    <row r="37" spans="2:17" ht="19.899999999999999" customHeight="1">
      <c r="B37" s="2">
        <v>33</v>
      </c>
      <c r="C37" s="13" t="s">
        <v>112</v>
      </c>
      <c r="D37" s="38">
        <v>3500</v>
      </c>
      <c r="E37" s="17">
        <f t="shared" si="2"/>
        <v>116.66666666666667</v>
      </c>
      <c r="F37" s="2">
        <v>29</v>
      </c>
      <c r="G37" s="35">
        <v>3</v>
      </c>
      <c r="H37" s="2">
        <f t="shared" si="3"/>
        <v>27</v>
      </c>
      <c r="I37" s="17">
        <f t="shared" si="0"/>
        <v>3150</v>
      </c>
      <c r="J37" s="33">
        <v>1000</v>
      </c>
      <c r="K37" s="18"/>
      <c r="L37" s="17">
        <f t="shared" si="4"/>
        <v>350</v>
      </c>
      <c r="M37" s="17"/>
      <c r="N37" s="17"/>
      <c r="O37" s="36">
        <f t="shared" si="1"/>
        <v>2150</v>
      </c>
      <c r="P37" s="2"/>
    </row>
    <row r="38" spans="2:17" ht="19.899999999999999" customHeight="1">
      <c r="B38" s="2">
        <v>34</v>
      </c>
      <c r="C38" s="13" t="s">
        <v>114</v>
      </c>
      <c r="D38" s="38">
        <v>12500</v>
      </c>
      <c r="E38" s="17">
        <f t="shared" si="2"/>
        <v>416.66666666666669</v>
      </c>
      <c r="F38" s="2">
        <v>29</v>
      </c>
      <c r="G38" s="35">
        <v>3</v>
      </c>
      <c r="H38" s="2">
        <f t="shared" si="3"/>
        <v>27</v>
      </c>
      <c r="I38" s="17">
        <f t="shared" si="0"/>
        <v>11250</v>
      </c>
      <c r="J38" s="86">
        <v>5000</v>
      </c>
      <c r="K38" s="18"/>
      <c r="L38" s="17">
        <f t="shared" si="4"/>
        <v>1250</v>
      </c>
      <c r="M38" s="17"/>
      <c r="N38" s="17"/>
      <c r="O38" s="36">
        <f t="shared" si="1"/>
        <v>6250</v>
      </c>
      <c r="P38" s="2"/>
      <c r="Q38" s="1"/>
    </row>
    <row r="39" spans="2:17" ht="19.899999999999999" customHeight="1">
      <c r="B39" s="2">
        <v>35</v>
      </c>
      <c r="C39" s="13" t="s">
        <v>117</v>
      </c>
      <c r="D39" s="38">
        <v>2500</v>
      </c>
      <c r="E39" s="17">
        <f t="shared" si="2"/>
        <v>83.333333333333329</v>
      </c>
      <c r="F39" s="2">
        <v>29</v>
      </c>
      <c r="G39" s="35">
        <v>4.5</v>
      </c>
      <c r="H39" s="2">
        <f t="shared" si="3"/>
        <v>25.5</v>
      </c>
      <c r="I39" s="17">
        <f t="shared" si="0"/>
        <v>2125</v>
      </c>
      <c r="J39" s="86"/>
      <c r="K39" s="18"/>
      <c r="L39" s="17">
        <f t="shared" si="4"/>
        <v>375</v>
      </c>
      <c r="M39" s="17"/>
      <c r="N39" s="17"/>
      <c r="O39" s="36">
        <f t="shared" si="1"/>
        <v>2125</v>
      </c>
      <c r="P39" s="2"/>
    </row>
    <row r="40" spans="2:17" ht="19.899999999999999" customHeight="1">
      <c r="B40" s="2">
        <v>36</v>
      </c>
      <c r="C40" s="13" t="s">
        <v>120</v>
      </c>
      <c r="D40" s="38">
        <v>2500</v>
      </c>
      <c r="E40" s="17">
        <f t="shared" si="2"/>
        <v>83.333333333333329</v>
      </c>
      <c r="F40" s="2">
        <v>29</v>
      </c>
      <c r="G40" s="35">
        <v>3.5</v>
      </c>
      <c r="H40" s="2">
        <f t="shared" si="3"/>
        <v>26.5</v>
      </c>
      <c r="I40" s="17">
        <f t="shared" si="0"/>
        <v>2208.3333333333335</v>
      </c>
      <c r="J40" s="86"/>
      <c r="K40" s="18">
        <v>800</v>
      </c>
      <c r="L40" s="17">
        <f t="shared" si="4"/>
        <v>291.66666666666663</v>
      </c>
      <c r="M40" s="17"/>
      <c r="N40" s="17"/>
      <c r="O40" s="36">
        <f t="shared" si="1"/>
        <v>1408.3333333333335</v>
      </c>
      <c r="P40" s="2"/>
      <c r="Q40" s="1"/>
    </row>
    <row r="41" spans="2:17" ht="19.899999999999999" customHeight="1">
      <c r="B41" s="2">
        <v>37</v>
      </c>
      <c r="C41" s="13" t="s">
        <v>126</v>
      </c>
      <c r="D41" s="38">
        <v>10000</v>
      </c>
      <c r="E41" s="17">
        <f t="shared" si="2"/>
        <v>333.33333333333331</v>
      </c>
      <c r="F41" s="2">
        <v>29</v>
      </c>
      <c r="G41" s="35">
        <v>1.5</v>
      </c>
      <c r="H41" s="2">
        <f t="shared" si="3"/>
        <v>28.5</v>
      </c>
      <c r="I41" s="17">
        <f>SUM(D41-L41)-840</f>
        <v>8660</v>
      </c>
      <c r="J41" s="86"/>
      <c r="K41" s="18"/>
      <c r="L41" s="17">
        <f t="shared" si="4"/>
        <v>500</v>
      </c>
      <c r="M41" s="17"/>
      <c r="N41" s="17"/>
      <c r="O41" s="36">
        <f t="shared" si="1"/>
        <v>8660</v>
      </c>
      <c r="P41" s="2"/>
    </row>
    <row r="42" spans="2:17" ht="19.899999999999999" customHeight="1">
      <c r="B42" s="2">
        <v>38</v>
      </c>
      <c r="C42" s="13" t="s">
        <v>145</v>
      </c>
      <c r="D42" s="38">
        <v>2500</v>
      </c>
      <c r="E42" s="17">
        <f t="shared" si="2"/>
        <v>83.333333333333329</v>
      </c>
      <c r="F42" s="2">
        <v>29</v>
      </c>
      <c r="G42" s="35">
        <v>13</v>
      </c>
      <c r="H42" s="2">
        <f t="shared" si="3"/>
        <v>17</v>
      </c>
      <c r="I42" s="17">
        <f t="shared" si="0"/>
        <v>1416.6666666666667</v>
      </c>
      <c r="J42" s="86"/>
      <c r="K42" s="18"/>
      <c r="L42" s="17">
        <f t="shared" si="4"/>
        <v>1083.3333333333333</v>
      </c>
      <c r="M42" s="17"/>
      <c r="N42" s="17"/>
      <c r="O42" s="36">
        <f t="shared" si="1"/>
        <v>1416.6666666666667</v>
      </c>
      <c r="P42" s="2"/>
    </row>
    <row r="43" spans="2:17" ht="19.899999999999999" customHeight="1">
      <c r="B43" s="2">
        <v>10</v>
      </c>
      <c r="C43" s="13" t="s">
        <v>130</v>
      </c>
      <c r="D43" s="38">
        <v>12000</v>
      </c>
      <c r="E43" s="17">
        <f t="shared" si="2"/>
        <v>400</v>
      </c>
      <c r="F43" s="2">
        <v>29</v>
      </c>
      <c r="G43" s="35">
        <v>0</v>
      </c>
      <c r="H43" s="2">
        <f t="shared" si="3"/>
        <v>30</v>
      </c>
      <c r="I43" s="17">
        <f t="shared" si="0"/>
        <v>12000</v>
      </c>
      <c r="J43" s="86"/>
      <c r="K43" s="18"/>
      <c r="L43" s="17">
        <f t="shared" si="4"/>
        <v>0</v>
      </c>
      <c r="M43" s="17"/>
      <c r="N43" s="17"/>
      <c r="O43" s="36">
        <f t="shared" si="1"/>
        <v>12000</v>
      </c>
      <c r="P43" s="2">
        <v>300</v>
      </c>
    </row>
    <row r="44" spans="2:17" ht="19.899999999999999" customHeight="1">
      <c r="B44" s="2">
        <v>40</v>
      </c>
      <c r="C44" s="66" t="s">
        <v>131</v>
      </c>
      <c r="D44" s="38">
        <v>2500</v>
      </c>
      <c r="E44" s="17">
        <f t="shared" si="2"/>
        <v>83.333333333333329</v>
      </c>
      <c r="F44" s="2">
        <v>29</v>
      </c>
      <c r="G44" s="35">
        <v>3</v>
      </c>
      <c r="H44" s="2">
        <f t="shared" si="3"/>
        <v>27</v>
      </c>
      <c r="I44" s="17">
        <f t="shared" si="0"/>
        <v>2250</v>
      </c>
      <c r="J44" s="88">
        <v>500</v>
      </c>
      <c r="K44" s="18">
        <v>20</v>
      </c>
      <c r="L44" s="17">
        <f t="shared" si="4"/>
        <v>250</v>
      </c>
      <c r="M44" s="17"/>
      <c r="N44" s="17"/>
      <c r="O44" s="36">
        <f t="shared" si="1"/>
        <v>1730</v>
      </c>
      <c r="P44" s="2"/>
      <c r="Q44" s="1">
        <f>+E44/8.3*P44</f>
        <v>0</v>
      </c>
    </row>
    <row r="45" spans="2:17" ht="19.899999999999999" customHeight="1">
      <c r="B45" s="2">
        <v>41</v>
      </c>
      <c r="C45" s="66" t="s">
        <v>137</v>
      </c>
      <c r="D45" s="38">
        <v>2500</v>
      </c>
      <c r="E45" s="17">
        <f t="shared" si="2"/>
        <v>83.333333333333329</v>
      </c>
      <c r="F45" s="2">
        <v>29</v>
      </c>
      <c r="G45" s="35">
        <v>1.5</v>
      </c>
      <c r="H45" s="2">
        <f t="shared" si="3"/>
        <v>28.5</v>
      </c>
      <c r="I45" s="17">
        <f>SUM(D45-L45)</f>
        <v>2375</v>
      </c>
      <c r="J45" s="87"/>
      <c r="K45" s="18"/>
      <c r="L45" s="17">
        <f t="shared" si="4"/>
        <v>125</v>
      </c>
      <c r="M45" s="17"/>
      <c r="N45" s="17"/>
      <c r="O45" s="36">
        <f t="shared" si="1"/>
        <v>2375</v>
      </c>
      <c r="P45" s="2"/>
    </row>
    <row r="46" spans="2:17" ht="19.899999999999999" customHeight="1">
      <c r="B46" s="2">
        <v>42</v>
      </c>
      <c r="C46" s="66" t="s">
        <v>147</v>
      </c>
      <c r="D46" s="38">
        <v>3500</v>
      </c>
      <c r="E46" s="17">
        <f t="shared" si="2"/>
        <v>116.66666666666667</v>
      </c>
      <c r="F46" s="2">
        <v>29</v>
      </c>
      <c r="G46" s="35">
        <v>3.5</v>
      </c>
      <c r="H46" s="2">
        <f t="shared" si="3"/>
        <v>26.5</v>
      </c>
      <c r="I46" s="17">
        <f t="shared" ref="I46:I48" si="5">SUM(D46-L46)</f>
        <v>3091.6666666666665</v>
      </c>
      <c r="J46" s="87">
        <v>1500</v>
      </c>
      <c r="K46" s="18"/>
      <c r="L46" s="17">
        <f t="shared" si="4"/>
        <v>408.33333333333337</v>
      </c>
      <c r="M46" s="17"/>
      <c r="N46" s="17"/>
      <c r="O46" s="36">
        <f t="shared" si="1"/>
        <v>1591.6666666666665</v>
      </c>
      <c r="P46" s="2"/>
    </row>
    <row r="47" spans="2:17" ht="19.899999999999999" customHeight="1">
      <c r="B47" s="2">
        <v>43</v>
      </c>
      <c r="C47" s="66" t="s">
        <v>150</v>
      </c>
      <c r="D47" s="38">
        <v>2500</v>
      </c>
      <c r="E47" s="17">
        <f t="shared" si="2"/>
        <v>83.333333333333329</v>
      </c>
      <c r="F47" s="2">
        <v>29</v>
      </c>
      <c r="G47" s="35">
        <v>6</v>
      </c>
      <c r="H47" s="2">
        <f t="shared" si="3"/>
        <v>24</v>
      </c>
      <c r="I47" s="17">
        <f t="shared" si="5"/>
        <v>2000</v>
      </c>
      <c r="J47" s="88">
        <v>1000</v>
      </c>
      <c r="K47" s="18"/>
      <c r="L47" s="17">
        <f t="shared" si="4"/>
        <v>500</v>
      </c>
      <c r="M47" s="17"/>
      <c r="N47" s="17"/>
      <c r="O47" s="36">
        <f t="shared" si="1"/>
        <v>1000</v>
      </c>
      <c r="P47" s="2"/>
    </row>
    <row r="48" spans="2:17" ht="19.899999999999999" customHeight="1">
      <c r="B48" s="2">
        <v>44</v>
      </c>
      <c r="C48" s="66" t="s">
        <v>151</v>
      </c>
      <c r="D48" s="38">
        <v>5000</v>
      </c>
      <c r="E48" s="17">
        <f t="shared" si="2"/>
        <v>166.66666666666666</v>
      </c>
      <c r="F48" s="2">
        <v>29</v>
      </c>
      <c r="G48" s="35">
        <v>3.5</v>
      </c>
      <c r="H48" s="2">
        <f t="shared" si="3"/>
        <v>26.5</v>
      </c>
      <c r="I48" s="17">
        <f t="shared" si="5"/>
        <v>4416.666666666667</v>
      </c>
      <c r="J48" s="87"/>
      <c r="K48" s="18"/>
      <c r="L48" s="17">
        <f t="shared" si="4"/>
        <v>583.33333333333326</v>
      </c>
      <c r="M48" s="17"/>
      <c r="N48" s="17"/>
      <c r="O48" s="36">
        <f t="shared" si="1"/>
        <v>4416.666666666667</v>
      </c>
      <c r="P48" s="2"/>
    </row>
    <row r="49" spans="2:16" ht="19.899999999999999" customHeight="1">
      <c r="B49" s="2">
        <v>45</v>
      </c>
      <c r="C49" s="66" t="s">
        <v>50</v>
      </c>
      <c r="D49" s="16">
        <v>6700</v>
      </c>
      <c r="E49" s="17">
        <f t="shared" si="2"/>
        <v>223.33333333333334</v>
      </c>
      <c r="F49" s="2">
        <v>29</v>
      </c>
      <c r="G49" s="18">
        <v>2.5</v>
      </c>
      <c r="H49" s="2">
        <f t="shared" si="3"/>
        <v>27.5</v>
      </c>
      <c r="I49" s="17">
        <f t="shared" si="0"/>
        <v>6141.666666666667</v>
      </c>
      <c r="J49" s="87">
        <v>100</v>
      </c>
      <c r="K49" s="18"/>
      <c r="L49" s="17">
        <f t="shared" si="4"/>
        <v>558.33333333333337</v>
      </c>
      <c r="M49" s="17"/>
      <c r="N49" s="17"/>
      <c r="O49" s="77">
        <f t="shared" si="1"/>
        <v>6041.666666666667</v>
      </c>
      <c r="P49" s="2"/>
    </row>
    <row r="50" spans="2:16" ht="19.899999999999999" customHeight="1">
      <c r="B50" s="2">
        <v>46</v>
      </c>
      <c r="C50" s="66" t="s">
        <v>154</v>
      </c>
      <c r="D50" s="16">
        <v>2500</v>
      </c>
      <c r="E50" s="17">
        <f t="shared" si="2"/>
        <v>83.333333333333329</v>
      </c>
      <c r="F50" s="18">
        <v>29</v>
      </c>
      <c r="G50" s="18">
        <v>5</v>
      </c>
      <c r="H50" s="2">
        <f t="shared" si="3"/>
        <v>25</v>
      </c>
      <c r="I50" s="17">
        <f t="shared" si="0"/>
        <v>2083.3333333333335</v>
      </c>
      <c r="J50" s="87"/>
      <c r="K50" s="18"/>
      <c r="L50" s="17">
        <f t="shared" si="4"/>
        <v>416.66666666666663</v>
      </c>
      <c r="M50" s="17"/>
      <c r="N50" s="17"/>
      <c r="O50" s="77">
        <f t="shared" si="1"/>
        <v>2083.3333333333335</v>
      </c>
      <c r="P50" s="81"/>
    </row>
    <row r="51" spans="2:16" ht="19.899999999999999" customHeight="1">
      <c r="B51" s="27">
        <v>47</v>
      </c>
      <c r="C51" s="66" t="s">
        <v>157</v>
      </c>
      <c r="D51" s="16">
        <v>6500</v>
      </c>
      <c r="E51" s="17">
        <f t="shared" si="2"/>
        <v>216.66666666666666</v>
      </c>
      <c r="F51" s="18">
        <v>29</v>
      </c>
      <c r="G51" s="18">
        <v>14</v>
      </c>
      <c r="H51" s="2">
        <f t="shared" si="3"/>
        <v>16</v>
      </c>
      <c r="I51" s="17">
        <f t="shared" si="0"/>
        <v>3466.666666666667</v>
      </c>
      <c r="J51" s="88">
        <v>1000</v>
      </c>
      <c r="K51" s="18"/>
      <c r="L51" s="17">
        <f t="shared" si="4"/>
        <v>3033.333333333333</v>
      </c>
      <c r="M51" s="17"/>
      <c r="N51" s="17"/>
      <c r="O51" s="77">
        <f t="shared" si="1"/>
        <v>2466.666666666667</v>
      </c>
      <c r="P51" s="85"/>
    </row>
    <row r="52" spans="2:16" ht="19.899999999999999" customHeight="1">
      <c r="B52" s="27"/>
      <c r="C52" s="89" t="s">
        <v>156</v>
      </c>
      <c r="D52" s="90">
        <v>10000</v>
      </c>
      <c r="E52" s="42">
        <f t="shared" si="2"/>
        <v>333.33333333333331</v>
      </c>
      <c r="F52" s="94">
        <v>20</v>
      </c>
      <c r="G52" s="1"/>
      <c r="H52" s="1">
        <v>20</v>
      </c>
      <c r="I52" s="17">
        <f>+E52*20</f>
        <v>6666.6666666666661</v>
      </c>
      <c r="J52" s="92">
        <v>4900</v>
      </c>
      <c r="K52" s="93"/>
      <c r="L52" s="91">
        <v>0</v>
      </c>
      <c r="M52" s="91"/>
      <c r="N52" s="91"/>
      <c r="O52" s="77">
        <f>SUM(I52-J52-M52-N52-K52)</f>
        <v>1766.6666666666661</v>
      </c>
      <c r="P52" s="85"/>
    </row>
    <row r="53" spans="2:16" ht="19.899999999999999" customHeight="1">
      <c r="B53" s="82"/>
      <c r="C53" s="48" t="s">
        <v>40</v>
      </c>
      <c r="D53" s="57">
        <f>SUM(D4:D52)</f>
        <v>259000</v>
      </c>
      <c r="E53" s="54"/>
      <c r="F53" s="55"/>
      <c r="G53" s="54"/>
      <c r="H53" s="55"/>
      <c r="I53" s="57">
        <f>SUM(I4:I52)</f>
        <v>220258.33333333326</v>
      </c>
      <c r="J53" s="57">
        <f t="shared" ref="J53:O53" si="6">SUM(J4:J52)</f>
        <v>37750</v>
      </c>
      <c r="K53" s="57">
        <f t="shared" si="6"/>
        <v>1583</v>
      </c>
      <c r="L53" s="57">
        <f t="shared" si="6"/>
        <v>22251.666666666661</v>
      </c>
      <c r="M53" s="57">
        <f t="shared" si="6"/>
        <v>1344</v>
      </c>
      <c r="N53" s="57">
        <f t="shared" si="6"/>
        <v>282</v>
      </c>
      <c r="O53" s="57">
        <f t="shared" si="6"/>
        <v>179299.33333333328</v>
      </c>
      <c r="P53" s="59">
        <f>SUM(P4:P50)</f>
        <v>2902.5</v>
      </c>
    </row>
    <row r="54" spans="2:16" ht="19.899999999999999" customHeight="1" thickBot="1">
      <c r="B54" s="3"/>
      <c r="C54" s="49" t="s">
        <v>40</v>
      </c>
      <c r="D54" s="21"/>
      <c r="E54" s="23"/>
      <c r="F54" s="12"/>
      <c r="G54" s="23"/>
      <c r="H54" s="12"/>
      <c r="I54" s="21"/>
      <c r="J54" s="50"/>
      <c r="K54" s="50"/>
      <c r="L54" s="50"/>
      <c r="M54" s="51"/>
      <c r="N54" s="51"/>
      <c r="O54" s="52"/>
      <c r="P54" s="46">
        <f>+P6+P9+P11+P16+P24+P25+P29+P31+P32+P43</f>
        <v>2900</v>
      </c>
    </row>
    <row r="55" spans="2:16">
      <c r="B55" s="83"/>
      <c r="I55" s="43"/>
      <c r="L55" s="47"/>
    </row>
    <row r="56" spans="2:16" ht="26.25">
      <c r="C56" s="26"/>
      <c r="D56" s="26"/>
      <c r="E56" s="26"/>
      <c r="F56" s="26"/>
      <c r="G56" s="26" t="s">
        <v>122</v>
      </c>
      <c r="H56" s="26"/>
      <c r="I56" s="26"/>
      <c r="J56" s="26"/>
      <c r="K56" s="76"/>
      <c r="L56" s="65"/>
      <c r="M56" s="26" t="s">
        <v>92</v>
      </c>
      <c r="N56" s="26"/>
    </row>
    <row r="57" spans="2:16" ht="26.2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</row>
    <row r="58" spans="2:16">
      <c r="B58" s="1"/>
      <c r="J58" s="43"/>
      <c r="K58" s="43"/>
      <c r="L58" s="43"/>
    </row>
    <row r="59" spans="2:16">
      <c r="B59" s="27"/>
      <c r="K59" s="43"/>
    </row>
  </sheetData>
  <autoFilter ref="B2:S54">
    <filterColumn colId="5"/>
  </autoFilter>
  <pageMargins left="0.12" right="0.11" top="0.32" bottom="0.32" header="0.3" footer="0.3"/>
  <pageSetup scale="94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T60"/>
  <sheetViews>
    <sheetView topLeftCell="A47" workbookViewId="0">
      <selection activeCell="I54" sqref="I54"/>
    </sheetView>
  </sheetViews>
  <sheetFormatPr defaultRowHeight="15"/>
  <cols>
    <col min="1" max="1" width="0.140625" customWidth="1"/>
    <col min="2" max="2" width="2.85546875" customWidth="1"/>
    <col min="3" max="3" width="18.140625" customWidth="1"/>
    <col min="4" max="4" width="8.7109375" customWidth="1"/>
    <col min="5" max="5" width="9.7109375" customWidth="1"/>
    <col min="6" max="6" width="7.140625" customWidth="1"/>
    <col min="7" max="7" width="5" customWidth="1"/>
    <col min="8" max="8" width="6.85546875" customWidth="1"/>
    <col min="9" max="9" width="10" customWidth="1"/>
    <col min="10" max="10" width="9.5703125" customWidth="1"/>
    <col min="11" max="11" width="9.28515625" customWidth="1"/>
    <col min="12" max="12" width="8.28515625" customWidth="1"/>
    <col min="13" max="13" width="7.28515625" customWidth="1"/>
    <col min="14" max="14" width="5.42578125" customWidth="1"/>
    <col min="15" max="15" width="11.7109375" customWidth="1"/>
    <col min="16" max="16" width="22.28515625" customWidth="1"/>
    <col min="17" max="17" width="10.42578125" customWidth="1"/>
  </cols>
  <sheetData>
    <row r="1" spans="2:20">
      <c r="C1" s="6"/>
    </row>
    <row r="2" spans="2:20" ht="36">
      <c r="C2" s="79">
        <v>42370</v>
      </c>
      <c r="D2" t="s">
        <v>41</v>
      </c>
      <c r="E2" s="8" t="s">
        <v>153</v>
      </c>
      <c r="F2" s="8"/>
      <c r="G2" s="8"/>
      <c r="H2" s="9"/>
      <c r="I2" s="5"/>
      <c r="J2" s="5"/>
      <c r="K2" s="5"/>
      <c r="P2" t="s">
        <v>105</v>
      </c>
    </row>
    <row r="3" spans="2:20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" t="s">
        <v>105</v>
      </c>
      <c r="Q3" s="1">
        <f>(+E4/9.3)/2</f>
        <v>20.967741935483868</v>
      </c>
      <c r="R3" s="1"/>
      <c r="S3" s="1"/>
      <c r="T3" s="1"/>
    </row>
    <row r="4" spans="2:20" ht="19.899999999999999" customHeight="1">
      <c r="B4" s="2">
        <v>1</v>
      </c>
      <c r="C4" s="13" t="s">
        <v>45</v>
      </c>
      <c r="D4" s="11">
        <v>11700</v>
      </c>
      <c r="E4" s="4">
        <f>SUM(D4/30)</f>
        <v>390</v>
      </c>
      <c r="F4" s="2">
        <v>31</v>
      </c>
      <c r="G4" s="33">
        <v>2</v>
      </c>
      <c r="H4" s="2">
        <f>+F4-G4</f>
        <v>29</v>
      </c>
      <c r="I4" s="4">
        <f t="shared" ref="I4:I53" si="0">SUM(D4-L4)</f>
        <v>10920</v>
      </c>
      <c r="J4" s="2">
        <v>4215</v>
      </c>
      <c r="K4" s="2"/>
      <c r="L4" s="4">
        <f>SUM(G4*E4)</f>
        <v>780</v>
      </c>
      <c r="M4" s="4">
        <v>252</v>
      </c>
      <c r="N4" s="2">
        <v>53</v>
      </c>
      <c r="O4" s="36">
        <f>SUM(I4-J4-M4-N4-K4)</f>
        <v>6400</v>
      </c>
      <c r="P4" s="2"/>
      <c r="Q4" s="1"/>
      <c r="R4" s="1"/>
      <c r="S4" s="1"/>
      <c r="T4" s="1"/>
    </row>
    <row r="5" spans="2:20" ht="19.899999999999999" customHeight="1">
      <c r="B5" s="2">
        <v>2</v>
      </c>
      <c r="C5" s="13" t="s">
        <v>7</v>
      </c>
      <c r="D5" s="11">
        <v>10200</v>
      </c>
      <c r="E5" s="4">
        <f>SUM(D5/30)</f>
        <v>340</v>
      </c>
      <c r="F5" s="2">
        <v>31</v>
      </c>
      <c r="G5" s="33">
        <v>7</v>
      </c>
      <c r="H5" s="2">
        <f t="shared" ref="H5:H53" si="1">+F5-G5</f>
        <v>24</v>
      </c>
      <c r="I5" s="4">
        <f t="shared" si="0"/>
        <v>7820</v>
      </c>
      <c r="J5" s="2">
        <v>4000</v>
      </c>
      <c r="K5" s="2"/>
      <c r="L5" s="4">
        <f>SUM(G5*E5)</f>
        <v>2380</v>
      </c>
      <c r="M5" s="4">
        <v>252</v>
      </c>
      <c r="N5" s="2">
        <v>53</v>
      </c>
      <c r="O5" s="36">
        <f>SUM(I5-J5-M5-N5)</f>
        <v>3515</v>
      </c>
      <c r="P5" s="2">
        <v>5</v>
      </c>
      <c r="Q5" s="1"/>
      <c r="R5" s="1"/>
      <c r="S5" s="1"/>
      <c r="T5" s="1"/>
    </row>
    <row r="6" spans="2:20" ht="19.899999999999999" customHeight="1">
      <c r="B6" s="2">
        <v>3</v>
      </c>
      <c r="C6" s="13" t="s">
        <v>46</v>
      </c>
      <c r="D6" s="11">
        <v>9500</v>
      </c>
      <c r="E6" s="4">
        <f t="shared" ref="E6:E53" si="2">SUM(D6/30)</f>
        <v>316.66666666666669</v>
      </c>
      <c r="F6" s="2">
        <v>31</v>
      </c>
      <c r="G6" s="33">
        <v>0</v>
      </c>
      <c r="H6" s="2">
        <f t="shared" si="1"/>
        <v>31</v>
      </c>
      <c r="I6" s="4">
        <f t="shared" si="0"/>
        <v>9500</v>
      </c>
      <c r="J6" s="2"/>
      <c r="K6" s="2"/>
      <c r="L6" s="4">
        <f t="shared" ref="L6:L53" si="3">SUM(G6*E6)</f>
        <v>0</v>
      </c>
      <c r="M6" s="4">
        <v>252</v>
      </c>
      <c r="N6" s="2">
        <v>53</v>
      </c>
      <c r="O6" s="36">
        <f t="shared" ref="O6:O53" si="4">SUM(I6-J6-M6-N6-K6)</f>
        <v>9195</v>
      </c>
      <c r="P6" s="2">
        <v>300</v>
      </c>
      <c r="Q6" s="41"/>
      <c r="R6" s="41"/>
      <c r="S6" s="41"/>
      <c r="T6" s="1"/>
    </row>
    <row r="7" spans="2:20" ht="19.899999999999999" customHeight="1">
      <c r="B7" s="2">
        <v>4</v>
      </c>
      <c r="C7" s="13" t="s">
        <v>47</v>
      </c>
      <c r="D7" s="11">
        <v>8400</v>
      </c>
      <c r="E7" s="4">
        <f t="shared" si="2"/>
        <v>280</v>
      </c>
      <c r="F7" s="2">
        <v>31</v>
      </c>
      <c r="G7" s="34">
        <v>1</v>
      </c>
      <c r="H7" s="2">
        <f t="shared" si="1"/>
        <v>30</v>
      </c>
      <c r="I7" s="4">
        <f t="shared" si="0"/>
        <v>8120</v>
      </c>
      <c r="J7" s="2"/>
      <c r="K7" s="2"/>
      <c r="L7" s="4">
        <f t="shared" si="3"/>
        <v>280</v>
      </c>
      <c r="M7" s="4">
        <v>252</v>
      </c>
      <c r="N7" s="2">
        <v>53</v>
      </c>
      <c r="O7" s="36">
        <f t="shared" si="4"/>
        <v>7815</v>
      </c>
      <c r="P7" s="2"/>
      <c r="Q7" s="1">
        <f>(+E7/9.3)</f>
        <v>30.107526881720428</v>
      </c>
      <c r="R7" s="1"/>
      <c r="S7" s="1"/>
      <c r="T7" s="1"/>
    </row>
    <row r="8" spans="2:20" ht="19.899999999999999" customHeight="1">
      <c r="B8" s="2">
        <v>5</v>
      </c>
      <c r="C8" s="13" t="s">
        <v>138</v>
      </c>
      <c r="D8" s="11">
        <v>12000</v>
      </c>
      <c r="E8" s="4">
        <f>SUM(D8/30)</f>
        <v>400</v>
      </c>
      <c r="F8" s="2">
        <v>31</v>
      </c>
      <c r="G8" s="33">
        <v>3</v>
      </c>
      <c r="H8" s="2">
        <f t="shared" si="1"/>
        <v>28</v>
      </c>
      <c r="I8" s="4">
        <f t="shared" si="0"/>
        <v>10800</v>
      </c>
      <c r="J8" s="2">
        <v>4741</v>
      </c>
      <c r="K8" s="2"/>
      <c r="L8" s="4">
        <f>SUM(G8*E8)</f>
        <v>1200</v>
      </c>
      <c r="M8" s="4">
        <v>336</v>
      </c>
      <c r="N8" s="4">
        <v>70</v>
      </c>
      <c r="O8" s="36">
        <f t="shared" si="4"/>
        <v>5653</v>
      </c>
      <c r="P8" s="46"/>
      <c r="Q8" s="1"/>
      <c r="R8" s="46"/>
      <c r="S8" s="40"/>
    </row>
    <row r="9" spans="2:20" ht="19.899999999999999" customHeight="1">
      <c r="B9" s="2">
        <v>6</v>
      </c>
      <c r="C9" s="13" t="s">
        <v>139</v>
      </c>
      <c r="D9" s="11">
        <v>7800</v>
      </c>
      <c r="E9" s="4">
        <f t="shared" si="2"/>
        <v>260</v>
      </c>
      <c r="F9" s="2">
        <v>31</v>
      </c>
      <c r="G9" s="34">
        <v>2</v>
      </c>
      <c r="H9" s="2">
        <f t="shared" si="1"/>
        <v>29</v>
      </c>
      <c r="I9" s="4">
        <f t="shared" si="0"/>
        <v>7280</v>
      </c>
      <c r="J9" s="2">
        <v>2000</v>
      </c>
      <c r="K9" s="2"/>
      <c r="L9" s="4">
        <f t="shared" si="3"/>
        <v>520</v>
      </c>
      <c r="M9" s="4"/>
      <c r="N9" s="4"/>
      <c r="O9" s="36">
        <f t="shared" si="4"/>
        <v>5280</v>
      </c>
      <c r="P9" s="46"/>
      <c r="Q9" s="1">
        <f>(+E9/9.3)*4.5</f>
        <v>125.8064516129032</v>
      </c>
      <c r="R9" s="1"/>
      <c r="S9" s="1"/>
      <c r="T9" s="1"/>
    </row>
    <row r="10" spans="2:20" ht="19.899999999999999" customHeight="1">
      <c r="B10" s="2">
        <v>7</v>
      </c>
      <c r="C10" s="13" t="s">
        <v>48</v>
      </c>
      <c r="D10" s="11">
        <v>7050</v>
      </c>
      <c r="E10" s="4">
        <f t="shared" si="2"/>
        <v>235</v>
      </c>
      <c r="F10" s="2">
        <v>31</v>
      </c>
      <c r="G10" s="34">
        <v>4.5</v>
      </c>
      <c r="H10" s="2">
        <f t="shared" si="1"/>
        <v>26.5</v>
      </c>
      <c r="I10" s="4">
        <f t="shared" si="0"/>
        <v>5992.5</v>
      </c>
      <c r="J10" s="2">
        <v>500</v>
      </c>
      <c r="K10" s="2"/>
      <c r="L10" s="4">
        <f t="shared" si="3"/>
        <v>1057.5</v>
      </c>
      <c r="M10" s="4"/>
      <c r="N10" s="4"/>
      <c r="O10" s="36">
        <f t="shared" si="4"/>
        <v>5492.5</v>
      </c>
      <c r="P10" s="2">
        <v>3</v>
      </c>
      <c r="Q10" s="1">
        <f>(+E10/9.3)*0.75</f>
        <v>18.951612903225804</v>
      </c>
      <c r="R10" s="1"/>
      <c r="S10" s="1"/>
      <c r="T10" s="1"/>
    </row>
    <row r="11" spans="2:20" ht="19.899999999999999" customHeight="1">
      <c r="B11" s="2">
        <v>8</v>
      </c>
      <c r="C11" s="13" t="s">
        <v>140</v>
      </c>
      <c r="D11" s="11">
        <v>10000</v>
      </c>
      <c r="E11" s="4">
        <f t="shared" si="2"/>
        <v>333.33333333333331</v>
      </c>
      <c r="F11" s="2">
        <v>31</v>
      </c>
      <c r="G11" s="33">
        <v>1.5</v>
      </c>
      <c r="H11" s="2">
        <f t="shared" si="1"/>
        <v>29.5</v>
      </c>
      <c r="I11" s="4">
        <f t="shared" si="0"/>
        <v>9500</v>
      </c>
      <c r="J11" s="2"/>
      <c r="K11" s="2"/>
      <c r="L11" s="4">
        <f t="shared" si="3"/>
        <v>500</v>
      </c>
      <c r="M11" s="4"/>
      <c r="N11" s="4"/>
      <c r="O11" s="36">
        <f t="shared" si="4"/>
        <v>9500</v>
      </c>
      <c r="P11" s="2"/>
      <c r="Q11" s="1"/>
      <c r="R11" s="1"/>
      <c r="S11" s="1"/>
      <c r="T11" s="1"/>
    </row>
    <row r="12" spans="2:20" ht="19.899999999999999" customHeight="1">
      <c r="B12" s="2">
        <v>9</v>
      </c>
      <c r="C12" s="13" t="s">
        <v>107</v>
      </c>
      <c r="D12" s="11">
        <v>4700</v>
      </c>
      <c r="E12" s="4">
        <f t="shared" si="2"/>
        <v>156.66666666666666</v>
      </c>
      <c r="F12" s="2">
        <v>31</v>
      </c>
      <c r="G12" s="34">
        <v>1</v>
      </c>
      <c r="H12" s="2">
        <f t="shared" si="1"/>
        <v>30</v>
      </c>
      <c r="I12" s="4">
        <f t="shared" si="0"/>
        <v>4543.333333333333</v>
      </c>
      <c r="J12" s="2"/>
      <c r="K12" s="2"/>
      <c r="L12" s="4">
        <f t="shared" si="3"/>
        <v>156.66666666666666</v>
      </c>
      <c r="M12" s="4"/>
      <c r="N12" s="4"/>
      <c r="O12" s="36">
        <f t="shared" si="4"/>
        <v>4543.333333333333</v>
      </c>
      <c r="P12" s="2"/>
      <c r="Q12" s="1"/>
      <c r="R12" s="1"/>
      <c r="S12" s="1"/>
      <c r="T12" s="1"/>
    </row>
    <row r="13" spans="2:20" ht="19.899999999999999" customHeight="1">
      <c r="B13" s="2">
        <v>10</v>
      </c>
      <c r="C13" s="13" t="s">
        <v>16</v>
      </c>
      <c r="D13" s="11">
        <v>4300</v>
      </c>
      <c r="E13" s="4">
        <f t="shared" si="2"/>
        <v>143.33333333333334</v>
      </c>
      <c r="F13" s="2">
        <v>31</v>
      </c>
      <c r="G13" s="33">
        <v>0</v>
      </c>
      <c r="H13" s="2">
        <f t="shared" si="1"/>
        <v>31</v>
      </c>
      <c r="I13" s="4">
        <f t="shared" si="0"/>
        <v>4300</v>
      </c>
      <c r="J13" s="2"/>
      <c r="K13" s="2"/>
      <c r="L13" s="4">
        <f t="shared" si="3"/>
        <v>0</v>
      </c>
      <c r="M13" s="4"/>
      <c r="N13" s="4"/>
      <c r="O13" s="36">
        <f t="shared" si="4"/>
        <v>4300</v>
      </c>
      <c r="P13" s="2">
        <v>300</v>
      </c>
      <c r="Q13" s="1"/>
      <c r="R13" s="1"/>
      <c r="S13" s="1"/>
      <c r="T13" s="1"/>
    </row>
    <row r="14" spans="2:20" ht="19.899999999999999" customHeight="1">
      <c r="B14" s="2">
        <v>11</v>
      </c>
      <c r="C14" s="13" t="s">
        <v>142</v>
      </c>
      <c r="D14" s="11">
        <v>3850</v>
      </c>
      <c r="E14" s="4">
        <f t="shared" si="2"/>
        <v>128.33333333333334</v>
      </c>
      <c r="F14" s="2">
        <v>31</v>
      </c>
      <c r="G14" s="33">
        <v>0</v>
      </c>
      <c r="H14" s="2">
        <f t="shared" si="1"/>
        <v>31</v>
      </c>
      <c r="I14" s="4">
        <f t="shared" si="0"/>
        <v>3850</v>
      </c>
      <c r="J14" s="2"/>
      <c r="K14" s="2"/>
      <c r="L14" s="4">
        <f t="shared" si="3"/>
        <v>0</v>
      </c>
      <c r="M14" s="4"/>
      <c r="N14" s="4"/>
      <c r="O14" s="36">
        <f t="shared" si="4"/>
        <v>3850</v>
      </c>
      <c r="P14" s="2">
        <v>300</v>
      </c>
      <c r="Q14" s="1"/>
      <c r="R14" s="1"/>
      <c r="S14" s="1"/>
      <c r="T14" s="1"/>
    </row>
    <row r="15" spans="2:20" ht="19.899999999999999" customHeight="1">
      <c r="B15" s="2">
        <v>12</v>
      </c>
      <c r="C15" s="13" t="s">
        <v>143</v>
      </c>
      <c r="D15" s="11">
        <v>4450</v>
      </c>
      <c r="E15" s="4">
        <f t="shared" si="2"/>
        <v>148.33333333333334</v>
      </c>
      <c r="F15" s="2">
        <v>31</v>
      </c>
      <c r="G15" s="33">
        <v>0</v>
      </c>
      <c r="H15" s="2">
        <f t="shared" si="1"/>
        <v>31</v>
      </c>
      <c r="I15" s="4">
        <f t="shared" si="0"/>
        <v>4450</v>
      </c>
      <c r="J15" s="2"/>
      <c r="K15" s="2"/>
      <c r="L15" s="4">
        <f t="shared" si="3"/>
        <v>0</v>
      </c>
      <c r="M15" s="4"/>
      <c r="N15" s="4"/>
      <c r="O15" s="36">
        <f t="shared" si="4"/>
        <v>4450</v>
      </c>
      <c r="P15" s="2">
        <v>300</v>
      </c>
      <c r="Q15" s="1"/>
      <c r="R15" s="1"/>
      <c r="S15" s="1"/>
      <c r="T15" s="1"/>
    </row>
    <row r="16" spans="2:20" ht="19.899999999999999" customHeight="1">
      <c r="B16" s="2">
        <v>13</v>
      </c>
      <c r="C16" s="13" t="s">
        <v>58</v>
      </c>
      <c r="D16" s="11">
        <v>3850</v>
      </c>
      <c r="E16" s="4">
        <f t="shared" si="2"/>
        <v>128.33333333333334</v>
      </c>
      <c r="F16" s="2">
        <v>31</v>
      </c>
      <c r="G16" s="33">
        <v>0</v>
      </c>
      <c r="H16" s="2">
        <f t="shared" si="1"/>
        <v>31</v>
      </c>
      <c r="I16" s="4">
        <f t="shared" si="0"/>
        <v>3850</v>
      </c>
      <c r="J16" s="2"/>
      <c r="K16" s="2"/>
      <c r="L16" s="4">
        <f t="shared" si="3"/>
        <v>0</v>
      </c>
      <c r="M16" s="4"/>
      <c r="N16" s="4"/>
      <c r="O16" s="36">
        <f t="shared" si="4"/>
        <v>3850</v>
      </c>
      <c r="P16" s="2">
        <v>300</v>
      </c>
      <c r="Q16" s="1"/>
      <c r="R16" s="1"/>
      <c r="S16" s="1"/>
      <c r="T16" s="1"/>
    </row>
    <row r="17" spans="2:20" ht="19.899999999999999" customHeight="1">
      <c r="B17" s="2">
        <v>14</v>
      </c>
      <c r="C17" s="13" t="s">
        <v>54</v>
      </c>
      <c r="D17" s="11">
        <v>4250</v>
      </c>
      <c r="E17" s="4">
        <f t="shared" si="2"/>
        <v>141.66666666666666</v>
      </c>
      <c r="F17" s="2">
        <v>31</v>
      </c>
      <c r="G17" s="33">
        <v>0</v>
      </c>
      <c r="H17" s="2">
        <f t="shared" si="1"/>
        <v>31</v>
      </c>
      <c r="I17" s="4">
        <f t="shared" si="0"/>
        <v>4250</v>
      </c>
      <c r="J17" s="2">
        <v>1500</v>
      </c>
      <c r="K17" s="2"/>
      <c r="L17" s="4">
        <f t="shared" si="3"/>
        <v>0</v>
      </c>
      <c r="M17" s="4"/>
      <c r="N17" s="4"/>
      <c r="O17" s="36">
        <f t="shared" si="4"/>
        <v>2750</v>
      </c>
      <c r="P17" s="2">
        <v>300</v>
      </c>
      <c r="Q17" s="41"/>
      <c r="R17" s="1"/>
      <c r="S17" s="1"/>
      <c r="T17" s="1"/>
    </row>
    <row r="18" spans="2:20" ht="19.899999999999999" customHeight="1">
      <c r="B18" s="2">
        <v>15</v>
      </c>
      <c r="C18" s="13" t="s">
        <v>53</v>
      </c>
      <c r="D18" s="11">
        <v>3800</v>
      </c>
      <c r="E18" s="4">
        <f t="shared" si="2"/>
        <v>126.66666666666667</v>
      </c>
      <c r="F18" s="2">
        <v>31</v>
      </c>
      <c r="G18" s="34">
        <v>0</v>
      </c>
      <c r="H18" s="2">
        <f t="shared" si="1"/>
        <v>31</v>
      </c>
      <c r="I18" s="4">
        <f t="shared" si="0"/>
        <v>3800</v>
      </c>
      <c r="J18" s="2"/>
      <c r="K18" s="2"/>
      <c r="L18" s="4">
        <f t="shared" si="3"/>
        <v>0</v>
      </c>
      <c r="M18" s="4"/>
      <c r="N18" s="4"/>
      <c r="O18" s="36">
        <f t="shared" si="4"/>
        <v>3800</v>
      </c>
      <c r="P18" s="2">
        <v>300</v>
      </c>
      <c r="Q18" s="1"/>
      <c r="R18" s="1"/>
      <c r="S18" s="1"/>
      <c r="T18" s="1"/>
    </row>
    <row r="19" spans="2:20" ht="19.899999999999999" customHeight="1">
      <c r="B19" s="2">
        <v>16</v>
      </c>
      <c r="C19" s="13" t="s">
        <v>10</v>
      </c>
      <c r="D19" s="11">
        <v>7100</v>
      </c>
      <c r="E19" s="4">
        <f>SUM(D19/30)</f>
        <v>236.66666666666666</v>
      </c>
      <c r="F19" s="2">
        <v>31</v>
      </c>
      <c r="G19" s="34">
        <v>4</v>
      </c>
      <c r="H19" s="2">
        <f t="shared" si="1"/>
        <v>27</v>
      </c>
      <c r="I19" s="4">
        <f t="shared" si="0"/>
        <v>6153.333333333333</v>
      </c>
      <c r="J19" s="2">
        <v>2000</v>
      </c>
      <c r="K19" s="2"/>
      <c r="L19" s="4">
        <f>SUM(G19*E19)</f>
        <v>946.66666666666663</v>
      </c>
      <c r="M19" s="4"/>
      <c r="N19" s="4"/>
      <c r="O19" s="36">
        <f t="shared" si="4"/>
        <v>4153.333333333333</v>
      </c>
      <c r="P19" s="2"/>
      <c r="Q19" s="1"/>
      <c r="R19" s="1"/>
      <c r="S19" s="1"/>
      <c r="T19" s="1"/>
    </row>
    <row r="20" spans="2:20" ht="19.899999999999999" customHeight="1">
      <c r="B20" s="2">
        <v>17</v>
      </c>
      <c r="C20" s="13" t="s">
        <v>23</v>
      </c>
      <c r="D20" s="11">
        <v>3700</v>
      </c>
      <c r="E20" s="4">
        <f t="shared" si="2"/>
        <v>123.33333333333333</v>
      </c>
      <c r="F20" s="2">
        <v>31</v>
      </c>
      <c r="G20" s="33">
        <v>0.5</v>
      </c>
      <c r="H20" s="2">
        <f t="shared" si="1"/>
        <v>30.5</v>
      </c>
      <c r="I20" s="4">
        <f t="shared" si="0"/>
        <v>3638.3333333333335</v>
      </c>
      <c r="J20" s="2"/>
      <c r="K20" s="2"/>
      <c r="L20" s="4">
        <f t="shared" si="3"/>
        <v>61.666666666666664</v>
      </c>
      <c r="M20" s="4"/>
      <c r="N20" s="4"/>
      <c r="O20" s="36">
        <f t="shared" si="4"/>
        <v>3638.3333333333335</v>
      </c>
      <c r="P20" s="2">
        <v>250</v>
      </c>
      <c r="Q20" s="1"/>
      <c r="R20" s="1"/>
      <c r="S20" s="1"/>
      <c r="T20" s="1"/>
    </row>
    <row r="21" spans="2:20" ht="19.899999999999999" customHeight="1">
      <c r="B21" s="2">
        <v>18</v>
      </c>
      <c r="C21" s="13" t="s">
        <v>24</v>
      </c>
      <c r="D21" s="11">
        <v>3600</v>
      </c>
      <c r="E21" s="4">
        <f t="shared" si="2"/>
        <v>120</v>
      </c>
      <c r="F21" s="2">
        <v>31</v>
      </c>
      <c r="G21" s="34">
        <v>2</v>
      </c>
      <c r="H21" s="2">
        <f t="shared" si="1"/>
        <v>29</v>
      </c>
      <c r="I21" s="4">
        <f t="shared" si="0"/>
        <v>3360</v>
      </c>
      <c r="J21" s="2"/>
      <c r="K21" s="2"/>
      <c r="L21" s="4">
        <f t="shared" si="3"/>
        <v>240</v>
      </c>
      <c r="M21" s="4"/>
      <c r="N21" s="4"/>
      <c r="O21" s="36">
        <f t="shared" si="4"/>
        <v>3360</v>
      </c>
      <c r="P21" s="2"/>
      <c r="Q21" s="1"/>
      <c r="R21" s="1"/>
      <c r="S21" s="1"/>
      <c r="T21" s="1"/>
    </row>
    <row r="22" spans="2:20" ht="19.899999999999999" customHeight="1">
      <c r="B22" s="2">
        <v>19</v>
      </c>
      <c r="C22" s="13" t="s">
        <v>25</v>
      </c>
      <c r="D22" s="11">
        <v>3700</v>
      </c>
      <c r="E22" s="4">
        <f t="shared" si="2"/>
        <v>123.33333333333333</v>
      </c>
      <c r="F22" s="2">
        <v>31</v>
      </c>
      <c r="G22" s="34">
        <v>0</v>
      </c>
      <c r="H22" s="2">
        <f t="shared" si="1"/>
        <v>31</v>
      </c>
      <c r="I22" s="4">
        <f t="shared" si="0"/>
        <v>3700</v>
      </c>
      <c r="J22" s="2"/>
      <c r="K22" s="2"/>
      <c r="L22" s="4">
        <f t="shared" si="3"/>
        <v>0</v>
      </c>
      <c r="M22" s="4"/>
      <c r="N22" s="4"/>
      <c r="O22" s="36">
        <f t="shared" si="4"/>
        <v>3700</v>
      </c>
      <c r="P22" s="2">
        <v>300</v>
      </c>
      <c r="Q22" s="1"/>
      <c r="R22" s="1"/>
      <c r="S22" s="1"/>
      <c r="T22" s="1"/>
    </row>
    <row r="23" spans="2:20" ht="19.899999999999999" customHeight="1">
      <c r="B23" s="2">
        <v>20</v>
      </c>
      <c r="C23" s="13" t="s">
        <v>28</v>
      </c>
      <c r="D23" s="11">
        <v>7000</v>
      </c>
      <c r="E23" s="4">
        <f t="shared" si="2"/>
        <v>233.33333333333334</v>
      </c>
      <c r="F23" s="2">
        <v>31</v>
      </c>
      <c r="G23" s="34">
        <v>2</v>
      </c>
      <c r="H23" s="2">
        <f t="shared" si="1"/>
        <v>29</v>
      </c>
      <c r="I23" s="4">
        <f t="shared" si="0"/>
        <v>6533.333333333333</v>
      </c>
      <c r="J23" s="2">
        <v>3000</v>
      </c>
      <c r="K23" s="2"/>
      <c r="L23" s="4">
        <f t="shared" si="3"/>
        <v>466.66666666666669</v>
      </c>
      <c r="M23" s="4"/>
      <c r="N23" s="4"/>
      <c r="O23" s="36">
        <f t="shared" si="4"/>
        <v>3533.333333333333</v>
      </c>
      <c r="P23" s="2"/>
      <c r="Q23" s="1"/>
      <c r="R23" s="1"/>
      <c r="S23" s="1"/>
      <c r="T23" s="1"/>
    </row>
    <row r="24" spans="2:20" ht="19.899999999999999" customHeight="1">
      <c r="B24" s="2">
        <v>21</v>
      </c>
      <c r="C24" s="13" t="s">
        <v>15</v>
      </c>
      <c r="D24" s="11">
        <v>2850</v>
      </c>
      <c r="E24" s="4">
        <f t="shared" si="2"/>
        <v>95</v>
      </c>
      <c r="F24" s="2">
        <v>31</v>
      </c>
      <c r="G24" s="34">
        <v>0</v>
      </c>
      <c r="H24" s="2">
        <f t="shared" si="1"/>
        <v>31</v>
      </c>
      <c r="I24" s="4">
        <f t="shared" si="0"/>
        <v>2850</v>
      </c>
      <c r="J24" s="2"/>
      <c r="K24" s="2"/>
      <c r="L24" s="4">
        <f t="shared" si="3"/>
        <v>0</v>
      </c>
      <c r="M24" s="4"/>
      <c r="N24" s="4"/>
      <c r="O24" s="36">
        <f t="shared" si="4"/>
        <v>2850</v>
      </c>
      <c r="P24" s="2">
        <v>300</v>
      </c>
      <c r="Q24" s="1"/>
      <c r="R24" s="1"/>
      <c r="S24" s="1"/>
      <c r="T24" s="1"/>
    </row>
    <row r="25" spans="2:20" ht="19.899999999999999" customHeight="1">
      <c r="B25" s="2">
        <v>22</v>
      </c>
      <c r="C25" s="13" t="s">
        <v>88</v>
      </c>
      <c r="D25" s="11">
        <v>3500</v>
      </c>
      <c r="E25" s="4">
        <f t="shared" si="2"/>
        <v>116.66666666666667</v>
      </c>
      <c r="F25" s="2">
        <v>31</v>
      </c>
      <c r="G25" s="34">
        <v>0</v>
      </c>
      <c r="H25" s="2">
        <f t="shared" si="1"/>
        <v>31</v>
      </c>
      <c r="I25" s="4">
        <f t="shared" si="0"/>
        <v>3500</v>
      </c>
      <c r="J25" s="2"/>
      <c r="K25" s="2"/>
      <c r="L25" s="4">
        <f t="shared" si="3"/>
        <v>0</v>
      </c>
      <c r="M25" s="4"/>
      <c r="N25" s="4"/>
      <c r="O25" s="36">
        <f t="shared" si="4"/>
        <v>3500</v>
      </c>
      <c r="P25" s="2">
        <v>300</v>
      </c>
      <c r="Q25" s="1"/>
      <c r="R25" s="1"/>
      <c r="S25" s="1"/>
      <c r="T25" s="1"/>
    </row>
    <row r="26" spans="2:20" ht="19.899999999999999" customHeight="1">
      <c r="B26" s="2">
        <v>23</v>
      </c>
      <c r="C26" s="13" t="s">
        <v>75</v>
      </c>
      <c r="D26" s="11">
        <v>3300</v>
      </c>
      <c r="E26" s="4">
        <f t="shared" si="2"/>
        <v>110</v>
      </c>
      <c r="F26" s="2">
        <v>31</v>
      </c>
      <c r="G26" s="34">
        <v>1</v>
      </c>
      <c r="H26" s="2">
        <f t="shared" si="1"/>
        <v>30</v>
      </c>
      <c r="I26" s="4">
        <f t="shared" si="0"/>
        <v>3190</v>
      </c>
      <c r="J26" s="2">
        <v>1500</v>
      </c>
      <c r="K26" s="2"/>
      <c r="L26" s="4">
        <f t="shared" si="3"/>
        <v>110</v>
      </c>
      <c r="M26" s="4"/>
      <c r="N26" s="4"/>
      <c r="O26" s="36">
        <f t="shared" si="4"/>
        <v>1690</v>
      </c>
      <c r="P26" s="2"/>
      <c r="Q26" s="1"/>
      <c r="R26" s="1"/>
      <c r="S26" s="1"/>
      <c r="T26" s="1"/>
    </row>
    <row r="27" spans="2:20" ht="19.899999999999999" customHeight="1">
      <c r="B27" s="2">
        <v>24</v>
      </c>
      <c r="C27" s="13" t="s">
        <v>124</v>
      </c>
      <c r="D27" s="11">
        <v>3200</v>
      </c>
      <c r="E27" s="4">
        <f t="shared" si="2"/>
        <v>106.66666666666667</v>
      </c>
      <c r="F27" s="2">
        <v>31</v>
      </c>
      <c r="G27" s="34">
        <v>4</v>
      </c>
      <c r="H27" s="2">
        <f t="shared" si="1"/>
        <v>27</v>
      </c>
      <c r="I27" s="4">
        <f t="shared" si="0"/>
        <v>2773.3333333333335</v>
      </c>
      <c r="J27" s="2">
        <v>1000</v>
      </c>
      <c r="K27" s="2"/>
      <c r="L27" s="4">
        <f t="shared" si="3"/>
        <v>426.66666666666669</v>
      </c>
      <c r="M27" s="4"/>
      <c r="N27" s="4"/>
      <c r="O27" s="36">
        <f t="shared" si="4"/>
        <v>1773.3333333333335</v>
      </c>
      <c r="P27" s="2">
        <v>3</v>
      </c>
      <c r="Q27" s="1"/>
      <c r="R27" s="1"/>
      <c r="S27" s="1"/>
      <c r="T27" s="1"/>
    </row>
    <row r="28" spans="2:20" ht="19.899999999999999" customHeight="1">
      <c r="B28" s="2">
        <v>25</v>
      </c>
      <c r="C28" s="13" t="s">
        <v>79</v>
      </c>
      <c r="D28" s="11">
        <v>2500</v>
      </c>
      <c r="E28" s="4">
        <f t="shared" si="2"/>
        <v>83.333333333333329</v>
      </c>
      <c r="F28" s="2">
        <v>31</v>
      </c>
      <c r="G28" s="34">
        <v>0</v>
      </c>
      <c r="H28" s="2">
        <f t="shared" si="1"/>
        <v>31</v>
      </c>
      <c r="I28" s="4">
        <f t="shared" si="0"/>
        <v>2500</v>
      </c>
      <c r="J28" s="2"/>
      <c r="K28" s="2"/>
      <c r="L28" s="4">
        <f t="shared" si="3"/>
        <v>0</v>
      </c>
      <c r="M28" s="4"/>
      <c r="N28" s="4"/>
      <c r="O28" s="36">
        <f t="shared" si="4"/>
        <v>2500</v>
      </c>
      <c r="P28" s="2">
        <v>300</v>
      </c>
      <c r="Q28" s="1"/>
      <c r="R28" s="1"/>
      <c r="S28" s="1"/>
      <c r="T28" s="1"/>
    </row>
    <row r="29" spans="2:20" ht="19.899999999999999" customHeight="1">
      <c r="B29" s="2">
        <v>26</v>
      </c>
      <c r="C29" s="13" t="s">
        <v>78</v>
      </c>
      <c r="D29" s="11">
        <v>3000</v>
      </c>
      <c r="E29" s="4">
        <f t="shared" si="2"/>
        <v>100</v>
      </c>
      <c r="F29" s="2">
        <v>31</v>
      </c>
      <c r="G29" s="34">
        <v>0</v>
      </c>
      <c r="H29" s="2">
        <f t="shared" si="1"/>
        <v>31</v>
      </c>
      <c r="I29" s="4">
        <f t="shared" si="0"/>
        <v>3000</v>
      </c>
      <c r="J29" s="2"/>
      <c r="K29" s="2"/>
      <c r="L29" s="4">
        <f t="shared" si="3"/>
        <v>0</v>
      </c>
      <c r="M29" s="4"/>
      <c r="N29" s="4"/>
      <c r="O29" s="36">
        <f t="shared" si="4"/>
        <v>3000</v>
      </c>
      <c r="P29" s="2">
        <v>300</v>
      </c>
    </row>
    <row r="30" spans="2:20" ht="19.899999999999999" customHeight="1">
      <c r="B30" s="2">
        <v>27</v>
      </c>
      <c r="C30" s="13" t="s">
        <v>89</v>
      </c>
      <c r="D30" s="16">
        <v>2500</v>
      </c>
      <c r="E30" s="17">
        <f t="shared" si="2"/>
        <v>83.333333333333329</v>
      </c>
      <c r="F30" s="2">
        <v>31</v>
      </c>
      <c r="G30" s="35">
        <v>4</v>
      </c>
      <c r="H30" s="2">
        <f t="shared" si="1"/>
        <v>27</v>
      </c>
      <c r="I30" s="17">
        <f t="shared" si="0"/>
        <v>2166.6666666666665</v>
      </c>
      <c r="J30" s="2"/>
      <c r="K30" s="18"/>
      <c r="L30" s="17">
        <f t="shared" si="3"/>
        <v>333.33333333333331</v>
      </c>
      <c r="M30" s="17"/>
      <c r="N30" s="17"/>
      <c r="O30" s="36">
        <f t="shared" si="4"/>
        <v>2166.6666666666665</v>
      </c>
      <c r="P30" s="2">
        <v>7</v>
      </c>
    </row>
    <row r="31" spans="2:20" ht="19.899999999999999" customHeight="1">
      <c r="B31" s="2">
        <v>28</v>
      </c>
      <c r="C31" s="13" t="s">
        <v>93</v>
      </c>
      <c r="D31" s="16">
        <v>2500</v>
      </c>
      <c r="E31" s="17">
        <f t="shared" si="2"/>
        <v>83.333333333333329</v>
      </c>
      <c r="F31" s="2">
        <v>31</v>
      </c>
      <c r="G31" s="35">
        <v>0</v>
      </c>
      <c r="H31" s="2">
        <f t="shared" si="1"/>
        <v>31</v>
      </c>
      <c r="I31" s="17">
        <f t="shared" si="0"/>
        <v>2500</v>
      </c>
      <c r="J31" s="2"/>
      <c r="K31" s="18"/>
      <c r="L31" s="17">
        <f t="shared" si="3"/>
        <v>0</v>
      </c>
      <c r="M31" s="17"/>
      <c r="N31" s="17"/>
      <c r="O31" s="36">
        <f t="shared" si="4"/>
        <v>2500</v>
      </c>
      <c r="P31" s="2">
        <v>300</v>
      </c>
    </row>
    <row r="32" spans="2:20" ht="19.899999999999999" customHeight="1">
      <c r="B32" s="2">
        <v>29</v>
      </c>
      <c r="C32" s="13" t="s">
        <v>101</v>
      </c>
      <c r="D32" s="16">
        <v>2500</v>
      </c>
      <c r="E32" s="17">
        <f t="shared" si="2"/>
        <v>83.333333333333329</v>
      </c>
      <c r="F32" s="2">
        <v>31</v>
      </c>
      <c r="G32" s="35">
        <v>2</v>
      </c>
      <c r="H32" s="2">
        <f t="shared" si="1"/>
        <v>29</v>
      </c>
      <c r="I32" s="17">
        <f t="shared" si="0"/>
        <v>2333.3333333333335</v>
      </c>
      <c r="J32" s="2"/>
      <c r="K32" s="18"/>
      <c r="L32" s="17">
        <f t="shared" si="3"/>
        <v>166.66666666666666</v>
      </c>
      <c r="M32" s="17"/>
      <c r="N32" s="17"/>
      <c r="O32" s="36">
        <f t="shared" si="4"/>
        <v>2333.3333333333335</v>
      </c>
      <c r="P32" s="2"/>
    </row>
    <row r="33" spans="2:17" ht="19.899999999999999" customHeight="1">
      <c r="B33" s="2">
        <v>30</v>
      </c>
      <c r="C33" s="13" t="s">
        <v>97</v>
      </c>
      <c r="D33" s="16">
        <v>2500</v>
      </c>
      <c r="E33" s="17">
        <f t="shared" si="2"/>
        <v>83.333333333333329</v>
      </c>
      <c r="F33" s="2">
        <v>31</v>
      </c>
      <c r="G33" s="35">
        <v>19</v>
      </c>
      <c r="H33" s="2">
        <f t="shared" si="1"/>
        <v>12</v>
      </c>
      <c r="I33" s="17">
        <f t="shared" si="0"/>
        <v>904.66666666666674</v>
      </c>
      <c r="J33" s="2"/>
      <c r="K33" s="18"/>
      <c r="L33" s="17">
        <f>SUM(G33*E33)+12</f>
        <v>1595.3333333333333</v>
      </c>
      <c r="M33" s="17"/>
      <c r="N33" s="17"/>
      <c r="O33" s="36">
        <f t="shared" si="4"/>
        <v>904.66666666666674</v>
      </c>
      <c r="P33" s="2"/>
    </row>
    <row r="34" spans="2:17" ht="19.899999999999999" customHeight="1">
      <c r="B34" s="2">
        <v>31</v>
      </c>
      <c r="C34" s="13" t="s">
        <v>104</v>
      </c>
      <c r="D34" s="16">
        <v>3000</v>
      </c>
      <c r="E34" s="17">
        <f t="shared" si="2"/>
        <v>100</v>
      </c>
      <c r="F34" s="2">
        <v>31</v>
      </c>
      <c r="G34" s="35">
        <v>0</v>
      </c>
      <c r="H34" s="2">
        <f t="shared" si="1"/>
        <v>31</v>
      </c>
      <c r="I34" s="17">
        <f t="shared" si="0"/>
        <v>3000</v>
      </c>
      <c r="J34" s="2"/>
      <c r="K34" s="18"/>
      <c r="L34" s="17">
        <f t="shared" si="3"/>
        <v>0</v>
      </c>
      <c r="M34" s="17"/>
      <c r="N34" s="17"/>
      <c r="O34" s="36">
        <f t="shared" si="4"/>
        <v>3000</v>
      </c>
      <c r="P34" s="2">
        <v>300</v>
      </c>
    </row>
    <row r="35" spans="2:17" ht="19.899999999999999" customHeight="1">
      <c r="B35" s="2">
        <v>32</v>
      </c>
      <c r="C35" s="13" t="s">
        <v>108</v>
      </c>
      <c r="D35" s="16">
        <v>2500</v>
      </c>
      <c r="E35" s="17">
        <f t="shared" si="2"/>
        <v>83.333333333333329</v>
      </c>
      <c r="F35" s="2">
        <v>31</v>
      </c>
      <c r="G35" s="35">
        <v>7</v>
      </c>
      <c r="H35" s="2">
        <f t="shared" si="1"/>
        <v>24</v>
      </c>
      <c r="I35" s="17">
        <f t="shared" si="0"/>
        <v>1916.6666666666667</v>
      </c>
      <c r="J35" s="2"/>
      <c r="K35" s="18"/>
      <c r="L35" s="17">
        <f t="shared" si="3"/>
        <v>583.33333333333326</v>
      </c>
      <c r="M35" s="17"/>
      <c r="N35" s="17"/>
      <c r="O35" s="36">
        <f t="shared" si="4"/>
        <v>1916.6666666666667</v>
      </c>
      <c r="P35" s="2">
        <v>7</v>
      </c>
    </row>
    <row r="36" spans="2:17" ht="19.899999999999999" customHeight="1">
      <c r="B36" s="2">
        <v>33</v>
      </c>
      <c r="C36" s="13" t="s">
        <v>111</v>
      </c>
      <c r="D36" s="38">
        <v>8500</v>
      </c>
      <c r="E36" s="17">
        <f t="shared" si="2"/>
        <v>283.33333333333331</v>
      </c>
      <c r="F36" s="2">
        <v>31</v>
      </c>
      <c r="G36" s="35">
        <v>0</v>
      </c>
      <c r="H36" s="2">
        <f t="shared" si="1"/>
        <v>31</v>
      </c>
      <c r="I36" s="17">
        <f t="shared" si="0"/>
        <v>8500</v>
      </c>
      <c r="J36" s="2">
        <v>3900</v>
      </c>
      <c r="K36" s="18"/>
      <c r="L36" s="17">
        <f t="shared" si="3"/>
        <v>0</v>
      </c>
      <c r="M36" s="17"/>
      <c r="N36" s="17"/>
      <c r="O36" s="36">
        <f t="shared" si="4"/>
        <v>4600</v>
      </c>
      <c r="P36" s="2">
        <v>300</v>
      </c>
    </row>
    <row r="37" spans="2:17" ht="19.899999999999999" customHeight="1">
      <c r="B37" s="2">
        <v>34</v>
      </c>
      <c r="C37" s="13" t="s">
        <v>112</v>
      </c>
      <c r="D37" s="38">
        <v>3500</v>
      </c>
      <c r="E37" s="17">
        <f t="shared" si="2"/>
        <v>116.66666666666667</v>
      </c>
      <c r="F37" s="2">
        <v>31</v>
      </c>
      <c r="G37" s="35">
        <v>0</v>
      </c>
      <c r="H37" s="2">
        <f t="shared" si="1"/>
        <v>31</v>
      </c>
      <c r="I37" s="17">
        <f t="shared" si="0"/>
        <v>3500</v>
      </c>
      <c r="J37" s="2">
        <v>1000</v>
      </c>
      <c r="K37" s="18"/>
      <c r="L37" s="17">
        <f t="shared" si="3"/>
        <v>0</v>
      </c>
      <c r="M37" s="17"/>
      <c r="N37" s="17"/>
      <c r="O37" s="36">
        <f t="shared" si="4"/>
        <v>2500</v>
      </c>
      <c r="P37" s="2">
        <v>300</v>
      </c>
    </row>
    <row r="38" spans="2:17" ht="19.899999999999999" customHeight="1">
      <c r="B38" s="2">
        <v>35</v>
      </c>
      <c r="C38" s="13" t="s">
        <v>114</v>
      </c>
      <c r="D38" s="38">
        <v>12500</v>
      </c>
      <c r="E38" s="17">
        <f t="shared" si="2"/>
        <v>416.66666666666669</v>
      </c>
      <c r="F38" s="2">
        <v>31</v>
      </c>
      <c r="G38" s="35">
        <v>3.5</v>
      </c>
      <c r="H38" s="2">
        <f t="shared" si="1"/>
        <v>27.5</v>
      </c>
      <c r="I38" s="17">
        <f t="shared" si="0"/>
        <v>11041.666666666666</v>
      </c>
      <c r="J38" s="2">
        <v>1000</v>
      </c>
      <c r="K38" s="18"/>
      <c r="L38" s="17">
        <f t="shared" si="3"/>
        <v>1458.3333333333335</v>
      </c>
      <c r="M38" s="17"/>
      <c r="N38" s="17"/>
      <c r="O38" s="36">
        <f t="shared" si="4"/>
        <v>10041.666666666666</v>
      </c>
      <c r="P38" s="2"/>
      <c r="Q38" s="1">
        <f>+E38/8</f>
        <v>52.083333333333336</v>
      </c>
    </row>
    <row r="39" spans="2:17" ht="19.899999999999999" customHeight="1">
      <c r="B39" s="2">
        <v>36</v>
      </c>
      <c r="C39" s="13" t="s">
        <v>117</v>
      </c>
      <c r="D39" s="38">
        <v>2500</v>
      </c>
      <c r="E39" s="17">
        <f t="shared" si="2"/>
        <v>83.333333333333329</v>
      </c>
      <c r="F39" s="2">
        <v>31</v>
      </c>
      <c r="G39" s="35">
        <v>4.5</v>
      </c>
      <c r="H39" s="2">
        <f t="shared" si="1"/>
        <v>26.5</v>
      </c>
      <c r="I39" s="17">
        <f t="shared" si="0"/>
        <v>2125</v>
      </c>
      <c r="J39" s="2">
        <v>1000</v>
      </c>
      <c r="K39" s="18"/>
      <c r="L39" s="17">
        <f t="shared" si="3"/>
        <v>375</v>
      </c>
      <c r="M39" s="17"/>
      <c r="N39" s="17"/>
      <c r="O39" s="36">
        <f t="shared" si="4"/>
        <v>1125</v>
      </c>
      <c r="P39" s="2">
        <v>5</v>
      </c>
    </row>
    <row r="40" spans="2:17" ht="19.899999999999999" customHeight="1">
      <c r="B40" s="2">
        <v>37</v>
      </c>
      <c r="C40" s="13" t="s">
        <v>120</v>
      </c>
      <c r="D40" s="38">
        <v>2500</v>
      </c>
      <c r="E40" s="17">
        <f t="shared" si="2"/>
        <v>83.333333333333329</v>
      </c>
      <c r="F40" s="2">
        <v>31</v>
      </c>
      <c r="G40" s="35">
        <v>2</v>
      </c>
      <c r="H40" s="2">
        <f t="shared" si="1"/>
        <v>29</v>
      </c>
      <c r="I40" s="17">
        <f t="shared" si="0"/>
        <v>2333.3333333333335</v>
      </c>
      <c r="J40" s="2">
        <v>1000</v>
      </c>
      <c r="K40" s="18"/>
      <c r="L40" s="17">
        <f t="shared" si="3"/>
        <v>166.66666666666666</v>
      </c>
      <c r="M40" s="17"/>
      <c r="N40" s="17"/>
      <c r="O40" s="36">
        <f t="shared" si="4"/>
        <v>1333.3333333333335</v>
      </c>
      <c r="P40" s="2"/>
      <c r="Q40" s="1">
        <f>(+E40/8.3)</f>
        <v>10.04016064257028</v>
      </c>
    </row>
    <row r="41" spans="2:17" ht="19.899999999999999" customHeight="1">
      <c r="B41" s="2">
        <v>38</v>
      </c>
      <c r="C41" s="13" t="s">
        <v>126</v>
      </c>
      <c r="D41" s="38">
        <v>10000</v>
      </c>
      <c r="E41" s="17">
        <f t="shared" si="2"/>
        <v>333.33333333333331</v>
      </c>
      <c r="F41" s="2">
        <v>31</v>
      </c>
      <c r="G41" s="35">
        <v>0</v>
      </c>
      <c r="H41" s="2">
        <f t="shared" si="1"/>
        <v>31</v>
      </c>
      <c r="I41" s="17">
        <f>SUM(D41-L41)-810</f>
        <v>9190</v>
      </c>
      <c r="J41" s="2"/>
      <c r="K41" s="18"/>
      <c r="L41" s="17">
        <f t="shared" si="3"/>
        <v>0</v>
      </c>
      <c r="M41" s="17"/>
      <c r="N41" s="17"/>
      <c r="O41" s="36">
        <f t="shared" si="4"/>
        <v>9190</v>
      </c>
      <c r="P41" s="2">
        <v>300</v>
      </c>
    </row>
    <row r="42" spans="2:17" ht="19.899999999999999" customHeight="1">
      <c r="B42" s="2">
        <v>39</v>
      </c>
      <c r="C42" s="13" t="s">
        <v>145</v>
      </c>
      <c r="D42" s="38">
        <v>2500</v>
      </c>
      <c r="E42" s="17">
        <f t="shared" si="2"/>
        <v>83.333333333333329</v>
      </c>
      <c r="F42" s="2">
        <v>31</v>
      </c>
      <c r="G42" s="35">
        <v>5</v>
      </c>
      <c r="H42" s="2">
        <f t="shared" si="1"/>
        <v>26</v>
      </c>
      <c r="I42" s="17">
        <f t="shared" si="0"/>
        <v>2083.3333333333335</v>
      </c>
      <c r="J42" s="2"/>
      <c r="K42" s="18"/>
      <c r="L42" s="17">
        <f t="shared" si="3"/>
        <v>416.66666666666663</v>
      </c>
      <c r="M42" s="17"/>
      <c r="N42" s="17"/>
      <c r="O42" s="36">
        <f t="shared" si="4"/>
        <v>2083.3333333333335</v>
      </c>
      <c r="P42" s="2"/>
    </row>
    <row r="43" spans="2:17" ht="19.899999999999999" customHeight="1">
      <c r="B43" s="2">
        <v>40</v>
      </c>
      <c r="C43" s="13" t="s">
        <v>130</v>
      </c>
      <c r="D43" s="38">
        <v>12000</v>
      </c>
      <c r="E43" s="17">
        <f t="shared" si="2"/>
        <v>400</v>
      </c>
      <c r="F43" s="2">
        <v>31</v>
      </c>
      <c r="G43" s="35">
        <v>1</v>
      </c>
      <c r="H43" s="2">
        <f t="shared" si="1"/>
        <v>30</v>
      </c>
      <c r="I43" s="17">
        <f t="shared" si="0"/>
        <v>11600</v>
      </c>
      <c r="J43" s="2"/>
      <c r="K43" s="18"/>
      <c r="L43" s="17">
        <f t="shared" si="3"/>
        <v>400</v>
      </c>
      <c r="M43" s="17"/>
      <c r="N43" s="17"/>
      <c r="O43" s="36">
        <f t="shared" si="4"/>
        <v>11600</v>
      </c>
      <c r="P43" s="2"/>
    </row>
    <row r="44" spans="2:17" ht="19.899999999999999" customHeight="1">
      <c r="B44" s="2">
        <v>41</v>
      </c>
      <c r="C44" s="66" t="s">
        <v>131</v>
      </c>
      <c r="D44" s="38">
        <v>2500</v>
      </c>
      <c r="E44" s="17">
        <f t="shared" si="2"/>
        <v>83.333333333333329</v>
      </c>
      <c r="F44" s="2">
        <v>31</v>
      </c>
      <c r="G44" s="35">
        <v>4</v>
      </c>
      <c r="H44" s="18">
        <f t="shared" si="1"/>
        <v>27</v>
      </c>
      <c r="I44" s="17">
        <f t="shared" si="0"/>
        <v>2166.6666666666665</v>
      </c>
      <c r="J44" s="18"/>
      <c r="K44" s="18"/>
      <c r="L44" s="17">
        <f t="shared" si="3"/>
        <v>333.33333333333331</v>
      </c>
      <c r="M44" s="17"/>
      <c r="N44" s="17"/>
      <c r="O44" s="36">
        <f t="shared" si="4"/>
        <v>2166.6666666666665</v>
      </c>
      <c r="P44" s="2">
        <v>7</v>
      </c>
      <c r="Q44" s="1">
        <f>(+E45/8.3)*0.5</f>
        <v>5.0200803212851399</v>
      </c>
    </row>
    <row r="45" spans="2:17" ht="19.899999999999999" customHeight="1">
      <c r="B45" s="2">
        <v>42</v>
      </c>
      <c r="C45" s="66" t="s">
        <v>132</v>
      </c>
      <c r="D45" s="38">
        <v>2500</v>
      </c>
      <c r="E45" s="17">
        <f t="shared" si="2"/>
        <v>83.333333333333329</v>
      </c>
      <c r="F45" s="2">
        <v>31</v>
      </c>
      <c r="G45" s="35">
        <v>7</v>
      </c>
      <c r="H45" s="18">
        <f t="shared" si="1"/>
        <v>24</v>
      </c>
      <c r="I45" s="17">
        <f>SUM(D45-L45)</f>
        <v>1916.6666666666667</v>
      </c>
      <c r="J45" s="18">
        <v>1500</v>
      </c>
      <c r="K45" s="18"/>
      <c r="L45" s="17">
        <f>SUM(G45*E45)</f>
        <v>583.33333333333326</v>
      </c>
      <c r="M45" s="17"/>
      <c r="N45" s="17"/>
      <c r="O45" s="36">
        <f t="shared" si="4"/>
        <v>416.66666666666674</v>
      </c>
      <c r="P45" s="2">
        <v>7</v>
      </c>
    </row>
    <row r="46" spans="2:17" ht="19.899999999999999" customHeight="1">
      <c r="B46" s="2">
        <v>43</v>
      </c>
      <c r="C46" s="66" t="s">
        <v>137</v>
      </c>
      <c r="D46" s="38">
        <v>2500</v>
      </c>
      <c r="E46" s="17">
        <f t="shared" si="2"/>
        <v>83.333333333333329</v>
      </c>
      <c r="F46" s="2">
        <v>31</v>
      </c>
      <c r="G46" s="35">
        <v>1</v>
      </c>
      <c r="H46" s="18">
        <f t="shared" si="1"/>
        <v>30</v>
      </c>
      <c r="I46" s="17">
        <f>SUM(D46-L46)</f>
        <v>2416.6666666666665</v>
      </c>
      <c r="J46" s="18"/>
      <c r="K46" s="18"/>
      <c r="L46" s="17">
        <f t="shared" si="3"/>
        <v>83.333333333333329</v>
      </c>
      <c r="M46" s="17"/>
      <c r="N46" s="17"/>
      <c r="O46" s="36">
        <f t="shared" si="4"/>
        <v>2416.6666666666665</v>
      </c>
      <c r="P46" s="2">
        <v>7</v>
      </c>
    </row>
    <row r="47" spans="2:17" ht="19.899999999999999" customHeight="1">
      <c r="B47" s="2">
        <v>44</v>
      </c>
      <c r="C47" s="66" t="s">
        <v>147</v>
      </c>
      <c r="D47" s="38">
        <v>3500</v>
      </c>
      <c r="E47" s="17">
        <f t="shared" si="2"/>
        <v>116.66666666666667</v>
      </c>
      <c r="F47" s="2">
        <v>31</v>
      </c>
      <c r="G47" s="35">
        <v>0</v>
      </c>
      <c r="H47" s="18">
        <f t="shared" si="1"/>
        <v>31</v>
      </c>
      <c r="I47" s="17">
        <f t="shared" ref="I47:I51" si="5">SUM(D47-L47)</f>
        <v>3500</v>
      </c>
      <c r="J47" s="18">
        <v>500</v>
      </c>
      <c r="K47" s="18"/>
      <c r="L47" s="17">
        <f t="shared" si="3"/>
        <v>0</v>
      </c>
      <c r="M47" s="17"/>
      <c r="N47" s="17"/>
      <c r="O47" s="36">
        <f t="shared" si="4"/>
        <v>3000</v>
      </c>
      <c r="P47" s="2">
        <v>300</v>
      </c>
    </row>
    <row r="48" spans="2:17" ht="19.899999999999999" customHeight="1">
      <c r="B48" s="2">
        <v>45</v>
      </c>
      <c r="C48" s="66" t="s">
        <v>148</v>
      </c>
      <c r="D48" s="38">
        <v>8000</v>
      </c>
      <c r="E48" s="17">
        <f t="shared" si="2"/>
        <v>266.66666666666669</v>
      </c>
      <c r="F48" s="2">
        <v>31</v>
      </c>
      <c r="G48" s="35">
        <v>0</v>
      </c>
      <c r="H48" s="18">
        <f t="shared" si="1"/>
        <v>31</v>
      </c>
      <c r="I48" s="17">
        <f t="shared" si="5"/>
        <v>8000</v>
      </c>
      <c r="J48" s="18"/>
      <c r="K48" s="18"/>
      <c r="L48" s="17">
        <f t="shared" si="3"/>
        <v>0</v>
      </c>
      <c r="M48" s="17"/>
      <c r="N48" s="17"/>
      <c r="O48" s="36">
        <f t="shared" si="4"/>
        <v>8000</v>
      </c>
      <c r="P48" s="2">
        <v>300</v>
      </c>
    </row>
    <row r="49" spans="2:17" ht="19.899999999999999" customHeight="1">
      <c r="B49" s="2">
        <v>46</v>
      </c>
      <c r="C49" s="66" t="s">
        <v>149</v>
      </c>
      <c r="D49" s="38">
        <v>2500</v>
      </c>
      <c r="E49" s="17">
        <f t="shared" si="2"/>
        <v>83.333333333333329</v>
      </c>
      <c r="F49" s="2">
        <v>31</v>
      </c>
      <c r="G49" s="35">
        <v>5</v>
      </c>
      <c r="H49" s="18">
        <f t="shared" si="1"/>
        <v>26</v>
      </c>
      <c r="I49" s="17">
        <f t="shared" si="5"/>
        <v>2083.3333333333335</v>
      </c>
      <c r="J49" s="18"/>
      <c r="K49" s="18"/>
      <c r="L49" s="17">
        <f t="shared" si="3"/>
        <v>416.66666666666663</v>
      </c>
      <c r="M49" s="17"/>
      <c r="N49" s="17"/>
      <c r="O49" s="36">
        <f t="shared" si="4"/>
        <v>2083.3333333333335</v>
      </c>
      <c r="P49" s="2"/>
    </row>
    <row r="50" spans="2:17" ht="19.899999999999999" customHeight="1">
      <c r="B50" s="2">
        <v>47</v>
      </c>
      <c r="C50" s="66" t="s">
        <v>150</v>
      </c>
      <c r="D50" s="38">
        <v>2500</v>
      </c>
      <c r="E50" s="17">
        <f t="shared" si="2"/>
        <v>83.333333333333329</v>
      </c>
      <c r="F50" s="2">
        <v>31</v>
      </c>
      <c r="G50" s="35">
        <v>3</v>
      </c>
      <c r="H50" s="18">
        <f t="shared" si="1"/>
        <v>28</v>
      </c>
      <c r="I50" s="17">
        <f t="shared" si="5"/>
        <v>2250</v>
      </c>
      <c r="J50" s="18"/>
      <c r="K50" s="18"/>
      <c r="L50" s="17">
        <f t="shared" si="3"/>
        <v>250</v>
      </c>
      <c r="M50" s="17"/>
      <c r="N50" s="17"/>
      <c r="O50" s="36">
        <f t="shared" si="4"/>
        <v>2250</v>
      </c>
      <c r="P50" s="2"/>
    </row>
    <row r="51" spans="2:17" ht="19.899999999999999" customHeight="1">
      <c r="B51" s="2">
        <v>48</v>
      </c>
      <c r="C51" s="66" t="s">
        <v>151</v>
      </c>
      <c r="D51" s="38">
        <v>5000</v>
      </c>
      <c r="E51" s="17">
        <f t="shared" si="2"/>
        <v>166.66666666666666</v>
      </c>
      <c r="F51" s="2">
        <v>31</v>
      </c>
      <c r="G51" s="35">
        <v>0.5</v>
      </c>
      <c r="H51" s="18">
        <f t="shared" si="1"/>
        <v>30.5</v>
      </c>
      <c r="I51" s="17">
        <f t="shared" si="5"/>
        <v>4916.666666666667</v>
      </c>
      <c r="J51" s="18"/>
      <c r="K51" s="18"/>
      <c r="L51" s="17">
        <f t="shared" si="3"/>
        <v>83.333333333333329</v>
      </c>
      <c r="M51" s="17"/>
      <c r="N51" s="17"/>
      <c r="O51" s="36">
        <f t="shared" si="4"/>
        <v>4916.666666666667</v>
      </c>
      <c r="P51" s="2">
        <v>250</v>
      </c>
      <c r="Q51">
        <f>5000-4917</f>
        <v>83</v>
      </c>
    </row>
    <row r="52" spans="2:17" ht="19.899999999999999" customHeight="1">
      <c r="B52" s="2">
        <v>49</v>
      </c>
      <c r="C52" s="66" t="s">
        <v>50</v>
      </c>
      <c r="D52" s="16">
        <v>6700</v>
      </c>
      <c r="E52" s="17">
        <f t="shared" si="2"/>
        <v>223.33333333333334</v>
      </c>
      <c r="F52" s="18">
        <v>31</v>
      </c>
      <c r="G52" s="18">
        <v>1</v>
      </c>
      <c r="H52" s="18">
        <f t="shared" si="1"/>
        <v>30</v>
      </c>
      <c r="I52" s="17">
        <f t="shared" si="0"/>
        <v>6476.666666666667</v>
      </c>
      <c r="J52" s="18"/>
      <c r="K52" s="18"/>
      <c r="L52" s="17">
        <f t="shared" si="3"/>
        <v>223.33333333333334</v>
      </c>
      <c r="M52" s="17"/>
      <c r="N52" s="17"/>
      <c r="O52" s="77">
        <f t="shared" si="4"/>
        <v>6476.666666666667</v>
      </c>
      <c r="P52" s="2">
        <v>7</v>
      </c>
    </row>
    <row r="53" spans="2:17" ht="19.899999999999999" customHeight="1" thickBot="1">
      <c r="B53" s="2">
        <v>50</v>
      </c>
      <c r="C53" s="60" t="s">
        <v>154</v>
      </c>
      <c r="D53" s="61">
        <v>2500</v>
      </c>
      <c r="E53" s="62">
        <f t="shared" si="2"/>
        <v>83.333333333333329</v>
      </c>
      <c r="F53" s="63">
        <v>31</v>
      </c>
      <c r="G53" s="63">
        <v>20</v>
      </c>
      <c r="H53" s="63">
        <f t="shared" si="1"/>
        <v>11</v>
      </c>
      <c r="I53" s="62">
        <f t="shared" si="0"/>
        <v>833.33333333333348</v>
      </c>
      <c r="J53" s="63"/>
      <c r="K53" s="63"/>
      <c r="L53" s="62">
        <f t="shared" si="3"/>
        <v>1666.6666666666665</v>
      </c>
      <c r="M53" s="62"/>
      <c r="N53" s="62"/>
      <c r="O53" s="64">
        <f t="shared" si="4"/>
        <v>833.33333333333348</v>
      </c>
      <c r="P53" s="81">
        <v>3</v>
      </c>
    </row>
    <row r="54" spans="2:17" ht="19.899999999999999" customHeight="1">
      <c r="B54" s="82"/>
      <c r="C54" s="48" t="s">
        <v>40</v>
      </c>
      <c r="D54" s="53">
        <f>SUM(D4:D53)</f>
        <v>257000</v>
      </c>
      <c r="E54" s="54"/>
      <c r="F54" s="55"/>
      <c r="G54" s="54"/>
      <c r="H54" s="55"/>
      <c r="I54" s="56">
        <f>SUM(I4:I53)</f>
        <v>237928.83333333328</v>
      </c>
      <c r="J54" s="57">
        <f>SUM(J4:J52)</f>
        <v>34356</v>
      </c>
      <c r="K54" s="58"/>
      <c r="L54" s="57">
        <f>SUM(L4:L53)</f>
        <v>18261.166666666672</v>
      </c>
      <c r="M54" s="57">
        <f>SUM(M4:M52)</f>
        <v>1344</v>
      </c>
      <c r="N54" s="58">
        <f>SUM(N4:N52)</f>
        <v>282</v>
      </c>
      <c r="O54" s="59">
        <f>SUM(O4:O53)</f>
        <v>201946.83333333331</v>
      </c>
      <c r="P54" s="59">
        <f>SUM(P4:P53)</f>
        <v>6261</v>
      </c>
    </row>
    <row r="55" spans="2:17" ht="19.899999999999999" customHeight="1" thickBot="1">
      <c r="B55" s="3"/>
      <c r="C55" s="49"/>
      <c r="D55" s="21"/>
      <c r="E55" s="23"/>
      <c r="F55" s="12"/>
      <c r="G55" s="23"/>
      <c r="H55" s="12"/>
      <c r="I55" s="21"/>
      <c r="J55" s="50"/>
      <c r="K55" s="50"/>
      <c r="L55" s="50"/>
      <c r="M55" s="51"/>
      <c r="N55" s="51"/>
      <c r="O55" s="52"/>
      <c r="P55" s="2">
        <f>+P6+P13+P14+P15+P16+P17+P18+P20+P22+P24+P25+P28+P29+P31+P34+P36+P37+P41+P47+P48+P51</f>
        <v>6200</v>
      </c>
    </row>
    <row r="56" spans="2:17">
      <c r="B56" s="83"/>
      <c r="I56" s="43"/>
      <c r="L56" s="47"/>
    </row>
    <row r="57" spans="2:17" ht="26.25">
      <c r="C57" s="26"/>
      <c r="D57" s="26"/>
      <c r="E57" s="26"/>
      <c r="F57" s="26"/>
      <c r="G57" s="26" t="s">
        <v>122</v>
      </c>
      <c r="H57" s="26"/>
      <c r="I57" s="26"/>
      <c r="J57" s="26"/>
      <c r="K57" s="76"/>
      <c r="L57" s="65"/>
      <c r="M57" s="26" t="s">
        <v>92</v>
      </c>
      <c r="N57" s="26"/>
    </row>
    <row r="58" spans="2:17" ht="26.2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</row>
    <row r="59" spans="2:17">
      <c r="B59" s="1"/>
      <c r="J59" s="43"/>
    </row>
    <row r="60" spans="2:17">
      <c r="B60" s="27"/>
      <c r="K60" s="43"/>
    </row>
  </sheetData>
  <autoFilter ref="B2:S55">
    <filterColumn colId="5"/>
  </autoFilter>
  <pageMargins left="0.12" right="0.11" top="0.32" bottom="0.32" header="0.3" footer="0.3"/>
  <pageSetup scale="94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U62"/>
  <sheetViews>
    <sheetView topLeftCell="A3" workbookViewId="0">
      <selection activeCell="I56" sqref="I56"/>
    </sheetView>
  </sheetViews>
  <sheetFormatPr defaultRowHeight="15"/>
  <cols>
    <col min="1" max="1" width="0.140625" customWidth="1"/>
    <col min="2" max="2" width="2.85546875" customWidth="1"/>
    <col min="3" max="3" width="17.7109375" customWidth="1"/>
    <col min="4" max="4" width="8.7109375" customWidth="1"/>
    <col min="5" max="5" width="11.28515625" customWidth="1"/>
    <col min="6" max="6" width="7.140625" customWidth="1"/>
    <col min="7" max="7" width="5" customWidth="1"/>
    <col min="8" max="8" width="6.85546875" customWidth="1"/>
    <col min="9" max="9" width="10" customWidth="1"/>
    <col min="10" max="10" width="9.5703125" customWidth="1"/>
    <col min="11" max="11" width="9.28515625" customWidth="1"/>
    <col min="12" max="12" width="9.85546875" customWidth="1"/>
    <col min="13" max="13" width="7.28515625" customWidth="1"/>
    <col min="14" max="14" width="5.42578125" customWidth="1"/>
    <col min="15" max="16" width="11.7109375" customWidth="1"/>
    <col min="17" max="17" width="22.28515625" customWidth="1"/>
    <col min="18" max="18" width="10.42578125" customWidth="1"/>
  </cols>
  <sheetData>
    <row r="1" spans="2:21">
      <c r="C1" s="6"/>
    </row>
    <row r="2" spans="2:21" ht="36">
      <c r="C2" s="79">
        <v>42339</v>
      </c>
      <c r="D2" t="s">
        <v>41</v>
      </c>
      <c r="E2" s="8" t="s">
        <v>146</v>
      </c>
      <c r="F2" s="8"/>
      <c r="G2" s="8"/>
      <c r="H2" s="9"/>
      <c r="I2" s="5"/>
      <c r="J2" s="5"/>
      <c r="K2" s="5"/>
      <c r="P2" t="s">
        <v>152</v>
      </c>
      <c r="Q2" t="s">
        <v>105</v>
      </c>
    </row>
    <row r="3" spans="2:21">
      <c r="B3" s="2" t="s">
        <v>0</v>
      </c>
      <c r="C3" s="2" t="s">
        <v>1</v>
      </c>
      <c r="D3" s="2" t="s">
        <v>5</v>
      </c>
      <c r="E3" s="2" t="s">
        <v>34</v>
      </c>
      <c r="F3" s="2" t="s">
        <v>2</v>
      </c>
      <c r="G3" s="3" t="s">
        <v>4</v>
      </c>
      <c r="H3" s="2" t="s">
        <v>3</v>
      </c>
      <c r="I3" s="2" t="s">
        <v>32</v>
      </c>
      <c r="J3" s="2" t="s">
        <v>36</v>
      </c>
      <c r="K3" s="2" t="s">
        <v>123</v>
      </c>
      <c r="L3" s="2" t="s">
        <v>33</v>
      </c>
      <c r="M3" s="2" t="s">
        <v>37</v>
      </c>
      <c r="N3" s="2" t="s">
        <v>38</v>
      </c>
      <c r="O3" s="28" t="s">
        <v>40</v>
      </c>
      <c r="P3" s="28"/>
      <c r="Q3" s="2" t="s">
        <v>105</v>
      </c>
      <c r="R3" s="1"/>
      <c r="S3" s="1"/>
      <c r="T3" s="1"/>
      <c r="U3" s="1"/>
    </row>
    <row r="4" spans="2:21" ht="19.899999999999999" customHeight="1">
      <c r="B4" s="2">
        <v>1</v>
      </c>
      <c r="C4" s="13" t="s">
        <v>45</v>
      </c>
      <c r="D4" s="11">
        <v>11700</v>
      </c>
      <c r="E4" s="4">
        <f>SUM(D4/30)</f>
        <v>390</v>
      </c>
      <c r="F4" s="2">
        <v>31</v>
      </c>
      <c r="G4" s="33">
        <v>1</v>
      </c>
      <c r="H4" s="2">
        <f>+F4-G4</f>
        <v>30</v>
      </c>
      <c r="I4" s="4">
        <f t="shared" ref="I4:I55" si="0">SUM(D4-L4)</f>
        <v>11310</v>
      </c>
      <c r="J4" s="2">
        <f>2000+2000</f>
        <v>4000</v>
      </c>
      <c r="K4" s="2"/>
      <c r="L4" s="4">
        <f>SUM(G4*E4)</f>
        <v>390</v>
      </c>
      <c r="M4" s="4">
        <v>252</v>
      </c>
      <c r="N4" s="2">
        <v>53</v>
      </c>
      <c r="O4" s="36">
        <f>SUM(I4-J4-M4-N4-K4)</f>
        <v>7005</v>
      </c>
      <c r="P4" s="36"/>
      <c r="Q4" s="2"/>
      <c r="R4" s="1"/>
      <c r="S4" s="1"/>
      <c r="T4" s="1"/>
      <c r="U4" s="1"/>
    </row>
    <row r="5" spans="2:21" ht="19.899999999999999" customHeight="1">
      <c r="B5" s="2">
        <v>2</v>
      </c>
      <c r="C5" s="13" t="s">
        <v>7</v>
      </c>
      <c r="D5" s="11">
        <v>10200</v>
      </c>
      <c r="E5" s="4">
        <f>SUM(D5/30)</f>
        <v>340</v>
      </c>
      <c r="F5" s="2">
        <v>31</v>
      </c>
      <c r="G5" s="33">
        <v>2</v>
      </c>
      <c r="H5" s="2">
        <f t="shared" ref="H5:H55" si="1">+F5-G5</f>
        <v>29</v>
      </c>
      <c r="I5" s="4">
        <f t="shared" si="0"/>
        <v>9520</v>
      </c>
      <c r="J5" s="2">
        <f>2000+2000</f>
        <v>4000</v>
      </c>
      <c r="K5" s="2"/>
      <c r="L5" s="4">
        <f>SUM(G5*E5)</f>
        <v>680</v>
      </c>
      <c r="M5" s="4">
        <v>252</v>
      </c>
      <c r="N5" s="2">
        <v>53</v>
      </c>
      <c r="O5" s="36">
        <f>SUM(I5-J5-M5-N5)</f>
        <v>5215</v>
      </c>
      <c r="P5" s="36"/>
      <c r="Q5" s="2"/>
      <c r="R5" s="1">
        <v>5</v>
      </c>
      <c r="S5" s="1"/>
      <c r="T5" s="1"/>
      <c r="U5" s="1"/>
    </row>
    <row r="6" spans="2:21" ht="19.899999999999999" customHeight="1">
      <c r="B6" s="2">
        <v>1</v>
      </c>
      <c r="C6" s="13" t="s">
        <v>46</v>
      </c>
      <c r="D6" s="11">
        <v>9500</v>
      </c>
      <c r="E6" s="4">
        <f t="shared" ref="E6:E55" si="2">SUM(D6/30)</f>
        <v>316.66666666666669</v>
      </c>
      <c r="F6" s="2">
        <v>31</v>
      </c>
      <c r="G6" s="33">
        <v>0</v>
      </c>
      <c r="H6" s="2">
        <f t="shared" si="1"/>
        <v>31</v>
      </c>
      <c r="I6" s="4">
        <f t="shared" si="0"/>
        <v>9500</v>
      </c>
      <c r="J6" s="2"/>
      <c r="K6" s="2"/>
      <c r="L6" s="4">
        <f t="shared" ref="L6:L55" si="3">SUM(G6*E6)</f>
        <v>0</v>
      </c>
      <c r="M6" s="4">
        <v>252</v>
      </c>
      <c r="N6" s="2">
        <v>53</v>
      </c>
      <c r="O6" s="36">
        <f t="shared" ref="O6:O55" si="4">SUM(I6-J6-M6-N6-K6)</f>
        <v>9195</v>
      </c>
      <c r="P6" s="78">
        <v>300</v>
      </c>
      <c r="Q6" s="2"/>
      <c r="R6" s="41"/>
      <c r="S6" s="41"/>
      <c r="T6" s="41"/>
      <c r="U6" s="1"/>
    </row>
    <row r="7" spans="2:21" ht="19.899999999999999" customHeight="1">
      <c r="B7" s="2">
        <v>2</v>
      </c>
      <c r="C7" s="13" t="s">
        <v>47</v>
      </c>
      <c r="D7" s="11">
        <v>8400</v>
      </c>
      <c r="E7" s="4">
        <f t="shared" si="2"/>
        <v>280</v>
      </c>
      <c r="F7" s="2">
        <v>31</v>
      </c>
      <c r="G7" s="34">
        <v>0</v>
      </c>
      <c r="H7" s="2">
        <f t="shared" si="1"/>
        <v>31</v>
      </c>
      <c r="I7" s="4">
        <f t="shared" si="0"/>
        <v>8400</v>
      </c>
      <c r="J7" s="2"/>
      <c r="K7" s="2"/>
      <c r="L7" s="4">
        <f t="shared" si="3"/>
        <v>0</v>
      </c>
      <c r="M7" s="4">
        <v>252</v>
      </c>
      <c r="N7" s="2">
        <v>53</v>
      </c>
      <c r="O7" s="36">
        <f t="shared" si="4"/>
        <v>8095</v>
      </c>
      <c r="P7" s="78">
        <v>300</v>
      </c>
      <c r="Q7" s="2"/>
      <c r="R7" s="83"/>
      <c r="S7" s="1"/>
      <c r="T7" s="1"/>
      <c r="U7" s="1"/>
    </row>
    <row r="8" spans="2:21" ht="19.899999999999999" customHeight="1">
      <c r="B8" s="2">
        <v>5</v>
      </c>
      <c r="C8" s="13" t="s">
        <v>138</v>
      </c>
      <c r="D8" s="11">
        <v>12000</v>
      </c>
      <c r="E8" s="4">
        <f>SUM(D8/30)</f>
        <v>400</v>
      </c>
      <c r="F8" s="2">
        <v>31</v>
      </c>
      <c r="G8" s="33">
        <v>1.5</v>
      </c>
      <c r="H8" s="2">
        <f t="shared" si="1"/>
        <v>29.5</v>
      </c>
      <c r="I8" s="4">
        <f t="shared" si="0"/>
        <v>11400</v>
      </c>
      <c r="J8" s="2">
        <f>500+1236</f>
        <v>1736</v>
      </c>
      <c r="K8" s="2"/>
      <c r="L8" s="4">
        <f>SUM(G8*E8)</f>
        <v>600</v>
      </c>
      <c r="M8" s="4">
        <v>336</v>
      </c>
      <c r="N8" s="4">
        <v>70</v>
      </c>
      <c r="O8" s="36">
        <f t="shared" si="4"/>
        <v>9258</v>
      </c>
      <c r="P8" s="36"/>
      <c r="Q8" s="46"/>
      <c r="R8" s="40">
        <v>8</v>
      </c>
      <c r="S8" s="46"/>
      <c r="T8" s="40"/>
    </row>
    <row r="9" spans="2:21" ht="19.899999999999999" customHeight="1">
      <c r="B9" s="2">
        <v>3</v>
      </c>
      <c r="C9" s="13" t="s">
        <v>139</v>
      </c>
      <c r="D9" s="11">
        <v>7800</v>
      </c>
      <c r="E9" s="4">
        <f t="shared" si="2"/>
        <v>260</v>
      </c>
      <c r="F9" s="2">
        <v>31</v>
      </c>
      <c r="G9" s="34">
        <v>0.5</v>
      </c>
      <c r="H9" s="2">
        <f t="shared" si="1"/>
        <v>30.5</v>
      </c>
      <c r="I9" s="4">
        <f t="shared" si="0"/>
        <v>7670</v>
      </c>
      <c r="J9" s="2">
        <v>2000</v>
      </c>
      <c r="K9" s="2"/>
      <c r="L9" s="4">
        <f t="shared" si="3"/>
        <v>130</v>
      </c>
      <c r="M9" s="4"/>
      <c r="N9" s="4"/>
      <c r="O9" s="36">
        <f t="shared" si="4"/>
        <v>5670</v>
      </c>
      <c r="P9" s="78">
        <v>250</v>
      </c>
      <c r="Q9" s="46"/>
      <c r="R9" s="1"/>
      <c r="S9" s="1"/>
      <c r="T9" s="1"/>
      <c r="U9" s="1"/>
    </row>
    <row r="10" spans="2:21" ht="19.899999999999999" customHeight="1">
      <c r="B10" s="2">
        <v>7</v>
      </c>
      <c r="C10" s="13" t="s">
        <v>48</v>
      </c>
      <c r="D10" s="11">
        <v>7050</v>
      </c>
      <c r="E10" s="4">
        <f t="shared" si="2"/>
        <v>235</v>
      </c>
      <c r="F10" s="2">
        <v>31</v>
      </c>
      <c r="G10" s="34">
        <v>7.5</v>
      </c>
      <c r="H10" s="2">
        <f t="shared" si="1"/>
        <v>23.5</v>
      </c>
      <c r="I10" s="4">
        <f t="shared" si="0"/>
        <v>5287.5</v>
      </c>
      <c r="J10" s="2">
        <f>100+100</f>
        <v>200</v>
      </c>
      <c r="K10" s="2"/>
      <c r="L10" s="4">
        <f t="shared" si="3"/>
        <v>1762.5</v>
      </c>
      <c r="M10" s="4"/>
      <c r="N10" s="4"/>
      <c r="O10" s="36">
        <f t="shared" si="4"/>
        <v>5087.5</v>
      </c>
      <c r="P10" s="36"/>
      <c r="Q10" s="2"/>
      <c r="R10" s="84">
        <v>8</v>
      </c>
      <c r="S10" s="1"/>
      <c r="T10" s="1"/>
      <c r="U10" s="1"/>
    </row>
    <row r="11" spans="2:21" ht="19.899999999999999" customHeight="1">
      <c r="B11" s="2">
        <v>8</v>
      </c>
      <c r="C11" s="13" t="s">
        <v>140</v>
      </c>
      <c r="D11" s="11">
        <v>10000</v>
      </c>
      <c r="E11" s="4">
        <f t="shared" si="2"/>
        <v>333.33333333333331</v>
      </c>
      <c r="F11" s="2">
        <v>31</v>
      </c>
      <c r="G11" s="33">
        <v>3</v>
      </c>
      <c r="H11" s="2">
        <f t="shared" si="1"/>
        <v>28</v>
      </c>
      <c r="I11" s="4">
        <f t="shared" si="0"/>
        <v>9000</v>
      </c>
      <c r="J11" s="2"/>
      <c r="K11" s="2"/>
      <c r="L11" s="4">
        <f t="shared" si="3"/>
        <v>1000</v>
      </c>
      <c r="M11" s="4"/>
      <c r="N11" s="4"/>
      <c r="O11" s="36">
        <f t="shared" si="4"/>
        <v>9000</v>
      </c>
      <c r="P11" s="36"/>
      <c r="Q11" s="2"/>
      <c r="R11" s="1"/>
      <c r="S11" s="1"/>
      <c r="T11" s="1"/>
      <c r="U11" s="1"/>
    </row>
    <row r="12" spans="2:21" ht="19.899999999999999" customHeight="1">
      <c r="B12" s="2">
        <v>9</v>
      </c>
      <c r="C12" s="13" t="s">
        <v>107</v>
      </c>
      <c r="D12" s="11">
        <v>4700</v>
      </c>
      <c r="E12" s="4">
        <f t="shared" si="2"/>
        <v>156.66666666666666</v>
      </c>
      <c r="F12" s="2">
        <v>31</v>
      </c>
      <c r="G12" s="34">
        <v>1</v>
      </c>
      <c r="H12" s="2">
        <f t="shared" si="1"/>
        <v>30</v>
      </c>
      <c r="I12" s="4">
        <f t="shared" si="0"/>
        <v>4543.333333333333</v>
      </c>
      <c r="J12" s="2"/>
      <c r="K12" s="2"/>
      <c r="L12" s="4">
        <f t="shared" si="3"/>
        <v>156.66666666666666</v>
      </c>
      <c r="M12" s="4"/>
      <c r="N12" s="4"/>
      <c r="O12" s="36">
        <f t="shared" si="4"/>
        <v>4543.333333333333</v>
      </c>
      <c r="P12" s="36"/>
      <c r="Q12" s="2"/>
      <c r="R12" s="84"/>
      <c r="S12" s="1"/>
      <c r="T12" s="1"/>
      <c r="U12" s="1"/>
    </row>
    <row r="13" spans="2:21" ht="19.899999999999999" customHeight="1">
      <c r="B13" s="2">
        <v>10</v>
      </c>
      <c r="C13" s="13" t="s">
        <v>16</v>
      </c>
      <c r="D13" s="11">
        <v>4300</v>
      </c>
      <c r="E13" s="4">
        <f t="shared" si="2"/>
        <v>143.33333333333334</v>
      </c>
      <c r="F13" s="2">
        <v>31</v>
      </c>
      <c r="G13" s="33">
        <v>3.5</v>
      </c>
      <c r="H13" s="2">
        <f t="shared" si="1"/>
        <v>27.5</v>
      </c>
      <c r="I13" s="4">
        <f t="shared" si="0"/>
        <v>3798.3333333333335</v>
      </c>
      <c r="J13" s="2"/>
      <c r="K13" s="2"/>
      <c r="L13" s="4">
        <f t="shared" si="3"/>
        <v>501.66666666666669</v>
      </c>
      <c r="M13" s="4"/>
      <c r="N13" s="4"/>
      <c r="O13" s="36">
        <f t="shared" si="4"/>
        <v>3798.3333333333335</v>
      </c>
      <c r="P13" s="36"/>
      <c r="Q13" s="2"/>
      <c r="R13" s="83">
        <v>8</v>
      </c>
      <c r="S13" s="1"/>
      <c r="T13" s="1"/>
      <c r="U13" s="1"/>
    </row>
    <row r="14" spans="2:21" ht="19.899999999999999" customHeight="1">
      <c r="B14" s="2">
        <v>11</v>
      </c>
      <c r="C14" s="13" t="s">
        <v>142</v>
      </c>
      <c r="D14" s="11">
        <v>3850</v>
      </c>
      <c r="E14" s="4">
        <f t="shared" si="2"/>
        <v>128.33333333333334</v>
      </c>
      <c r="F14" s="2">
        <v>31</v>
      </c>
      <c r="G14" s="33">
        <v>1.5</v>
      </c>
      <c r="H14" s="2">
        <f t="shared" si="1"/>
        <v>29.5</v>
      </c>
      <c r="I14" s="4">
        <f t="shared" si="0"/>
        <v>3657.5</v>
      </c>
      <c r="J14" s="2"/>
      <c r="K14" s="2"/>
      <c r="L14" s="4">
        <f t="shared" si="3"/>
        <v>192.5</v>
      </c>
      <c r="M14" s="4"/>
      <c r="N14" s="4"/>
      <c r="O14" s="36">
        <f t="shared" si="4"/>
        <v>3657.5</v>
      </c>
      <c r="P14" s="36"/>
      <c r="Q14" s="2"/>
      <c r="R14" s="84">
        <v>8</v>
      </c>
      <c r="S14" s="1"/>
      <c r="T14" s="1"/>
      <c r="U14" s="1"/>
    </row>
    <row r="15" spans="2:21" ht="19.899999999999999" customHeight="1">
      <c r="B15" s="2">
        <v>12</v>
      </c>
      <c r="C15" s="13" t="s">
        <v>143</v>
      </c>
      <c r="D15" s="11">
        <v>4450</v>
      </c>
      <c r="E15" s="4">
        <f t="shared" si="2"/>
        <v>148.33333333333334</v>
      </c>
      <c r="F15" s="2">
        <v>31</v>
      </c>
      <c r="G15" s="33">
        <v>2.5</v>
      </c>
      <c r="H15" s="2">
        <f t="shared" si="1"/>
        <v>28.5</v>
      </c>
      <c r="I15" s="4">
        <f t="shared" si="0"/>
        <v>4079.1666666666665</v>
      </c>
      <c r="J15" s="2"/>
      <c r="K15" s="2"/>
      <c r="L15" s="4">
        <f t="shared" si="3"/>
        <v>370.83333333333337</v>
      </c>
      <c r="M15" s="4"/>
      <c r="N15" s="4"/>
      <c r="O15" s="36">
        <f t="shared" si="4"/>
        <v>4079.1666666666665</v>
      </c>
      <c r="P15" s="36"/>
      <c r="Q15" s="2"/>
      <c r="R15" s="83">
        <v>9</v>
      </c>
      <c r="S15" s="1"/>
      <c r="T15" s="1"/>
      <c r="U15" s="1"/>
    </row>
    <row r="16" spans="2:21" ht="19.899999999999999" customHeight="1">
      <c r="B16" s="2">
        <v>4</v>
      </c>
      <c r="C16" s="13" t="s">
        <v>58</v>
      </c>
      <c r="D16" s="11">
        <v>3850</v>
      </c>
      <c r="E16" s="4">
        <f t="shared" si="2"/>
        <v>128.33333333333334</v>
      </c>
      <c r="F16" s="2">
        <v>31</v>
      </c>
      <c r="G16" s="33">
        <v>0</v>
      </c>
      <c r="H16" s="2">
        <f t="shared" si="1"/>
        <v>31</v>
      </c>
      <c r="I16" s="4">
        <f t="shared" si="0"/>
        <v>3850</v>
      </c>
      <c r="J16" s="2"/>
      <c r="K16" s="2"/>
      <c r="L16" s="4">
        <f t="shared" si="3"/>
        <v>0</v>
      </c>
      <c r="M16" s="4"/>
      <c r="N16" s="4"/>
      <c r="O16" s="36">
        <f t="shared" si="4"/>
        <v>3850</v>
      </c>
      <c r="P16" s="78">
        <v>300</v>
      </c>
      <c r="Q16" s="2"/>
      <c r="R16" s="1"/>
      <c r="S16" s="1"/>
      <c r="T16" s="1"/>
      <c r="U16" s="1"/>
    </row>
    <row r="17" spans="2:21" ht="19.899999999999999" customHeight="1">
      <c r="B17" s="2">
        <v>14</v>
      </c>
      <c r="C17" s="13" t="s">
        <v>54</v>
      </c>
      <c r="D17" s="11">
        <v>4250</v>
      </c>
      <c r="E17" s="4">
        <f t="shared" si="2"/>
        <v>141.66666666666666</v>
      </c>
      <c r="F17" s="2">
        <v>31</v>
      </c>
      <c r="G17" s="33">
        <v>1</v>
      </c>
      <c r="H17" s="2">
        <f t="shared" si="1"/>
        <v>30</v>
      </c>
      <c r="I17" s="4">
        <f t="shared" si="0"/>
        <v>4108.333333333333</v>
      </c>
      <c r="J17" s="2">
        <v>1000</v>
      </c>
      <c r="K17" s="2"/>
      <c r="L17" s="4">
        <f t="shared" si="3"/>
        <v>141.66666666666666</v>
      </c>
      <c r="M17" s="4"/>
      <c r="N17" s="4"/>
      <c r="O17" s="36">
        <f t="shared" si="4"/>
        <v>3108.333333333333</v>
      </c>
      <c r="P17" s="36"/>
      <c r="Q17" s="2"/>
      <c r="R17" s="41">
        <v>8</v>
      </c>
      <c r="S17" s="1"/>
      <c r="T17" s="1"/>
      <c r="U17" s="1"/>
    </row>
    <row r="18" spans="2:21" ht="19.899999999999999" customHeight="1">
      <c r="B18" s="2">
        <v>15</v>
      </c>
      <c r="C18" s="13" t="s">
        <v>53</v>
      </c>
      <c r="D18" s="11">
        <v>3800</v>
      </c>
      <c r="E18" s="4">
        <f t="shared" si="2"/>
        <v>126.66666666666667</v>
      </c>
      <c r="F18" s="2">
        <v>31</v>
      </c>
      <c r="G18" s="34">
        <v>16</v>
      </c>
      <c r="H18" s="2">
        <f t="shared" si="1"/>
        <v>15</v>
      </c>
      <c r="I18" s="4">
        <f t="shared" si="0"/>
        <v>1773.3333333333333</v>
      </c>
      <c r="J18" s="2">
        <v>1000</v>
      </c>
      <c r="K18" s="2"/>
      <c r="L18" s="4">
        <f t="shared" si="3"/>
        <v>2026.6666666666667</v>
      </c>
      <c r="M18" s="4"/>
      <c r="N18" s="4"/>
      <c r="O18" s="36">
        <f t="shared" si="4"/>
        <v>773.33333333333326</v>
      </c>
      <c r="P18" s="36"/>
      <c r="Q18" s="2"/>
      <c r="R18" s="83">
        <v>3</v>
      </c>
      <c r="S18" s="1"/>
      <c r="T18" s="1"/>
      <c r="U18" s="1"/>
    </row>
    <row r="19" spans="2:21" ht="19.899999999999999" customHeight="1">
      <c r="B19" s="2">
        <v>16</v>
      </c>
      <c r="C19" s="13" t="s">
        <v>10</v>
      </c>
      <c r="D19" s="11">
        <v>7100</v>
      </c>
      <c r="E19" s="4">
        <f>SUM(D19/30)</f>
        <v>236.66666666666666</v>
      </c>
      <c r="F19" s="2">
        <v>31</v>
      </c>
      <c r="G19" s="34">
        <v>17</v>
      </c>
      <c r="H19" s="2">
        <f t="shared" si="1"/>
        <v>14</v>
      </c>
      <c r="I19" s="4">
        <f t="shared" si="0"/>
        <v>3076.666666666667</v>
      </c>
      <c r="J19" s="2"/>
      <c r="K19" s="2"/>
      <c r="L19" s="4">
        <f>SUM(G19*E19)</f>
        <v>4023.333333333333</v>
      </c>
      <c r="M19" s="4"/>
      <c r="N19" s="4"/>
      <c r="O19" s="36">
        <f t="shared" si="4"/>
        <v>3076.666666666667</v>
      </c>
      <c r="P19" s="36"/>
      <c r="Q19" s="2"/>
      <c r="R19" s="83"/>
      <c r="S19" s="1"/>
      <c r="T19" s="1"/>
      <c r="U19" s="1"/>
    </row>
    <row r="20" spans="2:21" ht="19.899999999999999" customHeight="1">
      <c r="B20" s="2">
        <v>5</v>
      </c>
      <c r="C20" s="13" t="s">
        <v>23</v>
      </c>
      <c r="D20" s="11">
        <v>3700</v>
      </c>
      <c r="E20" s="4">
        <f t="shared" si="2"/>
        <v>123.33333333333333</v>
      </c>
      <c r="F20" s="2">
        <v>31</v>
      </c>
      <c r="G20" s="33">
        <v>0.5</v>
      </c>
      <c r="H20" s="2">
        <f t="shared" si="1"/>
        <v>30.5</v>
      </c>
      <c r="I20" s="4">
        <f t="shared" si="0"/>
        <v>3638.3333333333335</v>
      </c>
      <c r="J20" s="2"/>
      <c r="K20" s="2"/>
      <c r="L20" s="4">
        <f t="shared" si="3"/>
        <v>61.666666666666664</v>
      </c>
      <c r="M20" s="4"/>
      <c r="N20" s="4"/>
      <c r="O20" s="36">
        <f t="shared" si="4"/>
        <v>3638.3333333333335</v>
      </c>
      <c r="P20" s="78">
        <v>250</v>
      </c>
      <c r="Q20" s="2"/>
      <c r="R20" s="83">
        <v>8</v>
      </c>
      <c r="S20" s="1"/>
      <c r="T20" s="1"/>
      <c r="U20" s="1"/>
    </row>
    <row r="21" spans="2:21" ht="19.899999999999999" customHeight="1">
      <c r="B21" s="2">
        <v>6</v>
      </c>
      <c r="C21" s="13" t="s">
        <v>24</v>
      </c>
      <c r="D21" s="11">
        <v>3600</v>
      </c>
      <c r="E21" s="4">
        <f t="shared" si="2"/>
        <v>120</v>
      </c>
      <c r="F21" s="2">
        <v>31</v>
      </c>
      <c r="G21" s="34">
        <v>0</v>
      </c>
      <c r="H21" s="2">
        <f t="shared" si="1"/>
        <v>31</v>
      </c>
      <c r="I21" s="4">
        <f t="shared" si="0"/>
        <v>3600</v>
      </c>
      <c r="J21" s="2"/>
      <c r="K21" s="2"/>
      <c r="L21" s="4">
        <f t="shared" si="3"/>
        <v>0</v>
      </c>
      <c r="M21" s="4"/>
      <c r="N21" s="4"/>
      <c r="O21" s="36">
        <f t="shared" si="4"/>
        <v>3600</v>
      </c>
      <c r="P21" s="78">
        <v>300</v>
      </c>
      <c r="Q21" s="2"/>
      <c r="R21" s="1"/>
      <c r="S21" s="1"/>
      <c r="T21" s="1"/>
      <c r="U21" s="1"/>
    </row>
    <row r="22" spans="2:21" ht="19.899999999999999" customHeight="1">
      <c r="B22" s="2">
        <v>7</v>
      </c>
      <c r="C22" s="13" t="s">
        <v>25</v>
      </c>
      <c r="D22" s="11">
        <v>3700</v>
      </c>
      <c r="E22" s="4">
        <f t="shared" si="2"/>
        <v>123.33333333333333</v>
      </c>
      <c r="F22" s="2">
        <v>31</v>
      </c>
      <c r="G22" s="34">
        <v>0</v>
      </c>
      <c r="H22" s="2">
        <f t="shared" si="1"/>
        <v>31</v>
      </c>
      <c r="I22" s="4">
        <f t="shared" si="0"/>
        <v>3700</v>
      </c>
      <c r="J22" s="2"/>
      <c r="K22" s="2"/>
      <c r="L22" s="4">
        <f t="shared" si="3"/>
        <v>0</v>
      </c>
      <c r="M22" s="4"/>
      <c r="N22" s="4"/>
      <c r="O22" s="36">
        <f t="shared" si="4"/>
        <v>3700</v>
      </c>
      <c r="P22" s="78">
        <v>300</v>
      </c>
      <c r="Q22" s="2"/>
      <c r="R22" s="1"/>
      <c r="S22" s="1"/>
      <c r="T22" s="1"/>
      <c r="U22" s="1"/>
    </row>
    <row r="23" spans="2:21" ht="19.899999999999999" customHeight="1">
      <c r="B23" s="2">
        <v>8</v>
      </c>
      <c r="C23" s="13" t="s">
        <v>28</v>
      </c>
      <c r="D23" s="11">
        <v>7000</v>
      </c>
      <c r="E23" s="4">
        <f t="shared" si="2"/>
        <v>233.33333333333334</v>
      </c>
      <c r="F23" s="2">
        <v>31</v>
      </c>
      <c r="G23" s="34">
        <v>0</v>
      </c>
      <c r="H23" s="2">
        <f t="shared" si="1"/>
        <v>31</v>
      </c>
      <c r="I23" s="4">
        <f t="shared" si="0"/>
        <v>7000</v>
      </c>
      <c r="J23" s="2">
        <f>2000+500+1000</f>
        <v>3500</v>
      </c>
      <c r="K23" s="2"/>
      <c r="L23" s="4">
        <f t="shared" si="3"/>
        <v>0</v>
      </c>
      <c r="M23" s="4"/>
      <c r="N23" s="4"/>
      <c r="O23" s="36">
        <f t="shared" si="4"/>
        <v>3500</v>
      </c>
      <c r="P23" s="78">
        <v>300</v>
      </c>
      <c r="Q23" s="2"/>
      <c r="R23" s="1"/>
      <c r="S23" s="1"/>
      <c r="T23" s="1"/>
      <c r="U23" s="1"/>
    </row>
    <row r="24" spans="2:21" ht="19.899999999999999" customHeight="1">
      <c r="B24" s="2">
        <v>21</v>
      </c>
      <c r="C24" s="13" t="s">
        <v>15</v>
      </c>
      <c r="D24" s="11">
        <v>2850</v>
      </c>
      <c r="E24" s="4">
        <f t="shared" si="2"/>
        <v>95</v>
      </c>
      <c r="F24" s="2">
        <v>31</v>
      </c>
      <c r="G24" s="34">
        <v>1</v>
      </c>
      <c r="H24" s="2">
        <f t="shared" si="1"/>
        <v>30</v>
      </c>
      <c r="I24" s="4">
        <f t="shared" si="0"/>
        <v>2755</v>
      </c>
      <c r="J24" s="2"/>
      <c r="K24" s="2"/>
      <c r="L24" s="4">
        <f t="shared" si="3"/>
        <v>95</v>
      </c>
      <c r="M24" s="4"/>
      <c r="N24" s="4"/>
      <c r="O24" s="36">
        <f t="shared" si="4"/>
        <v>2755</v>
      </c>
      <c r="P24" s="36"/>
      <c r="Q24" s="2"/>
      <c r="R24" s="1">
        <v>5</v>
      </c>
      <c r="S24" s="1"/>
      <c r="T24" s="1"/>
      <c r="U24" s="1"/>
    </row>
    <row r="25" spans="2:21" ht="19.899999999999999" customHeight="1">
      <c r="B25" s="2">
        <v>22</v>
      </c>
      <c r="C25" s="13" t="s">
        <v>88</v>
      </c>
      <c r="D25" s="11">
        <v>3500</v>
      </c>
      <c r="E25" s="4">
        <f t="shared" si="2"/>
        <v>116.66666666666667</v>
      </c>
      <c r="F25" s="2">
        <v>31</v>
      </c>
      <c r="G25" s="34">
        <v>1</v>
      </c>
      <c r="H25" s="2">
        <f t="shared" si="1"/>
        <v>30</v>
      </c>
      <c r="I25" s="4">
        <f t="shared" si="0"/>
        <v>3383.3333333333335</v>
      </c>
      <c r="J25" s="2">
        <v>500</v>
      </c>
      <c r="K25" s="2"/>
      <c r="L25" s="4">
        <f t="shared" si="3"/>
        <v>116.66666666666667</v>
      </c>
      <c r="M25" s="4"/>
      <c r="N25" s="4"/>
      <c r="O25" s="36">
        <f t="shared" si="4"/>
        <v>2883.3333333333335</v>
      </c>
      <c r="P25" s="36"/>
      <c r="Q25" s="2"/>
      <c r="R25" s="1">
        <v>3</v>
      </c>
      <c r="S25" s="1"/>
      <c r="T25" s="1"/>
      <c r="U25" s="1"/>
    </row>
    <row r="26" spans="2:21" ht="19.899999999999999" customHeight="1">
      <c r="B26" s="2">
        <v>23</v>
      </c>
      <c r="C26" s="13" t="s">
        <v>75</v>
      </c>
      <c r="D26" s="11">
        <v>3300</v>
      </c>
      <c r="E26" s="4">
        <f t="shared" si="2"/>
        <v>110</v>
      </c>
      <c r="F26" s="2">
        <v>31</v>
      </c>
      <c r="G26" s="34">
        <v>1</v>
      </c>
      <c r="H26" s="2">
        <f t="shared" si="1"/>
        <v>30</v>
      </c>
      <c r="I26" s="4">
        <f t="shared" si="0"/>
        <v>3190</v>
      </c>
      <c r="J26" s="2">
        <f>1000+500</f>
        <v>1500</v>
      </c>
      <c r="K26" s="2"/>
      <c r="L26" s="4">
        <f t="shared" si="3"/>
        <v>110</v>
      </c>
      <c r="M26" s="4"/>
      <c r="N26" s="4"/>
      <c r="O26" s="36">
        <f t="shared" si="4"/>
        <v>1690</v>
      </c>
      <c r="P26" s="36"/>
      <c r="Q26" s="2"/>
      <c r="R26" s="1"/>
      <c r="S26" s="1"/>
      <c r="T26" s="1"/>
      <c r="U26" s="1"/>
    </row>
    <row r="27" spans="2:21" ht="19.899999999999999" customHeight="1">
      <c r="B27" s="2">
        <v>24</v>
      </c>
      <c r="C27" s="13" t="s">
        <v>124</v>
      </c>
      <c r="D27" s="11">
        <v>3200</v>
      </c>
      <c r="E27" s="4">
        <f t="shared" si="2"/>
        <v>106.66666666666667</v>
      </c>
      <c r="F27" s="2">
        <v>31</v>
      </c>
      <c r="G27" s="34">
        <v>1</v>
      </c>
      <c r="H27" s="2">
        <f t="shared" si="1"/>
        <v>30</v>
      </c>
      <c r="I27" s="4">
        <f t="shared" si="0"/>
        <v>3093.3333333333335</v>
      </c>
      <c r="J27" s="2"/>
      <c r="K27" s="2"/>
      <c r="L27" s="4">
        <f t="shared" si="3"/>
        <v>106.66666666666667</v>
      </c>
      <c r="M27" s="4"/>
      <c r="N27" s="4"/>
      <c r="O27" s="36">
        <f t="shared" si="4"/>
        <v>3093.3333333333335</v>
      </c>
      <c r="P27" s="36"/>
      <c r="Q27" s="2"/>
      <c r="R27" s="1">
        <v>3</v>
      </c>
      <c r="S27" s="1"/>
      <c r="T27" s="1"/>
      <c r="U27" s="1"/>
    </row>
    <row r="28" spans="2:21" ht="19.899999999999999" customHeight="1">
      <c r="B28" s="2">
        <v>9</v>
      </c>
      <c r="C28" s="13" t="s">
        <v>79</v>
      </c>
      <c r="D28" s="11">
        <v>2500</v>
      </c>
      <c r="E28" s="4">
        <f t="shared" si="2"/>
        <v>83.333333333333329</v>
      </c>
      <c r="F28" s="2">
        <v>31</v>
      </c>
      <c r="G28" s="34">
        <v>0</v>
      </c>
      <c r="H28" s="2">
        <f t="shared" si="1"/>
        <v>31</v>
      </c>
      <c r="I28" s="4">
        <f t="shared" si="0"/>
        <v>2500</v>
      </c>
      <c r="J28" s="2"/>
      <c r="K28" s="2"/>
      <c r="L28" s="4">
        <f t="shared" si="3"/>
        <v>0</v>
      </c>
      <c r="M28" s="4"/>
      <c r="N28" s="4"/>
      <c r="O28" s="36">
        <f t="shared" si="4"/>
        <v>2500</v>
      </c>
      <c r="P28" s="78">
        <v>300</v>
      </c>
      <c r="Q28" s="2"/>
      <c r="R28" s="1"/>
      <c r="S28" s="1"/>
      <c r="T28" s="1"/>
      <c r="U28" s="1"/>
    </row>
    <row r="29" spans="2:21" ht="19.899999999999999" customHeight="1">
      <c r="B29" s="2">
        <v>26</v>
      </c>
      <c r="C29" s="13" t="s">
        <v>85</v>
      </c>
      <c r="D29" s="11">
        <v>2500</v>
      </c>
      <c r="E29" s="4">
        <f t="shared" si="2"/>
        <v>83.333333333333329</v>
      </c>
      <c r="F29" s="2">
        <v>31</v>
      </c>
      <c r="G29" s="34">
        <v>7</v>
      </c>
      <c r="H29" s="2">
        <f t="shared" si="1"/>
        <v>24</v>
      </c>
      <c r="I29" s="4">
        <f t="shared" si="0"/>
        <v>1916.6666666666667</v>
      </c>
      <c r="J29" s="2"/>
      <c r="K29" s="2"/>
      <c r="L29" s="4">
        <f t="shared" si="3"/>
        <v>583.33333333333326</v>
      </c>
      <c r="M29" s="4"/>
      <c r="N29" s="4"/>
      <c r="O29" s="36">
        <f t="shared" si="4"/>
        <v>1916.6666666666667</v>
      </c>
      <c r="P29" s="36"/>
      <c r="Q29" s="2"/>
      <c r="R29" s="83"/>
    </row>
    <row r="30" spans="2:21" ht="19.899999999999999" customHeight="1">
      <c r="B30" s="2">
        <v>10</v>
      </c>
      <c r="C30" s="13" t="s">
        <v>78</v>
      </c>
      <c r="D30" s="11">
        <v>3000</v>
      </c>
      <c r="E30" s="4">
        <f t="shared" si="2"/>
        <v>100</v>
      </c>
      <c r="F30" s="2">
        <v>31</v>
      </c>
      <c r="G30" s="34">
        <v>0</v>
      </c>
      <c r="H30" s="2">
        <f t="shared" si="1"/>
        <v>31</v>
      </c>
      <c r="I30" s="4">
        <f t="shared" si="0"/>
        <v>3000</v>
      </c>
      <c r="J30" s="2"/>
      <c r="K30" s="2"/>
      <c r="L30" s="4">
        <f t="shared" si="3"/>
        <v>0</v>
      </c>
      <c r="M30" s="4"/>
      <c r="N30" s="4"/>
      <c r="O30" s="36">
        <f t="shared" si="4"/>
        <v>3000</v>
      </c>
      <c r="P30" s="78">
        <v>300</v>
      </c>
      <c r="Q30" s="2"/>
    </row>
    <row r="31" spans="2:21" ht="19.899999999999999" customHeight="1">
      <c r="B31" s="2">
        <v>28</v>
      </c>
      <c r="C31" s="13" t="s">
        <v>31</v>
      </c>
      <c r="D31" s="11">
        <v>5900</v>
      </c>
      <c r="E31" s="4">
        <f t="shared" si="2"/>
        <v>196.66666666666666</v>
      </c>
      <c r="F31" s="2">
        <v>31</v>
      </c>
      <c r="G31" s="34">
        <v>24</v>
      </c>
      <c r="H31" s="2">
        <f t="shared" si="1"/>
        <v>7</v>
      </c>
      <c r="I31" s="4">
        <f t="shared" si="0"/>
        <v>1180</v>
      </c>
      <c r="J31" s="2"/>
      <c r="K31" s="2"/>
      <c r="L31" s="4">
        <f t="shared" si="3"/>
        <v>4720</v>
      </c>
      <c r="M31" s="4"/>
      <c r="N31" s="4"/>
      <c r="O31" s="36">
        <f t="shared" si="4"/>
        <v>1180</v>
      </c>
      <c r="P31" s="36"/>
      <c r="Q31" s="2"/>
    </row>
    <row r="32" spans="2:21" ht="19.899999999999999" customHeight="1">
      <c r="B32" s="2">
        <v>29</v>
      </c>
      <c r="C32" s="13" t="s">
        <v>89</v>
      </c>
      <c r="D32" s="16">
        <v>2500</v>
      </c>
      <c r="E32" s="17">
        <f t="shared" si="2"/>
        <v>83.333333333333329</v>
      </c>
      <c r="F32" s="2">
        <v>31</v>
      </c>
      <c r="G32" s="35">
        <v>1.5</v>
      </c>
      <c r="H32" s="2">
        <f t="shared" si="1"/>
        <v>29.5</v>
      </c>
      <c r="I32" s="17">
        <f t="shared" si="0"/>
        <v>2375</v>
      </c>
      <c r="J32" s="2"/>
      <c r="K32" s="18"/>
      <c r="L32" s="17">
        <f t="shared" si="3"/>
        <v>125</v>
      </c>
      <c r="M32" s="17"/>
      <c r="N32" s="17"/>
      <c r="O32" s="36">
        <f t="shared" si="4"/>
        <v>2375</v>
      </c>
      <c r="P32" s="36"/>
      <c r="Q32" s="2"/>
      <c r="R32">
        <v>5</v>
      </c>
    </row>
    <row r="33" spans="2:20" ht="19.899999999999999" customHeight="1">
      <c r="B33" s="2">
        <v>11</v>
      </c>
      <c r="C33" s="13" t="s">
        <v>93</v>
      </c>
      <c r="D33" s="16">
        <v>2500</v>
      </c>
      <c r="E33" s="17">
        <f t="shared" si="2"/>
        <v>83.333333333333329</v>
      </c>
      <c r="F33" s="2">
        <v>31</v>
      </c>
      <c r="G33" s="35">
        <v>0.5</v>
      </c>
      <c r="H33" s="2">
        <f t="shared" si="1"/>
        <v>30.5</v>
      </c>
      <c r="I33" s="17">
        <f t="shared" si="0"/>
        <v>2458.3333333333335</v>
      </c>
      <c r="J33" s="2"/>
      <c r="K33" s="18"/>
      <c r="L33" s="17">
        <f t="shared" si="3"/>
        <v>41.666666666666664</v>
      </c>
      <c r="M33" s="17"/>
      <c r="N33" s="17"/>
      <c r="O33" s="36">
        <f t="shared" si="4"/>
        <v>2458.3333333333335</v>
      </c>
      <c r="P33" s="78">
        <v>250</v>
      </c>
      <c r="Q33" s="2"/>
    </row>
    <row r="34" spans="2:20" ht="19.899999999999999" customHeight="1">
      <c r="B34" s="2">
        <v>31</v>
      </c>
      <c r="C34" s="13" t="s">
        <v>101</v>
      </c>
      <c r="D34" s="16">
        <v>2500</v>
      </c>
      <c r="E34" s="17">
        <f t="shared" si="2"/>
        <v>83.333333333333329</v>
      </c>
      <c r="F34" s="2">
        <v>31</v>
      </c>
      <c r="G34" s="35">
        <v>4.5</v>
      </c>
      <c r="H34" s="2">
        <f t="shared" si="1"/>
        <v>26.5</v>
      </c>
      <c r="I34" s="17">
        <f t="shared" si="0"/>
        <v>2125</v>
      </c>
      <c r="J34" s="2"/>
      <c r="K34" s="18"/>
      <c r="L34" s="17">
        <f t="shared" si="3"/>
        <v>375</v>
      </c>
      <c r="M34" s="17"/>
      <c r="N34" s="17"/>
      <c r="O34" s="36">
        <f t="shared" si="4"/>
        <v>2125</v>
      </c>
      <c r="P34" s="36"/>
      <c r="Q34" s="2"/>
    </row>
    <row r="35" spans="2:20" ht="19.899999999999999" customHeight="1">
      <c r="B35" s="2">
        <v>32</v>
      </c>
      <c r="C35" s="13" t="s">
        <v>97</v>
      </c>
      <c r="D35" s="16">
        <v>2500</v>
      </c>
      <c r="E35" s="17">
        <f t="shared" si="2"/>
        <v>83.333333333333329</v>
      </c>
      <c r="F35" s="2">
        <v>31</v>
      </c>
      <c r="G35" s="35">
        <v>2.5</v>
      </c>
      <c r="H35" s="2">
        <f t="shared" si="1"/>
        <v>28.5</v>
      </c>
      <c r="I35" s="17">
        <f t="shared" si="0"/>
        <v>2279.6666666666665</v>
      </c>
      <c r="J35" s="2"/>
      <c r="K35" s="18"/>
      <c r="L35" s="17">
        <f>SUM(G35*E35)+12</f>
        <v>220.33333333333331</v>
      </c>
      <c r="M35" s="17"/>
      <c r="N35" s="17"/>
      <c r="O35" s="36">
        <f t="shared" si="4"/>
        <v>2279.6666666666665</v>
      </c>
      <c r="P35" s="36"/>
      <c r="Q35" s="2"/>
      <c r="S35">
        <v>1.1499999999999999</v>
      </c>
      <c r="T35">
        <f>R35*S35</f>
        <v>0</v>
      </c>
    </row>
    <row r="36" spans="2:20" ht="19.899999999999999" customHeight="1">
      <c r="B36" s="2">
        <v>12</v>
      </c>
      <c r="C36" s="13" t="s">
        <v>104</v>
      </c>
      <c r="D36" s="16">
        <v>3000</v>
      </c>
      <c r="E36" s="17">
        <f t="shared" si="2"/>
        <v>100</v>
      </c>
      <c r="F36" s="2">
        <v>31</v>
      </c>
      <c r="G36" s="35">
        <v>0.5</v>
      </c>
      <c r="H36" s="2">
        <f t="shared" si="1"/>
        <v>30.5</v>
      </c>
      <c r="I36" s="17">
        <f t="shared" si="0"/>
        <v>2950</v>
      </c>
      <c r="J36" s="2"/>
      <c r="K36" s="18"/>
      <c r="L36" s="17">
        <f t="shared" si="3"/>
        <v>50</v>
      </c>
      <c r="M36" s="17"/>
      <c r="N36" s="17"/>
      <c r="O36" s="36">
        <f t="shared" si="4"/>
        <v>2950</v>
      </c>
      <c r="P36" s="78">
        <v>250</v>
      </c>
      <c r="Q36" s="2"/>
    </row>
    <row r="37" spans="2:20" ht="19.899999999999999" customHeight="1">
      <c r="B37" s="2">
        <v>34</v>
      </c>
      <c r="C37" s="13" t="s">
        <v>108</v>
      </c>
      <c r="D37" s="16">
        <v>2500</v>
      </c>
      <c r="E37" s="17">
        <f t="shared" si="2"/>
        <v>83.333333333333329</v>
      </c>
      <c r="F37" s="2">
        <v>31</v>
      </c>
      <c r="G37" s="35">
        <v>1</v>
      </c>
      <c r="H37" s="2">
        <f t="shared" si="1"/>
        <v>30</v>
      </c>
      <c r="I37" s="17">
        <f t="shared" si="0"/>
        <v>2416.6666666666665</v>
      </c>
      <c r="J37" s="2"/>
      <c r="K37" s="18"/>
      <c r="L37" s="17">
        <f t="shared" si="3"/>
        <v>83.333333333333329</v>
      </c>
      <c r="M37" s="17"/>
      <c r="N37" s="17"/>
      <c r="O37" s="36">
        <f t="shared" si="4"/>
        <v>2416.6666666666665</v>
      </c>
      <c r="P37" s="36"/>
      <c r="Q37" s="2"/>
      <c r="R37">
        <v>7</v>
      </c>
    </row>
    <row r="38" spans="2:20" ht="19.899999999999999" customHeight="1">
      <c r="B38" s="2">
        <v>13</v>
      </c>
      <c r="C38" s="13" t="s">
        <v>111</v>
      </c>
      <c r="D38" s="38">
        <v>8500</v>
      </c>
      <c r="E38" s="17">
        <f t="shared" si="2"/>
        <v>283.33333333333331</v>
      </c>
      <c r="F38" s="2">
        <v>31</v>
      </c>
      <c r="G38" s="35">
        <v>0.5</v>
      </c>
      <c r="H38" s="2">
        <f t="shared" si="1"/>
        <v>30.5</v>
      </c>
      <c r="I38" s="17">
        <f t="shared" si="0"/>
        <v>8358.3333333333339</v>
      </c>
      <c r="J38" s="2">
        <f>2000+3000</f>
        <v>5000</v>
      </c>
      <c r="K38" s="18"/>
      <c r="L38" s="17">
        <f t="shared" si="3"/>
        <v>141.66666666666666</v>
      </c>
      <c r="M38" s="17"/>
      <c r="N38" s="17"/>
      <c r="O38" s="36">
        <f t="shared" si="4"/>
        <v>3358.3333333333339</v>
      </c>
      <c r="P38" s="78">
        <v>250</v>
      </c>
      <c r="Q38" s="2"/>
      <c r="R38">
        <v>8</v>
      </c>
    </row>
    <row r="39" spans="2:20" ht="19.899999999999999" customHeight="1">
      <c r="B39" s="2">
        <v>36</v>
      </c>
      <c r="C39" s="13" t="s">
        <v>112</v>
      </c>
      <c r="D39" s="38">
        <v>3500</v>
      </c>
      <c r="E39" s="17">
        <f t="shared" si="2"/>
        <v>116.66666666666667</v>
      </c>
      <c r="F39" s="2">
        <v>31</v>
      </c>
      <c r="G39" s="35">
        <v>1</v>
      </c>
      <c r="H39" s="2">
        <f t="shared" si="1"/>
        <v>30</v>
      </c>
      <c r="I39" s="17">
        <f t="shared" si="0"/>
        <v>3383.3333333333335</v>
      </c>
      <c r="J39" s="2">
        <v>1000</v>
      </c>
      <c r="K39" s="18"/>
      <c r="L39" s="17">
        <f t="shared" si="3"/>
        <v>116.66666666666667</v>
      </c>
      <c r="M39" s="17"/>
      <c r="N39" s="17"/>
      <c r="O39" s="36">
        <f t="shared" si="4"/>
        <v>2383.3333333333335</v>
      </c>
      <c r="P39" s="36"/>
      <c r="Q39" s="2"/>
    </row>
    <row r="40" spans="2:20" ht="19.899999999999999" customHeight="1">
      <c r="B40" s="2">
        <v>37</v>
      </c>
      <c r="C40" s="13" t="s">
        <v>114</v>
      </c>
      <c r="D40" s="38">
        <v>12500</v>
      </c>
      <c r="E40" s="17">
        <f t="shared" si="2"/>
        <v>416.66666666666669</v>
      </c>
      <c r="F40" s="2">
        <v>31</v>
      </c>
      <c r="G40" s="35">
        <v>1</v>
      </c>
      <c r="H40" s="2">
        <f t="shared" si="1"/>
        <v>30</v>
      </c>
      <c r="I40" s="17">
        <f t="shared" si="0"/>
        <v>12083.333333333334</v>
      </c>
      <c r="J40" s="2"/>
      <c r="K40" s="18"/>
      <c r="L40" s="17">
        <f t="shared" si="3"/>
        <v>416.66666666666669</v>
      </c>
      <c r="M40" s="17"/>
      <c r="N40" s="17"/>
      <c r="O40" s="36">
        <f t="shared" si="4"/>
        <v>12083.333333333334</v>
      </c>
      <c r="P40" s="36"/>
      <c r="Q40" s="2"/>
    </row>
    <row r="41" spans="2:20" ht="19.899999999999999" customHeight="1">
      <c r="B41" s="2">
        <v>38</v>
      </c>
      <c r="C41" s="13" t="s">
        <v>117</v>
      </c>
      <c r="D41" s="38">
        <v>2500</v>
      </c>
      <c r="E41" s="17">
        <f t="shared" si="2"/>
        <v>83.333333333333329</v>
      </c>
      <c r="F41" s="2">
        <v>31</v>
      </c>
      <c r="G41" s="35">
        <v>2</v>
      </c>
      <c r="H41" s="2">
        <f t="shared" si="1"/>
        <v>29</v>
      </c>
      <c r="I41" s="17">
        <f t="shared" si="0"/>
        <v>2333.3333333333335</v>
      </c>
      <c r="J41" s="2"/>
      <c r="K41" s="18"/>
      <c r="L41" s="17">
        <f t="shared" si="3"/>
        <v>166.66666666666666</v>
      </c>
      <c r="M41" s="17"/>
      <c r="N41" s="17"/>
      <c r="O41" s="36">
        <f t="shared" si="4"/>
        <v>2333.3333333333335</v>
      </c>
      <c r="P41" s="36"/>
      <c r="Q41" s="2"/>
      <c r="R41">
        <v>3</v>
      </c>
    </row>
    <row r="42" spans="2:20" ht="19.899999999999999" customHeight="1">
      <c r="B42" s="2">
        <v>39</v>
      </c>
      <c r="C42" s="13" t="s">
        <v>120</v>
      </c>
      <c r="D42" s="38">
        <v>2500</v>
      </c>
      <c r="E42" s="17">
        <f t="shared" si="2"/>
        <v>83.333333333333329</v>
      </c>
      <c r="F42" s="2">
        <v>31</v>
      </c>
      <c r="G42" s="35">
        <v>3</v>
      </c>
      <c r="H42" s="2">
        <f t="shared" si="1"/>
        <v>28</v>
      </c>
      <c r="I42" s="17">
        <f t="shared" si="0"/>
        <v>2250</v>
      </c>
      <c r="J42" s="2"/>
      <c r="K42" s="18"/>
      <c r="L42" s="17">
        <f t="shared" si="3"/>
        <v>250</v>
      </c>
      <c r="M42" s="17"/>
      <c r="N42" s="17"/>
      <c r="O42" s="36">
        <f t="shared" si="4"/>
        <v>2250</v>
      </c>
      <c r="P42" s="36"/>
      <c r="Q42" s="2"/>
    </row>
    <row r="43" spans="2:20" ht="19.899999999999999" customHeight="1">
      <c r="B43" s="2">
        <v>14</v>
      </c>
      <c r="C43" s="13" t="s">
        <v>126</v>
      </c>
      <c r="D43" s="38">
        <v>10000</v>
      </c>
      <c r="E43" s="17">
        <f t="shared" si="2"/>
        <v>333.33333333333331</v>
      </c>
      <c r="F43" s="2">
        <v>31</v>
      </c>
      <c r="G43" s="35">
        <v>0</v>
      </c>
      <c r="H43" s="2">
        <f t="shared" si="1"/>
        <v>31</v>
      </c>
      <c r="I43" s="17">
        <f>SUM(D43-L43)-810</f>
        <v>9190</v>
      </c>
      <c r="J43" s="2"/>
      <c r="K43" s="18"/>
      <c r="L43" s="17">
        <f t="shared" si="3"/>
        <v>0</v>
      </c>
      <c r="M43" s="17"/>
      <c r="N43" s="17"/>
      <c r="O43" s="36">
        <f t="shared" si="4"/>
        <v>9190</v>
      </c>
      <c r="P43" s="78">
        <v>300</v>
      </c>
      <c r="Q43" s="2"/>
    </row>
    <row r="44" spans="2:20" ht="19.899999999999999" customHeight="1">
      <c r="B44" s="2">
        <v>41</v>
      </c>
      <c r="C44" s="13" t="s">
        <v>145</v>
      </c>
      <c r="D44" s="38">
        <v>2500</v>
      </c>
      <c r="E44" s="17">
        <f t="shared" si="2"/>
        <v>83.333333333333329</v>
      </c>
      <c r="F44" s="2">
        <v>31</v>
      </c>
      <c r="G44" s="35">
        <v>15</v>
      </c>
      <c r="H44" s="2">
        <f t="shared" si="1"/>
        <v>16</v>
      </c>
      <c r="I44" s="17">
        <f t="shared" si="0"/>
        <v>1250</v>
      </c>
      <c r="J44" s="2"/>
      <c r="K44" s="18"/>
      <c r="L44" s="17">
        <f t="shared" si="3"/>
        <v>1250</v>
      </c>
      <c r="M44" s="17"/>
      <c r="N44" s="17"/>
      <c r="O44" s="36">
        <f t="shared" si="4"/>
        <v>1250</v>
      </c>
      <c r="P44" s="36"/>
      <c r="Q44" s="2"/>
    </row>
    <row r="45" spans="2:20" ht="19.899999999999999" customHeight="1">
      <c r="B45" s="2">
        <v>42</v>
      </c>
      <c r="C45" s="13" t="s">
        <v>129</v>
      </c>
      <c r="D45" s="38">
        <v>2500</v>
      </c>
      <c r="E45" s="17">
        <f t="shared" si="2"/>
        <v>83.333333333333329</v>
      </c>
      <c r="F45" s="2">
        <v>31</v>
      </c>
      <c r="G45" s="35">
        <v>6</v>
      </c>
      <c r="H45" s="2">
        <f t="shared" si="1"/>
        <v>25</v>
      </c>
      <c r="I45" s="17">
        <f t="shared" si="0"/>
        <v>2000</v>
      </c>
      <c r="J45" s="2"/>
      <c r="K45" s="18"/>
      <c r="L45" s="17">
        <f t="shared" si="3"/>
        <v>500</v>
      </c>
      <c r="M45" s="17"/>
      <c r="N45" s="17"/>
      <c r="O45" s="36">
        <f t="shared" si="4"/>
        <v>2000</v>
      </c>
      <c r="P45" s="36"/>
      <c r="Q45" s="2"/>
    </row>
    <row r="46" spans="2:20" ht="19.899999999999999" customHeight="1">
      <c r="B46" s="2">
        <v>43</v>
      </c>
      <c r="C46" s="13" t="s">
        <v>130</v>
      </c>
      <c r="D46" s="38">
        <v>12000</v>
      </c>
      <c r="E46" s="17">
        <f t="shared" si="2"/>
        <v>400</v>
      </c>
      <c r="F46" s="2">
        <v>31</v>
      </c>
      <c r="G46" s="35">
        <v>2</v>
      </c>
      <c r="H46" s="2">
        <f t="shared" si="1"/>
        <v>29</v>
      </c>
      <c r="I46" s="17">
        <f t="shared" si="0"/>
        <v>11200</v>
      </c>
      <c r="J46" s="2"/>
      <c r="K46" s="18"/>
      <c r="L46" s="17">
        <f t="shared" si="3"/>
        <v>800</v>
      </c>
      <c r="M46" s="17"/>
      <c r="N46" s="17"/>
      <c r="O46" s="36">
        <f t="shared" si="4"/>
        <v>11200</v>
      </c>
      <c r="P46" s="36"/>
      <c r="Q46" s="2"/>
    </row>
    <row r="47" spans="2:20" ht="19.899999999999999" customHeight="1">
      <c r="B47" s="2">
        <v>44</v>
      </c>
      <c r="C47" s="66" t="s">
        <v>131</v>
      </c>
      <c r="D47" s="38">
        <v>2500</v>
      </c>
      <c r="E47" s="17">
        <f t="shared" si="2"/>
        <v>83.333333333333329</v>
      </c>
      <c r="F47" s="2">
        <v>31</v>
      </c>
      <c r="G47" s="35">
        <v>4</v>
      </c>
      <c r="H47" s="18">
        <f t="shared" si="1"/>
        <v>27</v>
      </c>
      <c r="I47" s="17">
        <f t="shared" si="0"/>
        <v>2166.6666666666665</v>
      </c>
      <c r="J47" s="18"/>
      <c r="K47" s="18"/>
      <c r="L47" s="17">
        <f t="shared" si="3"/>
        <v>333.33333333333331</v>
      </c>
      <c r="M47" s="17"/>
      <c r="N47" s="17"/>
      <c r="O47" s="36">
        <f t="shared" si="4"/>
        <v>2166.6666666666665</v>
      </c>
      <c r="P47" s="36"/>
      <c r="Q47" s="2"/>
      <c r="R47">
        <v>7</v>
      </c>
    </row>
    <row r="48" spans="2:20" ht="19.899999999999999" customHeight="1">
      <c r="B48" s="2">
        <v>45</v>
      </c>
      <c r="C48" s="66" t="s">
        <v>132</v>
      </c>
      <c r="D48" s="38">
        <v>2500</v>
      </c>
      <c r="E48" s="17">
        <f t="shared" si="2"/>
        <v>83.333333333333329</v>
      </c>
      <c r="F48" s="2">
        <v>31</v>
      </c>
      <c r="G48" s="35">
        <v>2</v>
      </c>
      <c r="H48" s="18">
        <f t="shared" si="1"/>
        <v>29</v>
      </c>
      <c r="I48" s="17">
        <f>SUM(D48-L48)</f>
        <v>2308.3333333333335</v>
      </c>
      <c r="J48" s="18">
        <v>1000</v>
      </c>
      <c r="K48" s="18"/>
      <c r="L48" s="17">
        <f>SUM(G48*E48)+25</f>
        <v>191.66666666666666</v>
      </c>
      <c r="M48" s="17"/>
      <c r="N48" s="17"/>
      <c r="O48" s="36">
        <f t="shared" si="4"/>
        <v>1308.3333333333335</v>
      </c>
      <c r="P48" s="36"/>
      <c r="Q48" s="2"/>
      <c r="R48">
        <v>8</v>
      </c>
      <c r="S48">
        <v>2.4500000000000002</v>
      </c>
      <c r="T48">
        <f>+R48*S48</f>
        <v>19.600000000000001</v>
      </c>
    </row>
    <row r="49" spans="2:18" ht="19.899999999999999" customHeight="1">
      <c r="B49" s="2">
        <v>46</v>
      </c>
      <c r="C49" s="66" t="s">
        <v>137</v>
      </c>
      <c r="D49" s="38">
        <v>2500</v>
      </c>
      <c r="E49" s="17">
        <f t="shared" si="2"/>
        <v>83.333333333333329</v>
      </c>
      <c r="F49" s="2">
        <v>31</v>
      </c>
      <c r="G49" s="35">
        <v>1.5</v>
      </c>
      <c r="H49" s="18">
        <f t="shared" si="1"/>
        <v>29.5</v>
      </c>
      <c r="I49" s="17">
        <f>SUM(D49-L49)</f>
        <v>2375</v>
      </c>
      <c r="J49" s="18"/>
      <c r="K49" s="18"/>
      <c r="L49" s="17">
        <f t="shared" si="3"/>
        <v>125</v>
      </c>
      <c r="M49" s="17"/>
      <c r="N49" s="17"/>
      <c r="O49" s="36">
        <f t="shared" si="4"/>
        <v>2375</v>
      </c>
      <c r="P49" s="36"/>
      <c r="Q49" s="2"/>
      <c r="R49">
        <v>5</v>
      </c>
    </row>
    <row r="50" spans="2:18" ht="19.899999999999999" customHeight="1">
      <c r="B50" s="2">
        <v>47</v>
      </c>
      <c r="C50" s="66" t="s">
        <v>147</v>
      </c>
      <c r="D50" s="38">
        <v>3500</v>
      </c>
      <c r="E50" s="17">
        <f t="shared" si="2"/>
        <v>116.66666666666667</v>
      </c>
      <c r="F50" s="2">
        <v>31</v>
      </c>
      <c r="G50" s="35">
        <v>2</v>
      </c>
      <c r="H50" s="18">
        <f t="shared" si="1"/>
        <v>29</v>
      </c>
      <c r="I50" s="17">
        <f t="shared" ref="I50:I54" si="5">SUM(D50-L50)</f>
        <v>3266.6666666666665</v>
      </c>
      <c r="J50" s="18"/>
      <c r="K50" s="18"/>
      <c r="L50" s="17">
        <f t="shared" si="3"/>
        <v>233.33333333333334</v>
      </c>
      <c r="M50" s="17"/>
      <c r="N50" s="17"/>
      <c r="O50" s="36">
        <f t="shared" si="4"/>
        <v>3266.6666666666665</v>
      </c>
      <c r="P50" s="36"/>
      <c r="Q50" s="2"/>
    </row>
    <row r="51" spans="2:18" ht="19.899999999999999" customHeight="1">
      <c r="B51" s="2">
        <v>48</v>
      </c>
      <c r="C51" s="66" t="s">
        <v>148</v>
      </c>
      <c r="D51" s="38">
        <v>8000</v>
      </c>
      <c r="E51" s="17">
        <f t="shared" si="2"/>
        <v>266.66666666666669</v>
      </c>
      <c r="F51" s="2">
        <v>31</v>
      </c>
      <c r="G51" s="35">
        <v>12</v>
      </c>
      <c r="H51" s="18">
        <f t="shared" si="1"/>
        <v>19</v>
      </c>
      <c r="I51" s="17">
        <f t="shared" si="5"/>
        <v>4800</v>
      </c>
      <c r="J51" s="18"/>
      <c r="K51" s="18"/>
      <c r="L51" s="17">
        <f t="shared" si="3"/>
        <v>3200</v>
      </c>
      <c r="M51" s="17"/>
      <c r="N51" s="17"/>
      <c r="O51" s="36">
        <f t="shared" si="4"/>
        <v>4800</v>
      </c>
      <c r="P51" s="36"/>
      <c r="Q51" s="2"/>
    </row>
    <row r="52" spans="2:18" ht="19.899999999999999" customHeight="1">
      <c r="B52" s="2">
        <v>49</v>
      </c>
      <c r="C52" s="66" t="s">
        <v>149</v>
      </c>
      <c r="D52" s="38">
        <v>2500</v>
      </c>
      <c r="E52" s="17">
        <f t="shared" si="2"/>
        <v>83.333333333333329</v>
      </c>
      <c r="F52" s="2">
        <v>31</v>
      </c>
      <c r="G52" s="35">
        <v>9</v>
      </c>
      <c r="H52" s="18">
        <f t="shared" si="1"/>
        <v>22</v>
      </c>
      <c r="I52" s="17">
        <f t="shared" si="5"/>
        <v>1750</v>
      </c>
      <c r="J52" s="18"/>
      <c r="K52" s="18"/>
      <c r="L52" s="17">
        <f t="shared" si="3"/>
        <v>750</v>
      </c>
      <c r="M52" s="17"/>
      <c r="N52" s="17"/>
      <c r="O52" s="36">
        <f t="shared" si="4"/>
        <v>1750</v>
      </c>
      <c r="P52" s="36"/>
      <c r="Q52" s="2"/>
    </row>
    <row r="53" spans="2:18" ht="19.899999999999999" customHeight="1">
      <c r="B53" s="2">
        <v>50</v>
      </c>
      <c r="C53" s="66" t="s">
        <v>150</v>
      </c>
      <c r="D53" s="38">
        <v>2500</v>
      </c>
      <c r="E53" s="17">
        <f t="shared" si="2"/>
        <v>83.333333333333329</v>
      </c>
      <c r="F53" s="2">
        <v>31</v>
      </c>
      <c r="G53" s="35">
        <v>8</v>
      </c>
      <c r="H53" s="18">
        <f t="shared" si="1"/>
        <v>23</v>
      </c>
      <c r="I53" s="17">
        <f t="shared" si="5"/>
        <v>1833.3333333333335</v>
      </c>
      <c r="J53" s="18"/>
      <c r="K53" s="18"/>
      <c r="L53" s="17">
        <f t="shared" si="3"/>
        <v>666.66666666666663</v>
      </c>
      <c r="M53" s="17"/>
      <c r="N53" s="17"/>
      <c r="O53" s="36">
        <f t="shared" si="4"/>
        <v>1833.3333333333335</v>
      </c>
      <c r="P53" s="36"/>
      <c r="Q53" s="2"/>
      <c r="R53">
        <v>3</v>
      </c>
    </row>
    <row r="54" spans="2:18" ht="19.899999999999999" customHeight="1">
      <c r="B54" s="2">
        <v>51</v>
      </c>
      <c r="C54" s="66" t="s">
        <v>151</v>
      </c>
      <c r="D54" s="38">
        <v>5000</v>
      </c>
      <c r="E54" s="17">
        <f t="shared" si="2"/>
        <v>166.66666666666666</v>
      </c>
      <c r="F54" s="2">
        <v>31</v>
      </c>
      <c r="G54" s="35">
        <v>17</v>
      </c>
      <c r="H54" s="18">
        <f t="shared" si="1"/>
        <v>14</v>
      </c>
      <c r="I54" s="17">
        <f t="shared" si="5"/>
        <v>2166.666666666667</v>
      </c>
      <c r="J54" s="18"/>
      <c r="K54" s="18"/>
      <c r="L54" s="17">
        <f t="shared" si="3"/>
        <v>2833.333333333333</v>
      </c>
      <c r="M54" s="17"/>
      <c r="N54" s="17"/>
      <c r="O54" s="36">
        <f t="shared" si="4"/>
        <v>2166.666666666667</v>
      </c>
      <c r="P54" s="36"/>
      <c r="Q54" s="2"/>
      <c r="R54">
        <v>7</v>
      </c>
    </row>
    <row r="55" spans="2:18" ht="19.899999999999999" customHeight="1" thickBot="1">
      <c r="B55" s="2">
        <v>52</v>
      </c>
      <c r="C55" s="60" t="s">
        <v>50</v>
      </c>
      <c r="D55" s="61">
        <v>6700</v>
      </c>
      <c r="E55" s="62">
        <f t="shared" si="2"/>
        <v>223.33333333333334</v>
      </c>
      <c r="F55" s="2">
        <v>31</v>
      </c>
      <c r="G55" s="63">
        <v>8</v>
      </c>
      <c r="H55" s="63">
        <f t="shared" si="1"/>
        <v>23</v>
      </c>
      <c r="I55" s="62">
        <f t="shared" si="0"/>
        <v>4913.333333333333</v>
      </c>
      <c r="J55" s="63">
        <v>500</v>
      </c>
      <c r="K55" s="63"/>
      <c r="L55" s="62">
        <f t="shared" si="3"/>
        <v>1786.6666666666667</v>
      </c>
      <c r="M55" s="62"/>
      <c r="N55" s="62"/>
      <c r="O55" s="64">
        <f t="shared" si="4"/>
        <v>4413.333333333333</v>
      </c>
      <c r="P55" s="77"/>
      <c r="Q55" s="2"/>
      <c r="R55">
        <v>3</v>
      </c>
    </row>
    <row r="56" spans="2:18" ht="19.899999999999999" customHeight="1">
      <c r="B56" s="2"/>
      <c r="C56" s="48" t="s">
        <v>40</v>
      </c>
      <c r="D56" s="53">
        <f>SUM(D4:D55)</f>
        <v>265400</v>
      </c>
      <c r="E56" s="54"/>
      <c r="F56" s="55"/>
      <c r="G56" s="54"/>
      <c r="H56" s="55"/>
      <c r="I56" s="56">
        <f>SUM(I4:I55)</f>
        <v>232163.83333333334</v>
      </c>
      <c r="J56" s="57">
        <f>SUM(J4:J55)</f>
        <v>26936</v>
      </c>
      <c r="K56" s="58">
        <f t="shared" ref="K56:N56" si="6">SUM(K4:K55)</f>
        <v>0</v>
      </c>
      <c r="L56" s="57">
        <f t="shared" si="6"/>
        <v>32426.166666666668</v>
      </c>
      <c r="M56" s="57">
        <f t="shared" si="6"/>
        <v>1344</v>
      </c>
      <c r="N56" s="58">
        <f t="shared" si="6"/>
        <v>282</v>
      </c>
      <c r="O56" s="59">
        <f>SUM(O4:O55)</f>
        <v>203601.83333333337</v>
      </c>
      <c r="P56" s="59"/>
      <c r="Q56" s="2"/>
      <c r="R56">
        <f>SUM(R4:R55)</f>
        <v>132</v>
      </c>
    </row>
    <row r="57" spans="2:18" ht="19.899999999999999" customHeight="1" thickBot="1">
      <c r="B57" s="10"/>
      <c r="C57" s="49"/>
      <c r="D57" s="21"/>
      <c r="E57" s="23"/>
      <c r="F57" s="12"/>
      <c r="G57" s="23"/>
      <c r="H57" s="12"/>
      <c r="I57" s="21"/>
      <c r="J57" s="50"/>
      <c r="K57" s="50"/>
      <c r="L57" s="50"/>
      <c r="M57" s="51"/>
      <c r="N57" s="51"/>
      <c r="O57" s="52"/>
      <c r="P57" s="80"/>
      <c r="Q57" s="2"/>
    </row>
    <row r="58" spans="2:18">
      <c r="B58" s="10"/>
      <c r="I58" s="43"/>
      <c r="L58" s="47"/>
    </row>
    <row r="59" spans="2:18" ht="26.25">
      <c r="C59" s="26"/>
      <c r="D59" s="26"/>
      <c r="E59" s="26"/>
      <c r="F59" s="26"/>
      <c r="G59" s="26" t="s">
        <v>122</v>
      </c>
      <c r="H59" s="26"/>
      <c r="I59" s="26"/>
      <c r="J59" s="26"/>
      <c r="K59" s="76"/>
      <c r="L59" s="65"/>
      <c r="M59" s="26" t="s">
        <v>92</v>
      </c>
      <c r="N59" s="26"/>
    </row>
    <row r="60" spans="2:18" ht="26.2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</row>
    <row r="61" spans="2:18">
      <c r="B61" s="1"/>
      <c r="J61" s="43"/>
    </row>
    <row r="62" spans="2:18">
      <c r="B62" s="27"/>
      <c r="K62" s="43"/>
    </row>
  </sheetData>
  <autoFilter ref="B2:T56">
    <filterColumn colId="5"/>
    <filterColumn colId="14"/>
  </autoFilter>
  <pageMargins left="0.12" right="0.21" top="0.32" bottom="0.32" header="0.3" footer="0.3"/>
  <pageSetup scale="9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May</vt:lpstr>
      <vt:lpstr>May unit</vt:lpstr>
      <vt:lpstr>April unit</vt:lpstr>
      <vt:lpstr>Mar unit</vt:lpstr>
      <vt:lpstr>april</vt:lpstr>
      <vt:lpstr>Mar</vt:lpstr>
      <vt:lpstr>feb</vt:lpstr>
      <vt:lpstr>JAN</vt:lpstr>
      <vt:lpstr>DEC</vt:lpstr>
      <vt:lpstr>nov</vt:lpstr>
      <vt:lpstr>oct</vt:lpstr>
      <vt:lpstr>sep</vt:lpstr>
      <vt:lpstr>aug</vt:lpstr>
      <vt:lpstr>july</vt:lpstr>
      <vt:lpstr>june</vt:lpstr>
      <vt:lpstr>june atten</vt:lpstr>
      <vt:lpstr>Sheet1</vt:lpstr>
      <vt:lpstr>april!Print_Area</vt:lpstr>
      <vt:lpstr>'April unit'!Print_Area</vt:lpstr>
      <vt:lpstr>aug!Print_Area</vt:lpstr>
      <vt:lpstr>DEC!Print_Area</vt:lpstr>
      <vt:lpstr>feb!Print_Area</vt:lpstr>
      <vt:lpstr>JAN!Print_Area</vt:lpstr>
      <vt:lpstr>july!Print_Area</vt:lpstr>
      <vt:lpstr>june!Print_Area</vt:lpstr>
      <vt:lpstr>Mar!Print_Area</vt:lpstr>
      <vt:lpstr>'Mar unit'!Print_Area</vt:lpstr>
      <vt:lpstr>May!Print_Area</vt:lpstr>
      <vt:lpstr>'May unit'!Print_Area</vt:lpstr>
      <vt:lpstr>nov!Print_Area</vt:lpstr>
      <vt:lpstr>oct!Print_Area</vt:lpstr>
      <vt:lpstr>sep!Print_Area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AJITESH</cp:lastModifiedBy>
  <cp:lastPrinted>2016-06-03T09:21:21Z</cp:lastPrinted>
  <dcterms:created xsi:type="dcterms:W3CDTF">2014-07-01T09:38:36Z</dcterms:created>
  <dcterms:modified xsi:type="dcterms:W3CDTF">2016-06-03T09:45:04Z</dcterms:modified>
</cp:coreProperties>
</file>