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omments4.xml" ContentType="application/vnd.openxmlformats-officedocument.spreadsheetml.comments+xml"/>
  <Override PartName="/xl/drawings/drawing2.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3.xml" ContentType="application/vnd.openxmlformats-officedocument.drawing+xml"/>
  <Override PartName="/xl/comments5.xml" ContentType="application/vnd.openxmlformats-officedocument.spreadsheetml.comment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drawings/drawing4.xml" ContentType="application/vnd.openxmlformats-officedocument.drawing+xml"/>
  <Override PartName="/xl/comments6.xml" ContentType="application/vnd.openxmlformats-officedocument.spreadsheetml.comments+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15" windowWidth="1980" windowHeight="13200" tabRatio="471" firstSheet="4" activeTab="4"/>
  </bookViews>
  <sheets>
    <sheet name="check" sheetId="12" state="hidden" r:id="rId1"/>
    <sheet name="M" sheetId="2" state="hidden" r:id="rId2"/>
    <sheet name="D.EM" sheetId="10" state="hidden" r:id="rId3"/>
    <sheet name="D.US" sheetId="4" state="hidden" r:id="rId4"/>
    <sheet name="Leverage &amp; Liquidity" sheetId="13" r:id="rId5"/>
    <sheet name="Year over Year" sheetId="5" r:id="rId6"/>
    <sheet name="rtg breakdown" sheetId="7" r:id="rId7"/>
  </sheets>
  <definedNames>
    <definedName name="_xlnm._FilterDatabase" localSheetId="0" hidden="1">check!$A$5:$T$107</definedName>
    <definedName name="_xlnm._FilterDatabase" localSheetId="6" hidden="1">#REF!</definedName>
    <definedName name="DropdownEM">M!$A$4:$A$9</definedName>
    <definedName name="EMdata">D.EM!$A:$R</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41177.6188888889</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LeverageStatsDataUS">D.US!$A$3:$I$65536</definedName>
    <definedName name="lookup">M!$C$2</definedName>
    <definedName name="ML_7n6h3t1t">'rtg breakdown'!$Z$10:$Z$14</definedName>
    <definedName name="SelectEM">'Leverage &amp; Liquidity'!$D$4</definedName>
    <definedName name="SelectUS">M!$B$2</definedName>
    <definedName name="TopRow">D.EM!$A$1:$R$1</definedName>
    <definedName name="USdata">D.US!$B$3:$I$27</definedName>
    <definedName name="USIGdata">D.US!$B$32:$I$56</definedName>
  </definedNames>
  <calcPr calcId="145621" fullCalcOnLoad="1"/>
</workbook>
</file>

<file path=xl/calcChain.xml><?xml version="1.0" encoding="utf-8"?>
<calcChain xmlns="http://schemas.openxmlformats.org/spreadsheetml/2006/main">
  <c r="Y335" i="10" l="1"/>
  <c r="Y333" i="10"/>
  <c r="Y332" i="10"/>
  <c r="Y327" i="10"/>
  <c r="Y325" i="10"/>
  <c r="Y324" i="10"/>
  <c r="Y319" i="10"/>
  <c r="Y318" i="10"/>
  <c r="Y317" i="10"/>
  <c r="Y316" i="10"/>
  <c r="Y311" i="10"/>
  <c r="Y308" i="10"/>
  <c r="Y307" i="10"/>
  <c r="Y305" i="10"/>
  <c r="Y302" i="10"/>
  <c r="Y301" i="10"/>
  <c r="Y300" i="10"/>
  <c r="Y299" i="10"/>
  <c r="Y294" i="10"/>
  <c r="Y292" i="10"/>
  <c r="Y291" i="10"/>
  <c r="Y289" i="10"/>
  <c r="Y286" i="10"/>
  <c r="Y285" i="10"/>
  <c r="Y284" i="10"/>
  <c r="Y283" i="10"/>
  <c r="Y277" i="10"/>
  <c r="Y276" i="10"/>
  <c r="Y275" i="10"/>
  <c r="Y274" i="10"/>
  <c r="Y269" i="10"/>
  <c r="Y267" i="10"/>
  <c r="Y266" i="10"/>
  <c r="Y261" i="10"/>
  <c r="Y259" i="10"/>
  <c r="Y258" i="10"/>
  <c r="Y255" i="10"/>
  <c r="Y252" i="10"/>
  <c r="Y251" i="10"/>
  <c r="Y250" i="10"/>
  <c r="Y249" i="10"/>
  <c r="Y247" i="10"/>
  <c r="Y244" i="10"/>
  <c r="Y242" i="10"/>
  <c r="Y241" i="10"/>
  <c r="Y236" i="10"/>
  <c r="Y234" i="10"/>
  <c r="Y233" i="10"/>
  <c r="Y228" i="10"/>
  <c r="Y227" i="10"/>
  <c r="Y225" i="10"/>
  <c r="Y224" i="10"/>
  <c r="Y219" i="10"/>
  <c r="Y217" i="10"/>
  <c r="Y216" i="10"/>
  <c r="Y211" i="10"/>
  <c r="Y210" i="10"/>
  <c r="Y209" i="10"/>
  <c r="Y208" i="10"/>
  <c r="Y203" i="10"/>
  <c r="Y201" i="10"/>
  <c r="Y200" i="10"/>
  <c r="Y199" i="10"/>
  <c r="Y194" i="10"/>
  <c r="Y192" i="10"/>
  <c r="Y191" i="10"/>
  <c r="Y186" i="10"/>
  <c r="Y185" i="10"/>
  <c r="Y184" i="10"/>
  <c r="Y183" i="10"/>
  <c r="Y178" i="10"/>
  <c r="Y176" i="10"/>
  <c r="Y175" i="10"/>
  <c r="Y171" i="10"/>
  <c r="Y169" i="10"/>
  <c r="Y167" i="10"/>
  <c r="Y166" i="10"/>
  <c r="Y164" i="10"/>
  <c r="Y161" i="10"/>
  <c r="Y160" i="10"/>
  <c r="Y159" i="10"/>
  <c r="Y158" i="10"/>
  <c r="Y153" i="10"/>
  <c r="Y151" i="10"/>
  <c r="Y150" i="10"/>
  <c r="Y148" i="10"/>
  <c r="Y145" i="10"/>
  <c r="Y144" i="10"/>
  <c r="Y143" i="10"/>
  <c r="Y141" i="10"/>
  <c r="Y136" i="10"/>
  <c r="Y135" i="10"/>
  <c r="Y134" i="10"/>
  <c r="Y133" i="10"/>
  <c r="Y131" i="10"/>
  <c r="Y128" i="10"/>
  <c r="Y126" i="10"/>
  <c r="Y125" i="10"/>
  <c r="Y120" i="10"/>
  <c r="Y118" i="10"/>
  <c r="Y117" i="10"/>
  <c r="Y115" i="10"/>
  <c r="Y111" i="10"/>
  <c r="Y110" i="10"/>
  <c r="Y109" i="10"/>
  <c r="Y108" i="10"/>
  <c r="Y103" i="10"/>
  <c r="Y101" i="10"/>
  <c r="Y100" i="10"/>
  <c r="Y98" i="10"/>
  <c r="Y95" i="10"/>
  <c r="Y94" i="10"/>
  <c r="Y93" i="10"/>
  <c r="Y92" i="10"/>
  <c r="Y87" i="10"/>
  <c r="Y84" i="10"/>
  <c r="Y83" i="10"/>
  <c r="Y81" i="10"/>
  <c r="Y78" i="10"/>
  <c r="Y77" i="10"/>
  <c r="Y76" i="10"/>
  <c r="Y75" i="10"/>
  <c r="Y70" i="10"/>
  <c r="Y69" i="10"/>
  <c r="Y68" i="10"/>
  <c r="Y67" i="10"/>
  <c r="Y65" i="10"/>
  <c r="Y62" i="10"/>
  <c r="Y60" i="10"/>
  <c r="Y59" i="10"/>
  <c r="Y53" i="10"/>
  <c r="Y51" i="10"/>
  <c r="Y50" i="10"/>
  <c r="Y45" i="10"/>
  <c r="Y44" i="10"/>
  <c r="Y43" i="10"/>
  <c r="Y42" i="10"/>
  <c r="Y37" i="10"/>
  <c r="Y35" i="10"/>
  <c r="Y34" i="10"/>
  <c r="Y32" i="10"/>
  <c r="Y31" i="10"/>
  <c r="Y6" i="10"/>
  <c r="Y8" i="10"/>
  <c r="Y9" i="10"/>
  <c r="Y14" i="10"/>
  <c r="Y15" i="10"/>
  <c r="Y16" i="10"/>
  <c r="Y17" i="10"/>
  <c r="Y22" i="10"/>
  <c r="Y24" i="10"/>
  <c r="Y25" i="10"/>
  <c r="Y4" i="10"/>
  <c r="Y3" i="10"/>
  <c r="W337" i="10"/>
  <c r="Y337" i="10" s="1"/>
  <c r="W336" i="10"/>
  <c r="Y336" i="10" s="1"/>
  <c r="W335" i="10"/>
  <c r="W334" i="10"/>
  <c r="Y334" i="10" s="1"/>
  <c r="W333" i="10"/>
  <c r="W332" i="10"/>
  <c r="W331" i="10"/>
  <c r="Y331" i="10" s="1"/>
  <c r="W330" i="10"/>
  <c r="Y330" i="10" s="1"/>
  <c r="W329" i="10"/>
  <c r="Y329" i="10" s="1"/>
  <c r="W328" i="10"/>
  <c r="Y328" i="10" s="1"/>
  <c r="W327" i="10"/>
  <c r="W326" i="10"/>
  <c r="Y326" i="10" s="1"/>
  <c r="W325" i="10"/>
  <c r="W324" i="10"/>
  <c r="W323" i="10"/>
  <c r="Y323" i="10" s="1"/>
  <c r="W322" i="10"/>
  <c r="Y322" i="10" s="1"/>
  <c r="W321" i="10"/>
  <c r="Y321" i="10" s="1"/>
  <c r="W320" i="10"/>
  <c r="Y320" i="10" s="1"/>
  <c r="W319" i="10"/>
  <c r="W318" i="10"/>
  <c r="W317" i="10"/>
  <c r="W316" i="10"/>
  <c r="W315" i="10"/>
  <c r="Y315" i="10" s="1"/>
  <c r="W314" i="10"/>
  <c r="Y314" i="10" s="1"/>
  <c r="W313" i="10"/>
  <c r="Y313" i="10" s="1"/>
  <c r="W312" i="10"/>
  <c r="Y312" i="10" s="1"/>
  <c r="W311" i="10"/>
  <c r="W309" i="10"/>
  <c r="Y309" i="10" s="1"/>
  <c r="W308" i="10"/>
  <c r="W307" i="10"/>
  <c r="W306" i="10"/>
  <c r="Y306" i="10" s="1"/>
  <c r="W305" i="10"/>
  <c r="W304" i="10"/>
  <c r="Y304" i="10" s="1"/>
  <c r="W303" i="10"/>
  <c r="Y303" i="10" s="1"/>
  <c r="W302" i="10"/>
  <c r="W301" i="10"/>
  <c r="W300" i="10"/>
  <c r="W299" i="10"/>
  <c r="W298" i="10"/>
  <c r="Y298" i="10" s="1"/>
  <c r="W297" i="10"/>
  <c r="Y297" i="10" s="1"/>
  <c r="W296" i="10"/>
  <c r="Y296" i="10" s="1"/>
  <c r="W295" i="10"/>
  <c r="Y295" i="10" s="1"/>
  <c r="W294" i="10"/>
  <c r="W293" i="10"/>
  <c r="Y293" i="10" s="1"/>
  <c r="W292" i="10"/>
  <c r="W291" i="10"/>
  <c r="W290" i="10"/>
  <c r="Y290" i="10" s="1"/>
  <c r="W289" i="10"/>
  <c r="W288" i="10"/>
  <c r="Y288" i="10" s="1"/>
  <c r="W287" i="10"/>
  <c r="Y287" i="10" s="1"/>
  <c r="W286" i="10"/>
  <c r="W285" i="10"/>
  <c r="W284" i="10"/>
  <c r="W283" i="10"/>
  <c r="W281" i="10"/>
  <c r="Y281" i="10" s="1"/>
  <c r="W280" i="10"/>
  <c r="Y280" i="10" s="1"/>
  <c r="W279" i="10"/>
  <c r="Y279" i="10" s="1"/>
  <c r="W278" i="10"/>
  <c r="Y278" i="10" s="1"/>
  <c r="W277" i="10"/>
  <c r="W276" i="10"/>
  <c r="W275" i="10"/>
  <c r="W274" i="10"/>
  <c r="W273" i="10"/>
  <c r="Y273" i="10" s="1"/>
  <c r="W272" i="10"/>
  <c r="Y272" i="10" s="1"/>
  <c r="W271" i="10"/>
  <c r="Y271" i="10" s="1"/>
  <c r="W270" i="10"/>
  <c r="Y270" i="10" s="1"/>
  <c r="W269" i="10"/>
  <c r="W268" i="10"/>
  <c r="Y268" i="10" s="1"/>
  <c r="W267" i="10"/>
  <c r="W266" i="10"/>
  <c r="W265" i="10"/>
  <c r="Y265" i="10" s="1"/>
  <c r="W264" i="10"/>
  <c r="Y264" i="10" s="1"/>
  <c r="W263" i="10"/>
  <c r="Y263" i="10" s="1"/>
  <c r="W262" i="10"/>
  <c r="Y262" i="10" s="1"/>
  <c r="W261" i="10"/>
  <c r="W260" i="10"/>
  <c r="Y260" i="10" s="1"/>
  <c r="W259" i="10"/>
  <c r="W258" i="10"/>
  <c r="W257" i="10"/>
  <c r="Y257" i="10" s="1"/>
  <c r="W256" i="10"/>
  <c r="Y256" i="10" s="1"/>
  <c r="W255" i="10"/>
  <c r="W253" i="10"/>
  <c r="Y253" i="10" s="1"/>
  <c r="W252" i="10"/>
  <c r="W251" i="10"/>
  <c r="W250" i="10"/>
  <c r="W249" i="10"/>
  <c r="W248" i="10"/>
  <c r="Y248" i="10" s="1"/>
  <c r="W247" i="10"/>
  <c r="W246" i="10"/>
  <c r="Y246" i="10" s="1"/>
  <c r="W245" i="10"/>
  <c r="Y245" i="10" s="1"/>
  <c r="W244" i="10"/>
  <c r="W243" i="10"/>
  <c r="Y243" i="10" s="1"/>
  <c r="W242" i="10"/>
  <c r="W241" i="10"/>
  <c r="W240" i="10"/>
  <c r="Y240" i="10" s="1"/>
  <c r="W239" i="10"/>
  <c r="Y239" i="10" s="1"/>
  <c r="W238" i="10"/>
  <c r="Y238" i="10" s="1"/>
  <c r="W237" i="10"/>
  <c r="Y237" i="10" s="1"/>
  <c r="W236" i="10"/>
  <c r="W235" i="10"/>
  <c r="Y235" i="10" s="1"/>
  <c r="W234" i="10"/>
  <c r="W233" i="10"/>
  <c r="W232" i="10"/>
  <c r="Y232" i="10" s="1"/>
  <c r="W231" i="10"/>
  <c r="Y231" i="10" s="1"/>
  <c r="W230" i="10"/>
  <c r="Y230" i="10" s="1"/>
  <c r="W229" i="10"/>
  <c r="Y229" i="10" s="1"/>
  <c r="W228" i="10"/>
  <c r="W227" i="10"/>
  <c r="W225" i="10"/>
  <c r="W224" i="10"/>
  <c r="W223" i="10"/>
  <c r="Y223" i="10" s="1"/>
  <c r="W222" i="10"/>
  <c r="Y222" i="10" s="1"/>
  <c r="W221" i="10"/>
  <c r="Y221" i="10" s="1"/>
  <c r="W220" i="10"/>
  <c r="Y220" i="10" s="1"/>
  <c r="W219" i="10"/>
  <c r="W218" i="10"/>
  <c r="Y218" i="10" s="1"/>
  <c r="W217" i="10"/>
  <c r="W216" i="10"/>
  <c r="W215" i="10"/>
  <c r="Y215" i="10" s="1"/>
  <c r="W214" i="10"/>
  <c r="Y214" i="10" s="1"/>
  <c r="W213" i="10"/>
  <c r="Y213" i="10" s="1"/>
  <c r="W212" i="10"/>
  <c r="Y212" i="10" s="1"/>
  <c r="W211" i="10"/>
  <c r="W210" i="10"/>
  <c r="W209" i="10"/>
  <c r="W208" i="10"/>
  <c r="W207" i="10"/>
  <c r="Y207" i="10" s="1"/>
  <c r="W206" i="10"/>
  <c r="Y206" i="10" s="1"/>
  <c r="W205" i="10"/>
  <c r="Y205" i="10" s="1"/>
  <c r="W204" i="10"/>
  <c r="Y204" i="10" s="1"/>
  <c r="W203" i="10"/>
  <c r="W202" i="10"/>
  <c r="Y202" i="10" s="1"/>
  <c r="W201" i="10"/>
  <c r="W200" i="10"/>
  <c r="W199" i="10"/>
  <c r="W197" i="10"/>
  <c r="Y197" i="10" s="1"/>
  <c r="W196" i="10"/>
  <c r="Y196" i="10" s="1"/>
  <c r="W195" i="10"/>
  <c r="Y195" i="10" s="1"/>
  <c r="W194" i="10"/>
  <c r="W193" i="10"/>
  <c r="Y193" i="10" s="1"/>
  <c r="W192" i="10"/>
  <c r="W191" i="10"/>
  <c r="W190" i="10"/>
  <c r="Y190" i="10" s="1"/>
  <c r="W189" i="10"/>
  <c r="Y189" i="10" s="1"/>
  <c r="W188" i="10"/>
  <c r="Y188" i="10" s="1"/>
  <c r="W187" i="10"/>
  <c r="Y187" i="10" s="1"/>
  <c r="W186" i="10"/>
  <c r="W185" i="10"/>
  <c r="W184" i="10"/>
  <c r="W183" i="10"/>
  <c r="W182" i="10"/>
  <c r="Y182" i="10" s="1"/>
  <c r="W181" i="10"/>
  <c r="Y181" i="10" s="1"/>
  <c r="W180" i="10"/>
  <c r="Y180" i="10" s="1"/>
  <c r="W179" i="10"/>
  <c r="Y179" i="10" s="1"/>
  <c r="W178" i="10"/>
  <c r="W177" i="10"/>
  <c r="Y177" i="10" s="1"/>
  <c r="W176" i="10"/>
  <c r="W175" i="10"/>
  <c r="W174" i="10"/>
  <c r="Y174" i="10" s="1"/>
  <c r="W173" i="10"/>
  <c r="Y173" i="10" s="1"/>
  <c r="W172" i="10"/>
  <c r="Y172" i="10" s="1"/>
  <c r="W171" i="10"/>
  <c r="W169" i="10"/>
  <c r="W168" i="10"/>
  <c r="Y168" i="10" s="1"/>
  <c r="W167" i="10"/>
  <c r="W166" i="10"/>
  <c r="W165" i="10"/>
  <c r="Y165" i="10" s="1"/>
  <c r="W164" i="10"/>
  <c r="W163" i="10"/>
  <c r="Y163" i="10" s="1"/>
  <c r="W162" i="10"/>
  <c r="Y162" i="10" s="1"/>
  <c r="W161" i="10"/>
  <c r="W160" i="10"/>
  <c r="W159" i="10"/>
  <c r="W158" i="10"/>
  <c r="W157" i="10"/>
  <c r="Y157" i="10" s="1"/>
  <c r="W156" i="10"/>
  <c r="Y156" i="10" s="1"/>
  <c r="W155" i="10"/>
  <c r="Y155" i="10" s="1"/>
  <c r="W154" i="10"/>
  <c r="Y154" i="10" s="1"/>
  <c r="W153" i="10"/>
  <c r="W152" i="10"/>
  <c r="Y152" i="10" s="1"/>
  <c r="W151" i="10"/>
  <c r="W150" i="10"/>
  <c r="W149" i="10"/>
  <c r="Y149" i="10" s="1"/>
  <c r="W148" i="10"/>
  <c r="W147" i="10"/>
  <c r="Y147" i="10" s="1"/>
  <c r="W146" i="10"/>
  <c r="Y146" i="10" s="1"/>
  <c r="W145" i="10"/>
  <c r="W144" i="10"/>
  <c r="W143" i="10"/>
  <c r="W141" i="10"/>
  <c r="W140" i="10"/>
  <c r="Y140" i="10" s="1"/>
  <c r="W139" i="10"/>
  <c r="Y139" i="10" s="1"/>
  <c r="W138" i="10"/>
  <c r="Y138" i="10" s="1"/>
  <c r="W137" i="10"/>
  <c r="Y137" i="10" s="1"/>
  <c r="W136" i="10"/>
  <c r="W135" i="10"/>
  <c r="W134" i="10"/>
  <c r="W133" i="10"/>
  <c r="W132" i="10"/>
  <c r="Y132" i="10" s="1"/>
  <c r="W131" i="10"/>
  <c r="W130" i="10"/>
  <c r="Y130" i="10" s="1"/>
  <c r="W129" i="10"/>
  <c r="Y129" i="10" s="1"/>
  <c r="W128" i="10"/>
  <c r="W127" i="10"/>
  <c r="Y127" i="10" s="1"/>
  <c r="W126" i="10"/>
  <c r="W125" i="10"/>
  <c r="W124" i="10"/>
  <c r="Y124" i="10" s="1"/>
  <c r="W123" i="10"/>
  <c r="Y123" i="10" s="1"/>
  <c r="W122" i="10"/>
  <c r="Y122" i="10" s="1"/>
  <c r="W121" i="10"/>
  <c r="Y121" i="10" s="1"/>
  <c r="W120" i="10"/>
  <c r="W119" i="10"/>
  <c r="Y119" i="10" s="1"/>
  <c r="W118" i="10"/>
  <c r="W117" i="10"/>
  <c r="W116" i="10"/>
  <c r="Y116" i="10" s="1"/>
  <c r="W115" i="10"/>
  <c r="W113" i="10"/>
  <c r="Y113" i="10" s="1"/>
  <c r="W112" i="10"/>
  <c r="Y112" i="10" s="1"/>
  <c r="W111" i="10"/>
  <c r="W110" i="10"/>
  <c r="W109" i="10"/>
  <c r="W108" i="10"/>
  <c r="W107" i="10"/>
  <c r="Y107" i="10" s="1"/>
  <c r="W106" i="10"/>
  <c r="Y106" i="10" s="1"/>
  <c r="W105" i="10"/>
  <c r="Y105" i="10" s="1"/>
  <c r="W104" i="10"/>
  <c r="Y104" i="10" s="1"/>
  <c r="W103" i="10"/>
  <c r="W102" i="10"/>
  <c r="Y102" i="10" s="1"/>
  <c r="W101" i="10"/>
  <c r="W100" i="10"/>
  <c r="W99" i="10"/>
  <c r="Y99" i="10" s="1"/>
  <c r="W98" i="10"/>
  <c r="W97" i="10"/>
  <c r="Y97" i="10" s="1"/>
  <c r="W96" i="10"/>
  <c r="Y96" i="10" s="1"/>
  <c r="W95" i="10"/>
  <c r="W94" i="10"/>
  <c r="W93" i="10"/>
  <c r="W92" i="10"/>
  <c r="W91" i="10"/>
  <c r="Y91" i="10" s="1"/>
  <c r="W90" i="10"/>
  <c r="Y90" i="10" s="1"/>
  <c r="W89" i="10"/>
  <c r="Y89" i="10" s="1"/>
  <c r="W88" i="10"/>
  <c r="Y88" i="10" s="1"/>
  <c r="W87" i="10"/>
  <c r="W85" i="10"/>
  <c r="Y85" i="10" s="1"/>
  <c r="W84" i="10"/>
  <c r="W83" i="10"/>
  <c r="W82" i="10"/>
  <c r="Y82" i="10" s="1"/>
  <c r="W81" i="10"/>
  <c r="W80" i="10"/>
  <c r="Y80" i="10" s="1"/>
  <c r="W79" i="10"/>
  <c r="Y79" i="10" s="1"/>
  <c r="W78" i="10"/>
  <c r="W77" i="10"/>
  <c r="W76" i="10"/>
  <c r="W75" i="10"/>
  <c r="W74" i="10"/>
  <c r="Y74" i="10" s="1"/>
  <c r="W73" i="10"/>
  <c r="Y73" i="10" s="1"/>
  <c r="W72" i="10"/>
  <c r="Y72" i="10" s="1"/>
  <c r="W71" i="10"/>
  <c r="Y71" i="10" s="1"/>
  <c r="W70" i="10"/>
  <c r="W69" i="10"/>
  <c r="W68" i="10"/>
  <c r="W67" i="10"/>
  <c r="W66" i="10"/>
  <c r="Y66" i="10" s="1"/>
  <c r="W65" i="10"/>
  <c r="W64" i="10"/>
  <c r="Y64" i="10" s="1"/>
  <c r="W63" i="10"/>
  <c r="Y63" i="10" s="1"/>
  <c r="W62" i="10"/>
  <c r="W61" i="10"/>
  <c r="Y61" i="10" s="1"/>
  <c r="W60" i="10"/>
  <c r="W59" i="10"/>
  <c r="W57" i="10"/>
  <c r="Y57" i="10" s="1"/>
  <c r="W56" i="10"/>
  <c r="Y56" i="10" s="1"/>
  <c r="W55" i="10"/>
  <c r="Y55" i="10" s="1"/>
  <c r="W54" i="10"/>
  <c r="Y54" i="10" s="1"/>
  <c r="W53" i="10"/>
  <c r="W52" i="10"/>
  <c r="Y52" i="10" s="1"/>
  <c r="W51" i="10"/>
  <c r="W50" i="10"/>
  <c r="W49" i="10"/>
  <c r="Y49" i="10" s="1"/>
  <c r="W48" i="10"/>
  <c r="Y48" i="10" s="1"/>
  <c r="W47" i="10"/>
  <c r="Y47" i="10" s="1"/>
  <c r="W46" i="10"/>
  <c r="Y46" i="10" s="1"/>
  <c r="W45" i="10"/>
  <c r="W44" i="10"/>
  <c r="W43" i="10"/>
  <c r="W42" i="10"/>
  <c r="W41" i="10"/>
  <c r="Y41" i="10" s="1"/>
  <c r="W40" i="10"/>
  <c r="Y40" i="10" s="1"/>
  <c r="W39" i="10"/>
  <c r="Y39" i="10" s="1"/>
  <c r="W38" i="10"/>
  <c r="Y38" i="10" s="1"/>
  <c r="W37" i="10"/>
  <c r="W36" i="10"/>
  <c r="Y36" i="10" s="1"/>
  <c r="W35" i="10"/>
  <c r="W34" i="10"/>
  <c r="W33" i="10"/>
  <c r="Y33" i="10" s="1"/>
  <c r="W32" i="10"/>
  <c r="W31" i="10"/>
  <c r="W5" i="10"/>
  <c r="Y5" i="10" s="1"/>
  <c r="W6" i="10"/>
  <c r="W7" i="10"/>
  <c r="Y7" i="10" s="1"/>
  <c r="W8" i="10"/>
  <c r="W9" i="10"/>
  <c r="W10" i="10"/>
  <c r="Y10" i="10" s="1"/>
  <c r="W11" i="10"/>
  <c r="Y11" i="10" s="1"/>
  <c r="W12" i="10"/>
  <c r="Y12" i="10" s="1"/>
  <c r="W13" i="10"/>
  <c r="Y13" i="10" s="1"/>
  <c r="W14" i="10"/>
  <c r="W15" i="10"/>
  <c r="W16" i="10"/>
  <c r="W17" i="10"/>
  <c r="W18" i="10"/>
  <c r="Y18" i="10" s="1"/>
  <c r="W19" i="10"/>
  <c r="Y19" i="10" s="1"/>
  <c r="W20" i="10"/>
  <c r="Y20" i="10" s="1"/>
  <c r="W21" i="10"/>
  <c r="Y21" i="10" s="1"/>
  <c r="W22" i="10"/>
  <c r="W23" i="10"/>
  <c r="Y23" i="10" s="1"/>
  <c r="W24" i="10"/>
  <c r="W25" i="10"/>
  <c r="W26" i="10"/>
  <c r="Y26" i="10" s="1"/>
  <c r="W27" i="10"/>
  <c r="Y27" i="10" s="1"/>
  <c r="W28" i="10"/>
  <c r="Y28" i="10" s="1"/>
  <c r="W29" i="10"/>
  <c r="Y29" i="10" s="1"/>
  <c r="W4" i="10"/>
  <c r="W3" i="10"/>
  <c r="B2" i="2"/>
  <c r="AC6" i="13" s="1"/>
  <c r="C2" i="2"/>
  <c r="A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U85" i="10"/>
  <c r="U84" i="10"/>
  <c r="U83" i="10"/>
  <c r="U82" i="10"/>
  <c r="U81" i="10"/>
  <c r="U80" i="10"/>
  <c r="U79" i="10"/>
  <c r="U78" i="10"/>
  <c r="U77" i="10"/>
  <c r="U76" i="10"/>
  <c r="U75" i="10"/>
  <c r="U74" i="10"/>
  <c r="U73" i="10"/>
  <c r="U72" i="10"/>
  <c r="U71" i="10"/>
  <c r="U70" i="10"/>
  <c r="U69" i="10"/>
  <c r="U68" i="10"/>
  <c r="U67" i="10"/>
  <c r="U66" i="10"/>
  <c r="U65" i="10"/>
  <c r="U64" i="10"/>
  <c r="U63" i="10"/>
  <c r="U62" i="10"/>
  <c r="U61" i="10"/>
  <c r="U60" i="10"/>
  <c r="U57" i="10"/>
  <c r="U56" i="10"/>
  <c r="U55" i="10"/>
  <c r="U54" i="10"/>
  <c r="U53" i="10"/>
  <c r="U52" i="10"/>
  <c r="U51" i="10"/>
  <c r="U50" i="10"/>
  <c r="U49" i="10"/>
  <c r="U48" i="10"/>
  <c r="U47" i="10"/>
  <c r="U46" i="10"/>
  <c r="U45" i="10"/>
  <c r="U44" i="10"/>
  <c r="U43" i="10"/>
  <c r="U42" i="10"/>
  <c r="U41" i="10"/>
  <c r="U40" i="10"/>
  <c r="U39" i="10"/>
  <c r="U38" i="10"/>
  <c r="U37" i="10"/>
  <c r="U36" i="10"/>
  <c r="U35" i="10"/>
  <c r="U34" i="10"/>
  <c r="U33" i="10"/>
  <c r="U32" i="10"/>
  <c r="U337" i="10"/>
  <c r="U336" i="10"/>
  <c r="U335" i="10"/>
  <c r="U334" i="10"/>
  <c r="U333" i="10"/>
  <c r="U332" i="10"/>
  <c r="U331" i="10"/>
  <c r="U330" i="10"/>
  <c r="U329" i="10"/>
  <c r="U328" i="10"/>
  <c r="U327" i="10"/>
  <c r="U326" i="10"/>
  <c r="U325" i="10"/>
  <c r="U324" i="10"/>
  <c r="U323" i="10"/>
  <c r="U322" i="10"/>
  <c r="U321" i="10"/>
  <c r="U320" i="10"/>
  <c r="U319" i="10"/>
  <c r="U318" i="10"/>
  <c r="U317" i="10"/>
  <c r="U316" i="10"/>
  <c r="U315" i="10"/>
  <c r="U314" i="10"/>
  <c r="U313" i="10"/>
  <c r="U312" i="10"/>
  <c r="U309" i="10"/>
  <c r="U308" i="10"/>
  <c r="U307" i="10"/>
  <c r="U306" i="10"/>
  <c r="U305" i="10"/>
  <c r="U304" i="10"/>
  <c r="U303" i="10"/>
  <c r="U302" i="10"/>
  <c r="U301" i="10"/>
  <c r="U300" i="10"/>
  <c r="U299" i="10"/>
  <c r="U298" i="10"/>
  <c r="U297" i="10"/>
  <c r="U296" i="10"/>
  <c r="U295" i="10"/>
  <c r="U294" i="10"/>
  <c r="U293" i="10"/>
  <c r="U292" i="10"/>
  <c r="U291" i="10"/>
  <c r="U290" i="10"/>
  <c r="U289" i="10"/>
  <c r="U288" i="10"/>
  <c r="U287" i="10"/>
  <c r="U286" i="10"/>
  <c r="U285" i="10"/>
  <c r="U284" i="10"/>
  <c r="U281" i="10"/>
  <c r="U280" i="10"/>
  <c r="U279" i="10"/>
  <c r="U278" i="10"/>
  <c r="U277" i="10"/>
  <c r="U276" i="10"/>
  <c r="U275" i="10"/>
  <c r="U274" i="10"/>
  <c r="U273" i="10"/>
  <c r="U272" i="10"/>
  <c r="U271" i="10"/>
  <c r="U270" i="10"/>
  <c r="U269" i="10"/>
  <c r="U268" i="10"/>
  <c r="U267" i="10"/>
  <c r="U266" i="10"/>
  <c r="U265" i="10"/>
  <c r="U264" i="10"/>
  <c r="U263" i="10"/>
  <c r="U262" i="10"/>
  <c r="U261" i="10"/>
  <c r="U260" i="10"/>
  <c r="U259" i="10"/>
  <c r="U258" i="10"/>
  <c r="U257" i="10"/>
  <c r="U256" i="10"/>
  <c r="U253" i="10"/>
  <c r="U252" i="10"/>
  <c r="U251" i="10"/>
  <c r="U250" i="10"/>
  <c r="U249" i="10"/>
  <c r="U248" i="10"/>
  <c r="U247" i="10"/>
  <c r="U246" i="10"/>
  <c r="U245" i="10"/>
  <c r="U244" i="10"/>
  <c r="U243" i="10"/>
  <c r="U242" i="10"/>
  <c r="U241" i="10"/>
  <c r="U240" i="10"/>
  <c r="U239" i="10"/>
  <c r="U238" i="10"/>
  <c r="U237" i="10"/>
  <c r="U236" i="10"/>
  <c r="U235" i="10"/>
  <c r="U234" i="10"/>
  <c r="U233" i="10"/>
  <c r="U232" i="10"/>
  <c r="U231" i="10"/>
  <c r="U230" i="10"/>
  <c r="U229" i="10"/>
  <c r="U228" i="10"/>
  <c r="U225" i="10"/>
  <c r="U224" i="10"/>
  <c r="U223" i="10"/>
  <c r="U222" i="10"/>
  <c r="U221" i="10"/>
  <c r="U220" i="10"/>
  <c r="U219" i="10"/>
  <c r="U218" i="10"/>
  <c r="U217" i="10"/>
  <c r="U216" i="10"/>
  <c r="U215" i="10"/>
  <c r="U214" i="10"/>
  <c r="U213" i="10"/>
  <c r="U212" i="10"/>
  <c r="U211" i="10"/>
  <c r="U210" i="10"/>
  <c r="U209" i="10"/>
  <c r="U208" i="10"/>
  <c r="U207" i="10"/>
  <c r="U206" i="10"/>
  <c r="U205" i="10"/>
  <c r="U204" i="10"/>
  <c r="U203" i="10"/>
  <c r="U202" i="10"/>
  <c r="U201" i="10"/>
  <c r="U200" i="10"/>
  <c r="U197" i="10"/>
  <c r="U196" i="10"/>
  <c r="U195" i="10"/>
  <c r="U194" i="10"/>
  <c r="U193" i="10"/>
  <c r="U192" i="10"/>
  <c r="U191" i="10"/>
  <c r="U190" i="10"/>
  <c r="U189" i="10"/>
  <c r="U188" i="10"/>
  <c r="U187" i="10"/>
  <c r="U186" i="10"/>
  <c r="U185" i="10"/>
  <c r="U184" i="10"/>
  <c r="U183" i="10"/>
  <c r="U182" i="10"/>
  <c r="U181" i="10"/>
  <c r="U180" i="10"/>
  <c r="U179" i="10"/>
  <c r="U178" i="10"/>
  <c r="U177" i="10"/>
  <c r="U176" i="10"/>
  <c r="U175" i="10"/>
  <c r="U174" i="10"/>
  <c r="U173" i="10"/>
  <c r="U172" i="10"/>
  <c r="U169" i="10"/>
  <c r="U168" i="10"/>
  <c r="U167" i="10"/>
  <c r="U166" i="10"/>
  <c r="U165" i="10"/>
  <c r="U164" i="10"/>
  <c r="U163" i="10"/>
  <c r="U162" i="10"/>
  <c r="U161" i="10"/>
  <c r="U160" i="10"/>
  <c r="U159" i="10"/>
  <c r="U158" i="10"/>
  <c r="U157" i="10"/>
  <c r="U156" i="10"/>
  <c r="U155" i="10"/>
  <c r="U154" i="10"/>
  <c r="U153" i="10"/>
  <c r="U152" i="10"/>
  <c r="U151" i="10"/>
  <c r="U150" i="10"/>
  <c r="U149" i="10"/>
  <c r="U148" i="10"/>
  <c r="U147" i="10"/>
  <c r="U146" i="10"/>
  <c r="U145" i="10"/>
  <c r="U144" i="10"/>
  <c r="U141" i="10"/>
  <c r="U140" i="10"/>
  <c r="U139" i="10"/>
  <c r="U138" i="10"/>
  <c r="U137" i="10"/>
  <c r="U136" i="10"/>
  <c r="U135" i="10"/>
  <c r="U134" i="10"/>
  <c r="U133" i="10"/>
  <c r="U132" i="10"/>
  <c r="U131" i="10"/>
  <c r="U130" i="10"/>
  <c r="U129" i="10"/>
  <c r="U128" i="10"/>
  <c r="U127" i="10"/>
  <c r="U126" i="10"/>
  <c r="U125" i="10"/>
  <c r="U124" i="10"/>
  <c r="U123" i="10"/>
  <c r="U122" i="10"/>
  <c r="U121" i="10"/>
  <c r="U120" i="10"/>
  <c r="U119" i="10"/>
  <c r="U118" i="10"/>
  <c r="U117" i="10"/>
  <c r="U116" i="10"/>
  <c r="U113" i="10"/>
  <c r="U112" i="10"/>
  <c r="U111" i="10"/>
  <c r="U110" i="10"/>
  <c r="U109" i="10"/>
  <c r="U108" i="10"/>
  <c r="U107" i="10"/>
  <c r="U106" i="10"/>
  <c r="U105" i="10"/>
  <c r="U104" i="10"/>
  <c r="U103" i="10"/>
  <c r="U102" i="10"/>
  <c r="U101" i="10"/>
  <c r="U100" i="10"/>
  <c r="U99" i="10"/>
  <c r="U98" i="10"/>
  <c r="U97" i="10"/>
  <c r="U96" i="10"/>
  <c r="U95" i="10"/>
  <c r="U94" i="10"/>
  <c r="U93" i="10"/>
  <c r="U92" i="10"/>
  <c r="U91" i="10"/>
  <c r="U90" i="10"/>
  <c r="U89" i="10"/>
  <c r="U88" i="10"/>
  <c r="U5" i="10"/>
  <c r="U6" i="10"/>
  <c r="U7" i="10"/>
  <c r="U8" i="10"/>
  <c r="U9" i="10"/>
  <c r="U10" i="10"/>
  <c r="U11" i="10"/>
  <c r="U12" i="10"/>
  <c r="U13" i="10"/>
  <c r="U14" i="10"/>
  <c r="U15" i="10"/>
  <c r="U16" i="10"/>
  <c r="U17" i="10"/>
  <c r="U18" i="10"/>
  <c r="U19" i="10"/>
  <c r="U20" i="10"/>
  <c r="U21" i="10"/>
  <c r="U22" i="10"/>
  <c r="U23" i="10"/>
  <c r="U24" i="10"/>
  <c r="U25" i="10"/>
  <c r="U26" i="10"/>
  <c r="U27" i="10"/>
  <c r="U28" i="10"/>
  <c r="U29" i="10"/>
  <c r="U4" i="10"/>
  <c r="G3" i="12"/>
  <c r="C3" i="12" s="1"/>
  <c r="Q3" i="12"/>
  <c r="S103" i="12"/>
  <c r="T103" i="12"/>
  <c r="S104" i="12"/>
  <c r="T104" i="12"/>
  <c r="S105" i="12"/>
  <c r="T105" i="12"/>
  <c r="S106" i="12"/>
  <c r="T106" i="12"/>
  <c r="S107" i="12"/>
  <c r="T107" i="12"/>
  <c r="V6" i="13"/>
  <c r="W6" i="13"/>
  <c r="U6" i="13"/>
  <c r="P6" i="13"/>
  <c r="A88" i="10"/>
  <c r="A89" i="10"/>
  <c r="A90" i="10"/>
  <c r="A91" i="10"/>
  <c r="A92" i="10"/>
  <c r="A93" i="10"/>
  <c r="A94" i="10"/>
  <c r="A95" i="10"/>
  <c r="A96" i="10"/>
  <c r="A97" i="10"/>
  <c r="A98" i="10"/>
  <c r="A99" i="10"/>
  <c r="A100" i="10"/>
  <c r="A101" i="10"/>
  <c r="A102" i="10"/>
  <c r="A103" i="10"/>
  <c r="A104" i="10"/>
  <c r="A105" i="10"/>
  <c r="A106" i="10"/>
  <c r="A107" i="10"/>
  <c r="A108" i="10"/>
  <c r="A109" i="10"/>
  <c r="A110" i="10"/>
  <c r="A111" i="10"/>
  <c r="A112" i="10"/>
  <c r="A113" i="10"/>
  <c r="A116" i="10"/>
  <c r="A117" i="10"/>
  <c r="A118" i="10"/>
  <c r="A119" i="10"/>
  <c r="A120" i="10"/>
  <c r="A121" i="10"/>
  <c r="A122" i="10"/>
  <c r="A123" i="10"/>
  <c r="A124" i="10"/>
  <c r="A125" i="10"/>
  <c r="A126" i="10"/>
  <c r="A127" i="10"/>
  <c r="A128" i="10"/>
  <c r="A129" i="10"/>
  <c r="A130" i="10"/>
  <c r="A131" i="10"/>
  <c r="A132" i="10"/>
  <c r="A133" i="10"/>
  <c r="A134" i="10"/>
  <c r="A135" i="10"/>
  <c r="A136" i="10"/>
  <c r="A137" i="10"/>
  <c r="A138" i="10"/>
  <c r="A139" i="10"/>
  <c r="A140" i="10"/>
  <c r="A141" i="10"/>
  <c r="A144" i="10"/>
  <c r="A145" i="10"/>
  <c r="A146" i="10"/>
  <c r="A147" i="10"/>
  <c r="A148" i="10"/>
  <c r="A149" i="10"/>
  <c r="A150" i="10"/>
  <c r="A151" i="10"/>
  <c r="A152" i="10"/>
  <c r="A153" i="10"/>
  <c r="A154" i="10"/>
  <c r="A155" i="10"/>
  <c r="A156" i="10"/>
  <c r="A157" i="10"/>
  <c r="A158" i="10"/>
  <c r="A159" i="10"/>
  <c r="A160" i="10"/>
  <c r="A161" i="10"/>
  <c r="A162" i="10"/>
  <c r="A163" i="10"/>
  <c r="A164" i="10"/>
  <c r="A165" i="10"/>
  <c r="A166" i="10"/>
  <c r="A167" i="10"/>
  <c r="A168" i="10"/>
  <c r="A169" i="10"/>
  <c r="AB135" i="12"/>
  <c r="AB136" i="12"/>
  <c r="AB137" i="12"/>
  <c r="AB138" i="12"/>
  <c r="AB139" i="12"/>
  <c r="AB140" i="12"/>
  <c r="S101" i="12"/>
  <c r="T101" i="12"/>
  <c r="S102" i="12"/>
  <c r="T102" i="12"/>
  <c r="S20" i="12"/>
  <c r="T20" i="12"/>
  <c r="AB20" i="12"/>
  <c r="A313" i="10"/>
  <c r="A314" i="10"/>
  <c r="A315" i="10"/>
  <c r="A316" i="10"/>
  <c r="A317" i="10"/>
  <c r="A318" i="10"/>
  <c r="A319" i="10"/>
  <c r="A320" i="10"/>
  <c r="A321" i="10"/>
  <c r="A322" i="10"/>
  <c r="A323" i="10"/>
  <c r="A324" i="10"/>
  <c r="A325" i="10"/>
  <c r="A326" i="10"/>
  <c r="A327" i="10"/>
  <c r="A328" i="10"/>
  <c r="A329" i="10"/>
  <c r="A330" i="10"/>
  <c r="A331" i="10"/>
  <c r="A332" i="10"/>
  <c r="A333" i="10"/>
  <c r="A334" i="10"/>
  <c r="A335" i="10"/>
  <c r="A336" i="10"/>
  <c r="A337" i="10"/>
  <c r="A312" i="10"/>
  <c r="A285" i="10"/>
  <c r="A286" i="10"/>
  <c r="A287" i="10"/>
  <c r="A288" i="10"/>
  <c r="A289" i="10"/>
  <c r="A290" i="10"/>
  <c r="A291" i="10"/>
  <c r="A292" i="10"/>
  <c r="A293" i="10"/>
  <c r="A294" i="10"/>
  <c r="A295" i="10"/>
  <c r="A296" i="10"/>
  <c r="A297" i="10"/>
  <c r="A298" i="10"/>
  <c r="A299" i="10"/>
  <c r="A300" i="10"/>
  <c r="A301" i="10"/>
  <c r="A302" i="10"/>
  <c r="A303" i="10"/>
  <c r="A304" i="10"/>
  <c r="A305" i="10"/>
  <c r="A306" i="10"/>
  <c r="A307" i="10"/>
  <c r="A308" i="10"/>
  <c r="A309" i="10"/>
  <c r="A284" i="10"/>
  <c r="A257" i="10"/>
  <c r="A258" i="10"/>
  <c r="A259" i="10"/>
  <c r="A260" i="10"/>
  <c r="A261" i="10"/>
  <c r="A262" i="10"/>
  <c r="A263" i="10"/>
  <c r="A264" i="10"/>
  <c r="A265" i="10"/>
  <c r="A266" i="10"/>
  <c r="A267" i="10"/>
  <c r="A268" i="10"/>
  <c r="A269" i="10"/>
  <c r="A270" i="10"/>
  <c r="A271" i="10"/>
  <c r="A272" i="10"/>
  <c r="A273" i="10"/>
  <c r="A274" i="10"/>
  <c r="A275" i="10"/>
  <c r="A276" i="10"/>
  <c r="A277" i="10"/>
  <c r="A278" i="10"/>
  <c r="A279" i="10"/>
  <c r="A280" i="10"/>
  <c r="A281" i="10"/>
  <c r="A256" i="10"/>
  <c r="A229" i="10"/>
  <c r="A230" i="10"/>
  <c r="A231" i="10"/>
  <c r="A232" i="10"/>
  <c r="A233" i="10"/>
  <c r="A234" i="10"/>
  <c r="A235" i="10"/>
  <c r="A236" i="10"/>
  <c r="A237" i="10"/>
  <c r="A238" i="10"/>
  <c r="A239" i="10"/>
  <c r="A240" i="10"/>
  <c r="A241" i="10"/>
  <c r="A242" i="10"/>
  <c r="A243" i="10"/>
  <c r="A244" i="10"/>
  <c r="A245" i="10"/>
  <c r="A246" i="10"/>
  <c r="A247" i="10"/>
  <c r="A248" i="10"/>
  <c r="A249" i="10"/>
  <c r="A250" i="10"/>
  <c r="A251" i="10"/>
  <c r="A252" i="10"/>
  <c r="A253" i="10"/>
  <c r="A228" i="10"/>
  <c r="A201" i="10"/>
  <c r="A202" i="10"/>
  <c r="A203" i="10"/>
  <c r="A204" i="10"/>
  <c r="A205" i="10"/>
  <c r="A206" i="10"/>
  <c r="A207" i="10"/>
  <c r="A208" i="10"/>
  <c r="A209" i="10"/>
  <c r="A210" i="10"/>
  <c r="A211" i="10"/>
  <c r="A212" i="10"/>
  <c r="A213" i="10"/>
  <c r="A214" i="10"/>
  <c r="A215" i="10"/>
  <c r="A216" i="10"/>
  <c r="A217" i="10"/>
  <c r="A218" i="10"/>
  <c r="A219" i="10"/>
  <c r="A220" i="10"/>
  <c r="A221" i="10"/>
  <c r="A222" i="10"/>
  <c r="A223" i="10"/>
  <c r="A224" i="10"/>
  <c r="A225" i="10"/>
  <c r="A200" i="10"/>
  <c r="A173" i="10"/>
  <c r="A174" i="10"/>
  <c r="A175" i="10"/>
  <c r="A176" i="10"/>
  <c r="A177" i="10"/>
  <c r="A178" i="10"/>
  <c r="A179" i="10"/>
  <c r="A180" i="10"/>
  <c r="A181" i="10"/>
  <c r="A182" i="10"/>
  <c r="A183" i="10"/>
  <c r="A184" i="10"/>
  <c r="A185" i="10"/>
  <c r="A186" i="10"/>
  <c r="A187" i="10"/>
  <c r="A188" i="10"/>
  <c r="A189" i="10"/>
  <c r="A190" i="10"/>
  <c r="A191" i="10"/>
  <c r="A192" i="10"/>
  <c r="A193" i="10"/>
  <c r="A194" i="10"/>
  <c r="A195" i="10"/>
  <c r="A196" i="10"/>
  <c r="A197" i="10"/>
  <c r="A172" i="10"/>
  <c r="S93" i="12"/>
  <c r="T93" i="12"/>
  <c r="S94" i="12"/>
  <c r="T94" i="12"/>
  <c r="S95" i="12"/>
  <c r="T95" i="12"/>
  <c r="S96" i="12"/>
  <c r="T96" i="12"/>
  <c r="S97" i="12"/>
  <c r="T97" i="12"/>
  <c r="S98" i="12"/>
  <c r="T98" i="12"/>
  <c r="S99" i="12"/>
  <c r="T99" i="12"/>
  <c r="S100" i="12"/>
  <c r="T100" i="12"/>
  <c r="B32" i="13"/>
  <c r="AA12" i="7"/>
  <c r="AA13" i="7"/>
  <c r="AA14" i="7"/>
  <c r="AA18" i="7"/>
  <c r="AA19" i="7"/>
  <c r="AA20" i="7"/>
  <c r="AA25" i="7"/>
  <c r="AA26" i="7"/>
  <c r="AA27" i="7"/>
  <c r="AA17" i="7"/>
  <c r="AA24" i="7"/>
  <c r="AA11" i="7"/>
  <c r="AA5" i="7"/>
  <c r="AA6" i="7"/>
  <c r="AA7" i="7"/>
  <c r="AA8" i="7"/>
  <c r="M30" i="7"/>
  <c r="N30" i="7"/>
  <c r="O30" i="7"/>
  <c r="L30" i="7"/>
  <c r="S91" i="12"/>
  <c r="T91" i="12"/>
  <c r="S92" i="12"/>
  <c r="T92" i="12"/>
  <c r="AB7" i="12"/>
  <c r="AB8" i="12"/>
  <c r="AB9" i="12"/>
  <c r="AB10" i="12"/>
  <c r="AB11" i="12"/>
  <c r="AB12" i="12"/>
  <c r="AB13" i="12"/>
  <c r="AB14" i="12"/>
  <c r="AB15" i="12"/>
  <c r="AB16" i="12"/>
  <c r="AB17" i="12"/>
  <c r="AB18" i="12"/>
  <c r="AB19" i="12"/>
  <c r="AB21" i="12"/>
  <c r="AB22" i="12"/>
  <c r="AB23" i="12"/>
  <c r="AB24" i="12"/>
  <c r="AB25" i="12"/>
  <c r="AB26" i="12"/>
  <c r="AB27" i="12"/>
  <c r="AB28" i="12"/>
  <c r="AB29" i="12"/>
  <c r="AB30" i="12"/>
  <c r="AB31" i="12"/>
  <c r="AB32" i="12"/>
  <c r="AB33" i="12"/>
  <c r="AB34" i="12"/>
  <c r="AB35" i="12"/>
  <c r="AB36" i="12"/>
  <c r="AB37" i="12"/>
  <c r="AB38" i="12"/>
  <c r="AB39" i="12"/>
  <c r="AB40" i="12"/>
  <c r="AB41" i="12"/>
  <c r="AB42" i="12"/>
  <c r="AB43" i="12"/>
  <c r="AB44" i="12"/>
  <c r="AB45" i="12"/>
  <c r="AB46" i="12"/>
  <c r="AB47" i="12"/>
  <c r="AB48" i="12"/>
  <c r="AB49" i="12"/>
  <c r="AB50" i="12"/>
  <c r="AB51" i="12"/>
  <c r="AB52" i="12"/>
  <c r="AB53" i="12"/>
  <c r="AB54" i="12"/>
  <c r="AB55" i="12"/>
  <c r="AB56" i="12"/>
  <c r="AB57" i="12"/>
  <c r="AB58" i="12"/>
  <c r="AB59" i="12"/>
  <c r="AB60" i="12"/>
  <c r="AB61" i="12"/>
  <c r="AB62" i="12"/>
  <c r="AB63" i="12"/>
  <c r="AB64" i="12"/>
  <c r="AB65" i="12"/>
  <c r="AB66" i="12"/>
  <c r="AB67" i="12"/>
  <c r="AB68" i="12"/>
  <c r="AB69" i="12"/>
  <c r="AB70" i="12"/>
  <c r="AB71" i="12"/>
  <c r="AB72" i="12"/>
  <c r="AB73" i="12"/>
  <c r="AB74" i="12"/>
  <c r="AB75" i="12"/>
  <c r="AB76" i="12"/>
  <c r="AB77" i="12"/>
  <c r="AB78" i="12"/>
  <c r="AB79" i="12"/>
  <c r="AB80" i="12"/>
  <c r="AB81" i="12"/>
  <c r="AB82" i="12"/>
  <c r="AB83" i="12"/>
  <c r="AB84" i="12"/>
  <c r="AB85" i="12"/>
  <c r="AB86" i="12"/>
  <c r="AB87" i="12"/>
  <c r="AB88" i="12"/>
  <c r="AB89" i="12"/>
  <c r="AB90" i="12"/>
  <c r="AB91" i="12"/>
  <c r="AB92" i="12"/>
  <c r="AB93" i="12"/>
  <c r="AB94" i="12"/>
  <c r="AB95" i="12"/>
  <c r="AB96" i="12"/>
  <c r="AB97" i="12"/>
  <c r="AB98" i="12"/>
  <c r="AB99" i="12"/>
  <c r="AB100" i="12"/>
  <c r="AB101" i="12"/>
  <c r="AB102" i="12"/>
  <c r="AB103" i="12"/>
  <c r="AB104" i="12"/>
  <c r="AB105" i="12"/>
  <c r="AB106" i="12"/>
  <c r="AB107" i="12"/>
  <c r="AB108" i="12"/>
  <c r="AB109" i="12"/>
  <c r="AB110" i="12"/>
  <c r="AB111" i="12"/>
  <c r="AB112" i="12"/>
  <c r="AB113" i="12"/>
  <c r="AB114" i="12"/>
  <c r="AB115" i="12"/>
  <c r="AB116" i="12"/>
  <c r="AB117" i="12"/>
  <c r="AB118" i="12"/>
  <c r="AB119" i="12"/>
  <c r="AB120" i="12"/>
  <c r="AB121" i="12"/>
  <c r="AB122" i="12"/>
  <c r="AB123" i="12"/>
  <c r="AB124" i="12"/>
  <c r="AB125" i="12"/>
  <c r="AB126" i="12"/>
  <c r="AB127" i="12"/>
  <c r="AB128" i="12"/>
  <c r="AB129" i="12"/>
  <c r="AB130" i="12"/>
  <c r="AB131" i="12"/>
  <c r="AB132" i="12"/>
  <c r="AB133" i="12"/>
  <c r="AB134" i="12"/>
  <c r="AB6" i="12"/>
  <c r="B31" i="13"/>
  <c r="A4" i="4"/>
  <c r="A5" i="4"/>
  <c r="A6" i="4"/>
  <c r="W11" i="13" s="1"/>
  <c r="A7" i="4"/>
  <c r="A8" i="4"/>
  <c r="Z9" i="13" s="1"/>
  <c r="A9" i="4"/>
  <c r="A10" i="4"/>
  <c r="A11" i="4"/>
  <c r="A12" i="4"/>
  <c r="A13" i="4"/>
  <c r="A14" i="4"/>
  <c r="A15" i="4"/>
  <c r="A16" i="4"/>
  <c r="A17" i="4"/>
  <c r="A18" i="4"/>
  <c r="A19" i="4"/>
  <c r="A20" i="4"/>
  <c r="A21" i="4"/>
  <c r="A22" i="4"/>
  <c r="A23" i="4"/>
  <c r="A24" i="4"/>
  <c r="Y15" i="13" s="1"/>
  <c r="A25" i="4"/>
  <c r="A26" i="4"/>
  <c r="A27" i="4"/>
  <c r="A28" i="4"/>
  <c r="A29" i="4"/>
  <c r="M29" i="4"/>
  <c r="L29" i="4"/>
  <c r="G29" i="4"/>
  <c r="K29" i="4"/>
  <c r="H29" i="4"/>
  <c r="N29" i="4"/>
  <c r="O29" i="4"/>
  <c r="R57" i="4"/>
  <c r="R58" i="4"/>
  <c r="P63" i="4"/>
  <c r="P64" i="4"/>
  <c r="P65" i="4"/>
  <c r="P66" i="4"/>
  <c r="P67" i="4"/>
  <c r="P68" i="4"/>
  <c r="P69" i="4"/>
  <c r="P70" i="4"/>
  <c r="P71" i="4"/>
  <c r="P72" i="4"/>
  <c r="P73" i="4"/>
  <c r="P74" i="4"/>
  <c r="P75" i="4"/>
  <c r="P76" i="4"/>
  <c r="P77" i="4"/>
  <c r="P78" i="4"/>
  <c r="P79" i="4"/>
  <c r="P80" i="4"/>
  <c r="P81" i="4"/>
  <c r="P82" i="4"/>
  <c r="P83" i="4"/>
  <c r="P84" i="4"/>
  <c r="P85" i="4"/>
  <c r="P86" i="4"/>
  <c r="P87" i="4"/>
  <c r="P62" i="4"/>
  <c r="E63" i="4"/>
  <c r="E64" i="4"/>
  <c r="E65" i="4"/>
  <c r="E66" i="4"/>
  <c r="E67" i="4"/>
  <c r="E68" i="4"/>
  <c r="E69" i="4"/>
  <c r="E70" i="4"/>
  <c r="E71" i="4"/>
  <c r="E72" i="4"/>
  <c r="E73" i="4"/>
  <c r="E74" i="4"/>
  <c r="E75" i="4"/>
  <c r="E76" i="4"/>
  <c r="E77" i="4"/>
  <c r="E78" i="4"/>
  <c r="E79" i="4"/>
  <c r="E80" i="4"/>
  <c r="E81" i="4"/>
  <c r="E82" i="4"/>
  <c r="E83" i="4"/>
  <c r="E84" i="4"/>
  <c r="E85" i="4"/>
  <c r="E86" i="4"/>
  <c r="E87" i="4"/>
  <c r="Z34" i="4"/>
  <c r="Z35" i="4"/>
  <c r="Z36" i="4"/>
  <c r="V36" i="4" s="1"/>
  <c r="Z37" i="4"/>
  <c r="V37" i="4" s="1"/>
  <c r="Z38" i="4"/>
  <c r="Z39" i="4"/>
  <c r="Z40" i="4"/>
  <c r="Z41" i="4"/>
  <c r="Z42" i="4"/>
  <c r="Z43" i="4"/>
  <c r="Z44" i="4"/>
  <c r="Z45" i="4"/>
  <c r="V45" i="4" s="1"/>
  <c r="Z46" i="4"/>
  <c r="Z47" i="4"/>
  <c r="Z48" i="4"/>
  <c r="Z49" i="4"/>
  <c r="Z50" i="4"/>
  <c r="Z51" i="4"/>
  <c r="Z52" i="4"/>
  <c r="V52" i="4" s="1"/>
  <c r="Z53" i="4"/>
  <c r="V53" i="4" s="1"/>
  <c r="Z54" i="4"/>
  <c r="Z55" i="4"/>
  <c r="Z56" i="4"/>
  <c r="Z57" i="4"/>
  <c r="Z58" i="4"/>
  <c r="Z33" i="4"/>
  <c r="V57" i="4"/>
  <c r="V58" i="4"/>
  <c r="C57" i="4"/>
  <c r="D57" i="4"/>
  <c r="E57" i="4"/>
  <c r="F57" i="4"/>
  <c r="G57" i="4"/>
  <c r="H57" i="4"/>
  <c r="C58" i="4"/>
  <c r="E58" i="4" s="1"/>
  <c r="D58" i="4"/>
  <c r="F58" i="4"/>
  <c r="G58" i="4"/>
  <c r="H58" i="4"/>
  <c r="P57" i="4"/>
  <c r="P58" i="4"/>
  <c r="A86" i="4"/>
  <c r="A87" i="4"/>
  <c r="A57" i="4"/>
  <c r="A58" i="4"/>
  <c r="K28" i="4"/>
  <c r="L28" i="4"/>
  <c r="H28" i="4" s="1"/>
  <c r="M28" i="4"/>
  <c r="G28" i="4" s="1"/>
  <c r="N28" i="4"/>
  <c r="O28" i="4"/>
  <c r="D28" i="4"/>
  <c r="F28" i="4"/>
  <c r="L10" i="13"/>
  <c r="E15" i="13"/>
  <c r="E19" i="13"/>
  <c r="M21" i="13"/>
  <c r="H24" i="13"/>
  <c r="D27" i="13"/>
  <c r="G29" i="13"/>
  <c r="K31" i="13"/>
  <c r="C15" i="13"/>
  <c r="I6" i="13"/>
  <c r="J6" i="13"/>
  <c r="K6" i="13"/>
  <c r="L6" i="13"/>
  <c r="M6" i="13"/>
  <c r="Y6" i="13"/>
  <c r="Z6" i="13"/>
  <c r="AA6" i="13"/>
  <c r="K4" i="4"/>
  <c r="C4" i="4" s="1"/>
  <c r="E4" i="4" s="1"/>
  <c r="M4" i="4"/>
  <c r="N4" i="4"/>
  <c r="D4" i="4" s="1"/>
  <c r="O4" i="4"/>
  <c r="L4" i="4"/>
  <c r="G4" i="4"/>
  <c r="H4" i="4"/>
  <c r="K5" i="4"/>
  <c r="M5" i="4"/>
  <c r="N5" i="4"/>
  <c r="D5" i="4" s="1"/>
  <c r="C5" i="4"/>
  <c r="E5" i="4" s="1"/>
  <c r="O5" i="4"/>
  <c r="L5" i="4"/>
  <c r="F5" i="4"/>
  <c r="K6" i="4"/>
  <c r="M6" i="4"/>
  <c r="N6" i="4"/>
  <c r="D6" i="4" s="1"/>
  <c r="C6" i="4"/>
  <c r="E6" i="4" s="1"/>
  <c r="O6" i="4"/>
  <c r="L6" i="4"/>
  <c r="H6" i="4" s="1"/>
  <c r="G6" i="4"/>
  <c r="F6" i="4"/>
  <c r="K7" i="4"/>
  <c r="C7" i="4" s="1"/>
  <c r="E7" i="4" s="1"/>
  <c r="M7" i="4"/>
  <c r="G7" i="4" s="1"/>
  <c r="N7" i="4"/>
  <c r="D7" i="4" s="1"/>
  <c r="O7" i="4"/>
  <c r="L7" i="4"/>
  <c r="K8" i="4"/>
  <c r="C8" i="4" s="1"/>
  <c r="E8" i="4" s="1"/>
  <c r="M8" i="4"/>
  <c r="N8" i="4"/>
  <c r="D8" i="4" s="1"/>
  <c r="O8" i="4"/>
  <c r="L8" i="4"/>
  <c r="K9" i="4"/>
  <c r="C9" i="4" s="1"/>
  <c r="E9" i="4" s="1"/>
  <c r="M9" i="4"/>
  <c r="N9" i="4"/>
  <c r="D9" i="4" s="1"/>
  <c r="O9" i="4"/>
  <c r="L9" i="4"/>
  <c r="F9" i="4"/>
  <c r="K10" i="4"/>
  <c r="C10" i="4" s="1"/>
  <c r="E10" i="4" s="1"/>
  <c r="M10" i="4"/>
  <c r="N10" i="4"/>
  <c r="D10" i="4" s="1"/>
  <c r="O10" i="4"/>
  <c r="L10" i="4"/>
  <c r="H10" i="4" s="1"/>
  <c r="G10" i="4"/>
  <c r="F10" i="4"/>
  <c r="K11" i="4"/>
  <c r="M11" i="4"/>
  <c r="N11" i="4"/>
  <c r="D11" i="4" s="1"/>
  <c r="C11" i="4"/>
  <c r="E11" i="4" s="1"/>
  <c r="O11" i="4"/>
  <c r="L11" i="4"/>
  <c r="G11" i="4"/>
  <c r="F11" i="4"/>
  <c r="K12" i="4"/>
  <c r="M12" i="4"/>
  <c r="F12" i="4" s="1"/>
  <c r="N12" i="4"/>
  <c r="D12" i="4" s="1"/>
  <c r="O12" i="4"/>
  <c r="L12" i="4"/>
  <c r="H12" i="4"/>
  <c r="K13" i="4"/>
  <c r="F13" i="4" s="1"/>
  <c r="M13" i="4"/>
  <c r="N13" i="4"/>
  <c r="D13" i="4" s="1"/>
  <c r="O13" i="4"/>
  <c r="L13" i="4"/>
  <c r="K14" i="4"/>
  <c r="C14" i="4" s="1"/>
  <c r="E14" i="4" s="1"/>
  <c r="M14" i="4"/>
  <c r="N14" i="4"/>
  <c r="D14" i="4" s="1"/>
  <c r="O14" i="4"/>
  <c r="L14" i="4"/>
  <c r="G14" i="4"/>
  <c r="K15" i="4"/>
  <c r="C15" i="4" s="1"/>
  <c r="E15" i="4" s="1"/>
  <c r="M15" i="4"/>
  <c r="N15" i="4"/>
  <c r="D15" i="4" s="1"/>
  <c r="O15" i="4"/>
  <c r="L15" i="4"/>
  <c r="G15" i="4"/>
  <c r="F15" i="4"/>
  <c r="K16" i="4"/>
  <c r="M16" i="4"/>
  <c r="N16" i="4"/>
  <c r="O16" i="4"/>
  <c r="L16" i="4"/>
  <c r="G16" i="4"/>
  <c r="H16" i="4"/>
  <c r="K17" i="4"/>
  <c r="M17" i="4"/>
  <c r="N17" i="4"/>
  <c r="D17" i="4" s="1"/>
  <c r="C17" i="4"/>
  <c r="E17" i="4" s="1"/>
  <c r="O17" i="4"/>
  <c r="L17" i="4"/>
  <c r="F17" i="4"/>
  <c r="K18" i="4"/>
  <c r="C18" i="4" s="1"/>
  <c r="E18" i="4" s="1"/>
  <c r="M18" i="4"/>
  <c r="G18" i="4" s="1"/>
  <c r="N18" i="4"/>
  <c r="D18" i="4" s="1"/>
  <c r="O18" i="4"/>
  <c r="L18" i="4"/>
  <c r="K19" i="4"/>
  <c r="C19" i="4" s="1"/>
  <c r="E19" i="4" s="1"/>
  <c r="M19" i="4"/>
  <c r="N19" i="4"/>
  <c r="D19" i="4" s="1"/>
  <c r="O19" i="4"/>
  <c r="L19" i="4"/>
  <c r="G19" i="4"/>
  <c r="F19" i="4"/>
  <c r="K20" i="4"/>
  <c r="C20" i="4" s="1"/>
  <c r="E20" i="4" s="1"/>
  <c r="M20" i="4"/>
  <c r="N20" i="4"/>
  <c r="D20" i="4" s="1"/>
  <c r="O20" i="4"/>
  <c r="L20" i="4"/>
  <c r="G20" i="4"/>
  <c r="H20" i="4"/>
  <c r="K21" i="4"/>
  <c r="M21" i="4"/>
  <c r="N21" i="4"/>
  <c r="D21" i="4" s="1"/>
  <c r="C21" i="4"/>
  <c r="E21" i="4" s="1"/>
  <c r="O21" i="4"/>
  <c r="L21" i="4"/>
  <c r="F21" i="4"/>
  <c r="K22" i="4"/>
  <c r="M22" i="4"/>
  <c r="F22" i="4" s="1"/>
  <c r="N22" i="4"/>
  <c r="D22" i="4" s="1"/>
  <c r="O22" i="4"/>
  <c r="L22" i="4"/>
  <c r="H22" i="4" s="1"/>
  <c r="K23" i="4"/>
  <c r="M23" i="4"/>
  <c r="N23" i="4"/>
  <c r="O23" i="4"/>
  <c r="D23" i="4"/>
  <c r="L23" i="4"/>
  <c r="G23" i="4" s="1"/>
  <c r="H23" i="4"/>
  <c r="K24" i="4"/>
  <c r="M24" i="4"/>
  <c r="N24" i="4"/>
  <c r="C24" i="4"/>
  <c r="E24" i="4" s="1"/>
  <c r="O24" i="4"/>
  <c r="D24" i="4" s="1"/>
  <c r="L24" i="4"/>
  <c r="G24" i="4"/>
  <c r="F24" i="4"/>
  <c r="H24" i="4"/>
  <c r="K25" i="4"/>
  <c r="M25" i="4"/>
  <c r="C25" i="4" s="1"/>
  <c r="E25" i="4" s="1"/>
  <c r="N25" i="4"/>
  <c r="D25" i="4" s="1"/>
  <c r="O25" i="4"/>
  <c r="L25" i="4"/>
  <c r="H25" i="4" s="1"/>
  <c r="G25" i="4"/>
  <c r="K26" i="4"/>
  <c r="M26" i="4"/>
  <c r="N26" i="4"/>
  <c r="D26" i="4" s="1"/>
  <c r="O26" i="4"/>
  <c r="L26" i="4"/>
  <c r="H26" i="4" s="1"/>
  <c r="G26" i="4"/>
  <c r="K27" i="4"/>
  <c r="H27" i="4" s="1"/>
  <c r="M27" i="4"/>
  <c r="N27" i="4"/>
  <c r="O27" i="4"/>
  <c r="D27" i="4"/>
  <c r="L27" i="4"/>
  <c r="G27" i="4" s="1"/>
  <c r="AA30" i="13"/>
  <c r="A33" i="4"/>
  <c r="A34" i="4"/>
  <c r="A35" i="4"/>
  <c r="A36" i="4"/>
  <c r="Z8" i="13" s="1"/>
  <c r="A37" i="4"/>
  <c r="Z10" i="13" s="1"/>
  <c r="A38" i="4"/>
  <c r="Y7" i="13" s="1"/>
  <c r="A39" i="4"/>
  <c r="A40" i="4"/>
  <c r="A41" i="4"/>
  <c r="A42" i="4"/>
  <c r="A43" i="4"/>
  <c r="A44" i="4"/>
  <c r="A45" i="4"/>
  <c r="A46" i="4"/>
  <c r="Y28" i="13" s="1"/>
  <c r="A47" i="4"/>
  <c r="A48" i="4"/>
  <c r="A49" i="4"/>
  <c r="A50" i="4"/>
  <c r="A51" i="4"/>
  <c r="A52" i="4"/>
  <c r="A53" i="4"/>
  <c r="A54" i="4"/>
  <c r="A55" i="4"/>
  <c r="A56" i="4"/>
  <c r="A62" i="4"/>
  <c r="A63" i="4"/>
  <c r="A64" i="4"/>
  <c r="A65" i="4"/>
  <c r="A66" i="4"/>
  <c r="A67" i="4"/>
  <c r="A68" i="4"/>
  <c r="A69" i="4"/>
  <c r="A70" i="4"/>
  <c r="A71" i="4"/>
  <c r="A72" i="4"/>
  <c r="A73" i="4"/>
  <c r="A74" i="4"/>
  <c r="A75" i="4"/>
  <c r="A76" i="4"/>
  <c r="A77" i="4"/>
  <c r="A78" i="4"/>
  <c r="A79" i="4"/>
  <c r="A80" i="4"/>
  <c r="A81" i="4"/>
  <c r="A82" i="4"/>
  <c r="A83" i="4"/>
  <c r="A84" i="4"/>
  <c r="A85" i="4"/>
  <c r="S7" i="12"/>
  <c r="T7" i="12"/>
  <c r="S8" i="12"/>
  <c r="T8" i="12"/>
  <c r="S9" i="12"/>
  <c r="T9" i="12"/>
  <c r="S10" i="12"/>
  <c r="T10" i="12"/>
  <c r="S11" i="12"/>
  <c r="T11" i="12"/>
  <c r="S12" i="12"/>
  <c r="T12" i="12"/>
  <c r="S13" i="12"/>
  <c r="T13" i="12"/>
  <c r="S14" i="12"/>
  <c r="T14" i="12"/>
  <c r="S15" i="12"/>
  <c r="T15" i="12"/>
  <c r="S16" i="12"/>
  <c r="T16" i="12"/>
  <c r="S17" i="12"/>
  <c r="T17" i="12"/>
  <c r="S18" i="12"/>
  <c r="T18" i="12"/>
  <c r="S19" i="12"/>
  <c r="T19" i="12"/>
  <c r="S21" i="12"/>
  <c r="T21" i="12"/>
  <c r="S22" i="12"/>
  <c r="T22" i="12"/>
  <c r="S23" i="12"/>
  <c r="T23" i="12"/>
  <c r="S24" i="12"/>
  <c r="T24" i="12"/>
  <c r="S25" i="12"/>
  <c r="T25" i="12"/>
  <c r="S26" i="12"/>
  <c r="T26" i="12"/>
  <c r="S27" i="12"/>
  <c r="T27" i="12"/>
  <c r="S28" i="12"/>
  <c r="T28" i="12"/>
  <c r="S29" i="12"/>
  <c r="T29" i="12"/>
  <c r="S30" i="12"/>
  <c r="T30" i="12"/>
  <c r="S31" i="12"/>
  <c r="T31" i="12"/>
  <c r="S32" i="12"/>
  <c r="T32" i="12"/>
  <c r="S33" i="12"/>
  <c r="T33" i="12"/>
  <c r="S34" i="12"/>
  <c r="T34" i="12"/>
  <c r="S35" i="12"/>
  <c r="T35" i="12"/>
  <c r="S36" i="12"/>
  <c r="T36" i="12"/>
  <c r="S37" i="12"/>
  <c r="T37" i="12"/>
  <c r="S38" i="12"/>
  <c r="T38" i="12"/>
  <c r="S39" i="12"/>
  <c r="T39" i="12"/>
  <c r="S40" i="12"/>
  <c r="T40" i="12"/>
  <c r="S41" i="12"/>
  <c r="T41" i="12"/>
  <c r="S42" i="12"/>
  <c r="T42" i="12"/>
  <c r="S43" i="12"/>
  <c r="T43" i="12"/>
  <c r="S44" i="12"/>
  <c r="T44" i="12"/>
  <c r="S45" i="12"/>
  <c r="T45" i="12"/>
  <c r="S46" i="12"/>
  <c r="T46" i="12"/>
  <c r="S47" i="12"/>
  <c r="T47" i="12"/>
  <c r="S48" i="12"/>
  <c r="T48" i="12"/>
  <c r="S49" i="12"/>
  <c r="T49" i="12"/>
  <c r="S50" i="12"/>
  <c r="T50" i="12"/>
  <c r="S51" i="12"/>
  <c r="T51" i="12"/>
  <c r="S52" i="12"/>
  <c r="T52" i="12"/>
  <c r="S53" i="12"/>
  <c r="T53" i="12"/>
  <c r="S54" i="12"/>
  <c r="T54" i="12"/>
  <c r="S55" i="12"/>
  <c r="T55" i="12"/>
  <c r="S56" i="12"/>
  <c r="T56" i="12"/>
  <c r="S57" i="12"/>
  <c r="T57" i="12"/>
  <c r="S58" i="12"/>
  <c r="T58" i="12"/>
  <c r="S59" i="12"/>
  <c r="T59" i="12"/>
  <c r="S60" i="12"/>
  <c r="T60" i="12"/>
  <c r="S61" i="12"/>
  <c r="T61" i="12"/>
  <c r="S62" i="12"/>
  <c r="T62" i="12"/>
  <c r="S63" i="12"/>
  <c r="T63" i="12"/>
  <c r="S64" i="12"/>
  <c r="T64" i="12"/>
  <c r="S65" i="12"/>
  <c r="T65" i="12"/>
  <c r="S66" i="12"/>
  <c r="T66" i="12"/>
  <c r="S67" i="12"/>
  <c r="T67" i="12"/>
  <c r="S68" i="12"/>
  <c r="T68" i="12"/>
  <c r="S69" i="12"/>
  <c r="T69" i="12"/>
  <c r="S70" i="12"/>
  <c r="T70" i="12"/>
  <c r="S71" i="12"/>
  <c r="T71" i="12"/>
  <c r="S72" i="12"/>
  <c r="T72" i="12"/>
  <c r="S73" i="12"/>
  <c r="T73" i="12"/>
  <c r="S74" i="12"/>
  <c r="T74" i="12"/>
  <c r="S75" i="12"/>
  <c r="T75" i="12"/>
  <c r="S76" i="12"/>
  <c r="T76" i="12"/>
  <c r="S77" i="12"/>
  <c r="T77" i="12"/>
  <c r="S78" i="12"/>
  <c r="T78" i="12"/>
  <c r="S79" i="12"/>
  <c r="T79" i="12"/>
  <c r="S80" i="12"/>
  <c r="T80" i="12"/>
  <c r="S81" i="12"/>
  <c r="T81" i="12"/>
  <c r="S82" i="12"/>
  <c r="T82" i="12"/>
  <c r="S83" i="12"/>
  <c r="T83" i="12"/>
  <c r="S84" i="12"/>
  <c r="T84" i="12"/>
  <c r="S85" i="12"/>
  <c r="T85" i="12"/>
  <c r="S86" i="12"/>
  <c r="T86" i="12"/>
  <c r="S87" i="12"/>
  <c r="T87" i="12"/>
  <c r="S88" i="12"/>
  <c r="T88" i="12"/>
  <c r="S89" i="12"/>
  <c r="T89" i="12"/>
  <c r="S90" i="12"/>
  <c r="T90" i="12"/>
  <c r="T6" i="12"/>
  <c r="S6" i="12"/>
  <c r="L3" i="12"/>
  <c r="P3" i="12"/>
  <c r="K3" i="12"/>
  <c r="N3" i="12" s="1"/>
  <c r="M3" i="12"/>
  <c r="F3" i="12"/>
  <c r="H3" i="12"/>
  <c r="I3" i="12"/>
  <c r="L6" i="7"/>
  <c r="M6" i="7"/>
  <c r="N6" i="7"/>
  <c r="O6" i="7"/>
  <c r="L7" i="7"/>
  <c r="M7" i="7"/>
  <c r="N7" i="7"/>
  <c r="O7" i="7"/>
  <c r="L8" i="7"/>
  <c r="M8" i="7"/>
  <c r="N8" i="7"/>
  <c r="O8" i="7"/>
  <c r="L9" i="7"/>
  <c r="M9" i="7"/>
  <c r="N9" i="7"/>
  <c r="O9" i="7"/>
  <c r="L10" i="7"/>
  <c r="M10" i="7"/>
  <c r="N10" i="7"/>
  <c r="O10" i="7"/>
  <c r="L11" i="7"/>
  <c r="M11" i="7"/>
  <c r="N11" i="7"/>
  <c r="O11" i="7"/>
  <c r="L12" i="7"/>
  <c r="M12" i="7"/>
  <c r="N12" i="7"/>
  <c r="O12" i="7"/>
  <c r="L13" i="7"/>
  <c r="M13" i="7"/>
  <c r="N13" i="7"/>
  <c r="O13" i="7"/>
  <c r="L14" i="7"/>
  <c r="M14" i="7"/>
  <c r="N14" i="7"/>
  <c r="O14" i="7"/>
  <c r="L15" i="7"/>
  <c r="M15" i="7"/>
  <c r="N15" i="7"/>
  <c r="O15" i="7"/>
  <c r="L16" i="7"/>
  <c r="M16" i="7"/>
  <c r="N16" i="7"/>
  <c r="O16" i="7"/>
  <c r="L17" i="7"/>
  <c r="M17" i="7"/>
  <c r="N17" i="7"/>
  <c r="O17" i="7"/>
  <c r="L18" i="7"/>
  <c r="M18" i="7"/>
  <c r="N18" i="7"/>
  <c r="O18" i="7"/>
  <c r="L19" i="7"/>
  <c r="M19" i="7"/>
  <c r="N19" i="7"/>
  <c r="O19" i="7"/>
  <c r="L20" i="7"/>
  <c r="M20" i="7"/>
  <c r="N20" i="7"/>
  <c r="O20" i="7"/>
  <c r="L21" i="7"/>
  <c r="M21" i="7"/>
  <c r="N21" i="7"/>
  <c r="O21" i="7"/>
  <c r="L22" i="7"/>
  <c r="M22" i="7"/>
  <c r="N22" i="7"/>
  <c r="O22" i="7"/>
  <c r="L23" i="7"/>
  <c r="M23" i="7"/>
  <c r="N23" i="7"/>
  <c r="O23" i="7"/>
  <c r="L24" i="7"/>
  <c r="M24" i="7"/>
  <c r="N24" i="7"/>
  <c r="O24" i="7"/>
  <c r="L25" i="7"/>
  <c r="M25" i="7"/>
  <c r="N25" i="7"/>
  <c r="O25" i="7"/>
  <c r="L26" i="7"/>
  <c r="M26" i="7"/>
  <c r="N26" i="7"/>
  <c r="O26" i="7"/>
  <c r="L27" i="7"/>
  <c r="M27" i="7"/>
  <c r="N27" i="7"/>
  <c r="O27" i="7"/>
  <c r="L28" i="7"/>
  <c r="M28" i="7"/>
  <c r="N28" i="7"/>
  <c r="O28" i="7"/>
  <c r="L29" i="7"/>
  <c r="M29" i="7"/>
  <c r="N29" i="7"/>
  <c r="O29" i="7"/>
  <c r="P34" i="4"/>
  <c r="P35" i="4"/>
  <c r="P36" i="4"/>
  <c r="P37" i="4"/>
  <c r="P38" i="4"/>
  <c r="P39" i="4"/>
  <c r="P40" i="4"/>
  <c r="P41" i="4"/>
  <c r="P42" i="4"/>
  <c r="P43" i="4"/>
  <c r="P44" i="4"/>
  <c r="P45" i="4"/>
  <c r="P46" i="4"/>
  <c r="P47" i="4"/>
  <c r="P48" i="4"/>
  <c r="P49" i="4"/>
  <c r="P50" i="4"/>
  <c r="P51" i="4"/>
  <c r="P52" i="4"/>
  <c r="P53" i="4"/>
  <c r="P54" i="4"/>
  <c r="P55" i="4"/>
  <c r="P56" i="4"/>
  <c r="P33" i="4"/>
  <c r="C33" i="4"/>
  <c r="E33" i="4" s="1"/>
  <c r="C34" i="4"/>
  <c r="E34" i="4" s="1"/>
  <c r="C35" i="4"/>
  <c r="E35" i="4" s="1"/>
  <c r="C36" i="4"/>
  <c r="C37" i="4"/>
  <c r="E37" i="4" s="1"/>
  <c r="C38" i="4"/>
  <c r="C39" i="4"/>
  <c r="C40" i="4"/>
  <c r="E40" i="4" s="1"/>
  <c r="C41" i="4"/>
  <c r="E41" i="4" s="1"/>
  <c r="C42" i="4"/>
  <c r="E42" i="4" s="1"/>
  <c r="C43" i="4"/>
  <c r="E43" i="4" s="1"/>
  <c r="C44" i="4"/>
  <c r="C45" i="4"/>
  <c r="E45" i="4" s="1"/>
  <c r="C46" i="4"/>
  <c r="C47" i="4"/>
  <c r="C48" i="4"/>
  <c r="C49" i="4"/>
  <c r="C50" i="4"/>
  <c r="E50" i="4" s="1"/>
  <c r="C51" i="4"/>
  <c r="E51" i="4" s="1"/>
  <c r="C52" i="4"/>
  <c r="C53" i="4"/>
  <c r="E53" i="4" s="1"/>
  <c r="C54" i="4"/>
  <c r="C55" i="4"/>
  <c r="C56" i="4"/>
  <c r="E56" i="4" s="1"/>
  <c r="H34" i="4"/>
  <c r="H35" i="4"/>
  <c r="H36" i="4"/>
  <c r="H37" i="4"/>
  <c r="H38" i="4"/>
  <c r="H39" i="4"/>
  <c r="H40" i="4"/>
  <c r="H41" i="4"/>
  <c r="H42" i="4"/>
  <c r="H43" i="4"/>
  <c r="H44" i="4"/>
  <c r="H45" i="4"/>
  <c r="H46" i="4"/>
  <c r="H47" i="4"/>
  <c r="H48" i="4"/>
  <c r="H49" i="4"/>
  <c r="H50" i="4"/>
  <c r="H51" i="4"/>
  <c r="H52" i="4"/>
  <c r="H53" i="4"/>
  <c r="H54" i="4"/>
  <c r="H55" i="4"/>
  <c r="H56" i="4"/>
  <c r="H33" i="4"/>
  <c r="G34" i="4"/>
  <c r="G35" i="4"/>
  <c r="G36" i="4"/>
  <c r="G37" i="4"/>
  <c r="G38" i="4"/>
  <c r="G39" i="4"/>
  <c r="G40" i="4"/>
  <c r="G41" i="4"/>
  <c r="G42" i="4"/>
  <c r="G43" i="4"/>
  <c r="G44" i="4"/>
  <c r="G45" i="4"/>
  <c r="G46" i="4"/>
  <c r="G47" i="4"/>
  <c r="G48" i="4"/>
  <c r="G49" i="4"/>
  <c r="G50" i="4"/>
  <c r="G51" i="4"/>
  <c r="G52" i="4"/>
  <c r="G53" i="4"/>
  <c r="G54" i="4"/>
  <c r="G55" i="4"/>
  <c r="G56" i="4"/>
  <c r="G33" i="4"/>
  <c r="F34" i="4"/>
  <c r="F35" i="4"/>
  <c r="F36" i="4"/>
  <c r="F37" i="4"/>
  <c r="F38" i="4"/>
  <c r="F39" i="4"/>
  <c r="F40" i="4"/>
  <c r="F41" i="4"/>
  <c r="F42" i="4"/>
  <c r="F43" i="4"/>
  <c r="F44" i="4"/>
  <c r="F45" i="4"/>
  <c r="F46" i="4"/>
  <c r="F47" i="4"/>
  <c r="F48" i="4"/>
  <c r="F49" i="4"/>
  <c r="F50" i="4"/>
  <c r="F51" i="4"/>
  <c r="F52" i="4"/>
  <c r="F53" i="4"/>
  <c r="F54" i="4"/>
  <c r="F55" i="4"/>
  <c r="F56" i="4"/>
  <c r="F33" i="4"/>
  <c r="E55" i="4"/>
  <c r="E54" i="4"/>
  <c r="E52" i="4"/>
  <c r="E49" i="4"/>
  <c r="E48" i="4"/>
  <c r="E47" i="4"/>
  <c r="E46" i="4"/>
  <c r="E44" i="4"/>
  <c r="E39" i="4"/>
  <c r="E38" i="4"/>
  <c r="E36" i="4"/>
  <c r="D34" i="4"/>
  <c r="D35" i="4"/>
  <c r="D36" i="4"/>
  <c r="D37" i="4"/>
  <c r="D38" i="4"/>
  <c r="D39" i="4"/>
  <c r="D40" i="4"/>
  <c r="D41" i="4"/>
  <c r="D42" i="4"/>
  <c r="D43" i="4"/>
  <c r="D44" i="4"/>
  <c r="D45" i="4"/>
  <c r="D46" i="4"/>
  <c r="D47" i="4"/>
  <c r="D48" i="4"/>
  <c r="D49" i="4"/>
  <c r="D50" i="4"/>
  <c r="D51" i="4"/>
  <c r="D52" i="4"/>
  <c r="D53" i="4"/>
  <c r="D54" i="4"/>
  <c r="D55" i="4"/>
  <c r="D56" i="4"/>
  <c r="D33" i="4"/>
  <c r="V56" i="4"/>
  <c r="R56" i="4"/>
  <c r="V55" i="4"/>
  <c r="R55" i="4"/>
  <c r="V54" i="4"/>
  <c r="R54" i="4"/>
  <c r="R53" i="4"/>
  <c r="R52" i="4"/>
  <c r="V51" i="4"/>
  <c r="R51" i="4"/>
  <c r="V50" i="4"/>
  <c r="R50" i="4"/>
  <c r="V49" i="4"/>
  <c r="R49" i="4"/>
  <c r="V48" i="4"/>
  <c r="R48" i="4"/>
  <c r="V47" i="4"/>
  <c r="R47" i="4"/>
  <c r="V46" i="4"/>
  <c r="R46" i="4"/>
  <c r="R45" i="4"/>
  <c r="V44" i="4"/>
  <c r="R44" i="4"/>
  <c r="V43" i="4"/>
  <c r="R43" i="4"/>
  <c r="V42" i="4"/>
  <c r="R42" i="4"/>
  <c r="V41" i="4"/>
  <c r="R41" i="4"/>
  <c r="V40" i="4"/>
  <c r="R40" i="4"/>
  <c r="V39" i="4"/>
  <c r="R39" i="4"/>
  <c r="V38" i="4"/>
  <c r="R38" i="4"/>
  <c r="R37" i="4"/>
  <c r="R36" i="4"/>
  <c r="V35" i="4"/>
  <c r="R35" i="4"/>
  <c r="V34" i="4"/>
  <c r="R34" i="4"/>
  <c r="V33" i="4"/>
  <c r="R33" i="4"/>
  <c r="M5" i="7"/>
  <c r="N5" i="7"/>
  <c r="O5" i="7"/>
  <c r="L5" i="7"/>
  <c r="E62" i="4"/>
  <c r="C23" i="4" l="1"/>
  <c r="E23" i="4" s="1"/>
  <c r="F23" i="4"/>
  <c r="F14" i="4"/>
  <c r="N30" i="13"/>
  <c r="E10" i="13"/>
  <c r="L14" i="13"/>
  <c r="F20" i="13"/>
  <c r="N26" i="13"/>
  <c r="K11" i="13"/>
  <c r="K17" i="13"/>
  <c r="K8" i="13"/>
  <c r="F16" i="13"/>
  <c r="J16" i="13"/>
  <c r="F13" i="13"/>
  <c r="M18" i="13"/>
  <c r="Y17" i="13"/>
  <c r="Y12" i="13"/>
  <c r="M14" i="13"/>
  <c r="Z28" i="13"/>
  <c r="V27" i="13"/>
  <c r="G17" i="4"/>
  <c r="H17" i="4"/>
  <c r="Y19" i="13"/>
  <c r="C13" i="4"/>
  <c r="E13" i="4" s="1"/>
  <c r="C22" i="13"/>
  <c r="G7" i="13"/>
  <c r="E30" i="13"/>
  <c r="M27" i="13"/>
  <c r="H25" i="13"/>
  <c r="M22" i="13"/>
  <c r="H19" i="13"/>
  <c r="H16" i="13"/>
  <c r="E12" i="13"/>
  <c r="F32" i="13"/>
  <c r="W15" i="13"/>
  <c r="F25" i="4"/>
  <c r="AA26" i="13"/>
  <c r="Y24" i="13"/>
  <c r="Z23" i="13"/>
  <c r="Z22" i="13"/>
  <c r="Y18" i="13"/>
  <c r="Z17" i="13"/>
  <c r="Y13" i="13"/>
  <c r="Z12" i="13"/>
  <c r="F8" i="4"/>
  <c r="Y8" i="13"/>
  <c r="Z7" i="13"/>
  <c r="C16" i="13"/>
  <c r="L31" i="13"/>
  <c r="H29" i="13"/>
  <c r="E27" i="13"/>
  <c r="K24" i="13"/>
  <c r="E22" i="13"/>
  <c r="F19" i="13"/>
  <c r="F15" i="13"/>
  <c r="M11" i="13"/>
  <c r="F29" i="4"/>
  <c r="C29" i="4"/>
  <c r="E29" i="4" s="1"/>
  <c r="C32" i="13"/>
  <c r="L32" i="13"/>
  <c r="Z32" i="13"/>
  <c r="D32" i="13"/>
  <c r="M32" i="13"/>
  <c r="AA32" i="13"/>
  <c r="I32" i="13"/>
  <c r="W32" i="13"/>
  <c r="E32" i="13"/>
  <c r="J32" i="13"/>
  <c r="V32" i="13"/>
  <c r="H32" i="13"/>
  <c r="K32" i="13"/>
  <c r="Y32" i="13"/>
  <c r="U32" i="13"/>
  <c r="G32" i="13"/>
  <c r="N31" i="13"/>
  <c r="Y23" i="13"/>
  <c r="H8" i="4"/>
  <c r="G5" i="4"/>
  <c r="H5" i="4"/>
  <c r="V7" i="13"/>
  <c r="Z21" i="13"/>
  <c r="H31" i="13"/>
  <c r="G24" i="13"/>
  <c r="K10" i="13"/>
  <c r="F18" i="4"/>
  <c r="Y11" i="13"/>
  <c r="C31" i="13"/>
  <c r="G31" i="13"/>
  <c r="L26" i="13"/>
  <c r="H21" i="13"/>
  <c r="L13" i="13"/>
  <c r="F26" i="4"/>
  <c r="V26" i="13"/>
  <c r="C22" i="4"/>
  <c r="E22" i="4" s="1"/>
  <c r="Y21" i="13"/>
  <c r="Z20" i="13"/>
  <c r="F16" i="4"/>
  <c r="H14" i="4"/>
  <c r="Y16" i="13"/>
  <c r="Z15" i="13"/>
  <c r="Z14" i="13"/>
  <c r="G8" i="4"/>
  <c r="Y10" i="13"/>
  <c r="C25" i="13"/>
  <c r="D7" i="13"/>
  <c r="K30" i="13"/>
  <c r="G28" i="13"/>
  <c r="M25" i="13"/>
  <c r="G23" i="13"/>
  <c r="L20" i="13"/>
  <c r="L17" i="13"/>
  <c r="K13" i="13"/>
  <c r="F9" i="13"/>
  <c r="J31" i="13"/>
  <c r="AA27" i="13"/>
  <c r="G21" i="4"/>
  <c r="H21" i="4"/>
  <c r="C27" i="4"/>
  <c r="E27" i="4" s="1"/>
  <c r="F27" i="4"/>
  <c r="Z16" i="13"/>
  <c r="Z11" i="13"/>
  <c r="C14" i="13"/>
  <c r="M26" i="13"/>
  <c r="E18" i="13"/>
  <c r="U24" i="13"/>
  <c r="Z27" i="13"/>
  <c r="D16" i="4"/>
  <c r="C12" i="4"/>
  <c r="E12" i="4" s="1"/>
  <c r="G9" i="4"/>
  <c r="H9" i="4"/>
  <c r="F7" i="4"/>
  <c r="C13" i="13"/>
  <c r="D29" i="13"/>
  <c r="F24" i="13"/>
  <c r="M17" i="13"/>
  <c r="F10" i="13"/>
  <c r="V30" i="13"/>
  <c r="C26" i="4"/>
  <c r="E26" i="4" s="1"/>
  <c r="Y25" i="13"/>
  <c r="C16" i="4"/>
  <c r="E16" i="4" s="1"/>
  <c r="G13" i="4"/>
  <c r="H13" i="4"/>
  <c r="C24" i="13"/>
  <c r="E7" i="13"/>
  <c r="H30" i="13"/>
  <c r="E28" i="13"/>
  <c r="L25" i="13"/>
  <c r="F23" i="13"/>
  <c r="K20" i="13"/>
  <c r="L16" i="13"/>
  <c r="H13" i="13"/>
  <c r="M8" i="13"/>
  <c r="J27" i="13"/>
  <c r="N17" i="13"/>
  <c r="N11" i="13"/>
  <c r="I15" i="13"/>
  <c r="Y22" i="13"/>
  <c r="C7" i="13"/>
  <c r="E29" i="13"/>
  <c r="L21" i="13"/>
  <c r="N13" i="13"/>
  <c r="AA31" i="13"/>
  <c r="Y29" i="13"/>
  <c r="G22" i="4"/>
  <c r="Z24" i="13"/>
  <c r="F20" i="4"/>
  <c r="H18" i="4"/>
  <c r="Y20" i="13"/>
  <c r="Z19" i="13"/>
  <c r="Z18" i="13"/>
  <c r="G12" i="4"/>
  <c r="Y14" i="13"/>
  <c r="Z13" i="13"/>
  <c r="Y9" i="13"/>
  <c r="F4" i="4"/>
  <c r="C23" i="13"/>
  <c r="F7" i="13"/>
  <c r="G30" i="13"/>
  <c r="D28" i="13"/>
  <c r="K25" i="13"/>
  <c r="E23" i="13"/>
  <c r="G20" i="13"/>
  <c r="K16" i="13"/>
  <c r="F12" i="13"/>
  <c r="L8" i="13"/>
  <c r="J19" i="13"/>
  <c r="W23" i="13"/>
  <c r="V31" i="13"/>
  <c r="AA23" i="13"/>
  <c r="AA22" i="13"/>
  <c r="AA19" i="13"/>
  <c r="AA18" i="13"/>
  <c r="AA15" i="13"/>
  <c r="AA14" i="13"/>
  <c r="AA11" i="13"/>
  <c r="AA10" i="13"/>
  <c r="AA7" i="13"/>
  <c r="C27" i="13"/>
  <c r="C17" i="13"/>
  <c r="C8" i="13"/>
  <c r="M31" i="13"/>
  <c r="L30" i="13"/>
  <c r="K29" i="13"/>
  <c r="H28" i="13"/>
  <c r="G27" i="13"/>
  <c r="E26" i="13"/>
  <c r="L24" i="13"/>
  <c r="H23" i="13"/>
  <c r="F22" i="13"/>
  <c r="M20" i="13"/>
  <c r="K19" i="13"/>
  <c r="G18" i="13"/>
  <c r="M16" i="13"/>
  <c r="H15" i="13"/>
  <c r="M13" i="13"/>
  <c r="H12" i="13"/>
  <c r="M10" i="13"/>
  <c r="H9" i="13"/>
  <c r="N21" i="13"/>
  <c r="N18" i="13"/>
  <c r="N15" i="13"/>
  <c r="P15" i="13" s="1"/>
  <c r="I11" i="13"/>
  <c r="W19" i="13"/>
  <c r="Z31" i="13"/>
  <c r="Z30" i="13"/>
  <c r="AA29" i="13"/>
  <c r="V29" i="13"/>
  <c r="Y27" i="13"/>
  <c r="Z26" i="13"/>
  <c r="AA25" i="13"/>
  <c r="V25" i="13"/>
  <c r="H19" i="4"/>
  <c r="H15" i="4"/>
  <c r="H11" i="4"/>
  <c r="H7" i="4"/>
  <c r="C30" i="13"/>
  <c r="C21" i="13"/>
  <c r="C12" i="13"/>
  <c r="H7" i="13"/>
  <c r="E31" i="13"/>
  <c r="D30" i="13"/>
  <c r="M28" i="13"/>
  <c r="L27" i="13"/>
  <c r="K26" i="13"/>
  <c r="G25" i="13"/>
  <c r="E24" i="13"/>
  <c r="K22" i="13"/>
  <c r="G21" i="13"/>
  <c r="E20" i="13"/>
  <c r="L18" i="13"/>
  <c r="H17" i="13"/>
  <c r="E16" i="13"/>
  <c r="K14" i="13"/>
  <c r="M12" i="13"/>
  <c r="H11" i="13"/>
  <c r="M9" i="13"/>
  <c r="H8" i="13"/>
  <c r="U10" i="13"/>
  <c r="U14" i="13"/>
  <c r="U18" i="13"/>
  <c r="U22" i="13"/>
  <c r="U26" i="13"/>
  <c r="U30" i="13"/>
  <c r="W10" i="13"/>
  <c r="W18" i="13"/>
  <c r="W26" i="13"/>
  <c r="U7" i="13"/>
  <c r="W13" i="13"/>
  <c r="W21" i="13"/>
  <c r="W29" i="13"/>
  <c r="U9" i="13"/>
  <c r="U13" i="13"/>
  <c r="U17" i="13"/>
  <c r="U21" i="13"/>
  <c r="U25" i="13"/>
  <c r="U29" i="13"/>
  <c r="W8" i="13"/>
  <c r="W16" i="13"/>
  <c r="W24" i="13"/>
  <c r="W28" i="13"/>
  <c r="U20" i="13"/>
  <c r="W7" i="13"/>
  <c r="U16" i="13"/>
  <c r="W9" i="13"/>
  <c r="W17" i="13"/>
  <c r="W25" i="13"/>
  <c r="U12" i="13"/>
  <c r="W14" i="13"/>
  <c r="W22" i="13"/>
  <c r="W30" i="13"/>
  <c r="U28" i="13"/>
  <c r="J15" i="13"/>
  <c r="I7" i="13"/>
  <c r="I9" i="13"/>
  <c r="I13" i="13"/>
  <c r="I17" i="13"/>
  <c r="I21" i="13"/>
  <c r="I25" i="13"/>
  <c r="I29" i="13"/>
  <c r="J12" i="13"/>
  <c r="J20" i="13"/>
  <c r="J28" i="13"/>
  <c r="J13" i="13"/>
  <c r="J21" i="13"/>
  <c r="J29" i="13"/>
  <c r="G8" i="13"/>
  <c r="G9" i="13"/>
  <c r="G10" i="13"/>
  <c r="G11" i="13"/>
  <c r="G12" i="13"/>
  <c r="G13" i="13"/>
  <c r="G14" i="13"/>
  <c r="G15" i="13"/>
  <c r="G16" i="13"/>
  <c r="I8" i="13"/>
  <c r="I12" i="13"/>
  <c r="I16" i="13"/>
  <c r="I20" i="13"/>
  <c r="I24" i="13"/>
  <c r="I28" i="13"/>
  <c r="J14" i="13"/>
  <c r="J22" i="13"/>
  <c r="J30" i="13"/>
  <c r="J10" i="13"/>
  <c r="J18" i="13"/>
  <c r="J26" i="13"/>
  <c r="D8" i="13"/>
  <c r="D9" i="13"/>
  <c r="D10" i="13"/>
  <c r="D11" i="13"/>
  <c r="D12" i="13"/>
  <c r="D13" i="13"/>
  <c r="D14" i="13"/>
  <c r="D15" i="13"/>
  <c r="D16" i="13"/>
  <c r="D17" i="13"/>
  <c r="D18" i="13"/>
  <c r="D19" i="13"/>
  <c r="D20" i="13"/>
  <c r="D21" i="13"/>
  <c r="D22" i="13"/>
  <c r="D23" i="13"/>
  <c r="D24" i="13"/>
  <c r="D25" i="13"/>
  <c r="D26" i="13"/>
  <c r="N14" i="13"/>
  <c r="N27" i="13"/>
  <c r="J7" i="13"/>
  <c r="J23" i="13"/>
  <c r="N10" i="13"/>
  <c r="P10" i="13" s="1"/>
  <c r="N23" i="13"/>
  <c r="I27" i="13"/>
  <c r="N29" i="13"/>
  <c r="P29" i="13" s="1"/>
  <c r="J8" i="13"/>
  <c r="J24" i="13"/>
  <c r="N19" i="13"/>
  <c r="I23" i="13"/>
  <c r="N25" i="13"/>
  <c r="P25" i="13" s="1"/>
  <c r="J9" i="13"/>
  <c r="J25" i="13"/>
  <c r="N9" i="13"/>
  <c r="N22" i="13"/>
  <c r="J17" i="13"/>
  <c r="E9" i="13"/>
  <c r="H10" i="13"/>
  <c r="L11" i="13"/>
  <c r="E13" i="13"/>
  <c r="H14" i="13"/>
  <c r="L15" i="13"/>
  <c r="E17" i="13"/>
  <c r="F18" i="13"/>
  <c r="G19" i="13"/>
  <c r="H20" i="13"/>
  <c r="K21" i="13"/>
  <c r="L22" i="13"/>
  <c r="M23" i="13"/>
  <c r="E25" i="13"/>
  <c r="F26" i="13"/>
  <c r="F27" i="13"/>
  <c r="F28" i="13"/>
  <c r="F29" i="13"/>
  <c r="F30" i="13"/>
  <c r="K7" i="13"/>
  <c r="C10" i="13"/>
  <c r="C18" i="13"/>
  <c r="C26" i="13"/>
  <c r="Y31" i="13"/>
  <c r="V24" i="13"/>
  <c r="V21" i="13"/>
  <c r="V20" i="13"/>
  <c r="V17" i="13"/>
  <c r="V16" i="13"/>
  <c r="V13" i="13"/>
  <c r="V12" i="13"/>
  <c r="V9" i="13"/>
  <c r="V8" i="13"/>
  <c r="C29" i="13"/>
  <c r="C20" i="13"/>
  <c r="C11" i="13"/>
  <c r="L7" i="13"/>
  <c r="D31" i="13"/>
  <c r="M29" i="13"/>
  <c r="L28" i="13"/>
  <c r="K27" i="13"/>
  <c r="H26" i="13"/>
  <c r="F25" i="13"/>
  <c r="L23" i="13"/>
  <c r="H22" i="13"/>
  <c r="F21" i="13"/>
  <c r="M19" i="13"/>
  <c r="K18" i="13"/>
  <c r="G17" i="13"/>
  <c r="M15" i="13"/>
  <c r="F14" i="13"/>
  <c r="L12" i="13"/>
  <c r="F11" i="13"/>
  <c r="L9" i="13"/>
  <c r="F8" i="13"/>
  <c r="D29" i="4"/>
  <c r="I31" i="13"/>
  <c r="J11" i="13"/>
  <c r="W31" i="13"/>
  <c r="W27" i="13"/>
  <c r="I19" i="13"/>
  <c r="N8" i="13"/>
  <c r="P8" i="13" s="1"/>
  <c r="Y30" i="13"/>
  <c r="Z29" i="13"/>
  <c r="AA28" i="13"/>
  <c r="V28" i="13"/>
  <c r="Y26" i="13"/>
  <c r="Z25" i="13"/>
  <c r="AA24" i="13"/>
  <c r="V23" i="13"/>
  <c r="V22" i="13"/>
  <c r="AA21" i="13"/>
  <c r="AA20" i="13"/>
  <c r="V19" i="13"/>
  <c r="V18" i="13"/>
  <c r="AA17" i="13"/>
  <c r="AA16" i="13"/>
  <c r="V15" i="13"/>
  <c r="V14" i="13"/>
  <c r="AA13" i="13"/>
  <c r="AA12" i="13"/>
  <c r="V11" i="13"/>
  <c r="V10" i="13"/>
  <c r="AA9" i="13"/>
  <c r="AA8" i="13"/>
  <c r="C28" i="13"/>
  <c r="C19" i="13"/>
  <c r="C9" i="13"/>
  <c r="M7" i="13"/>
  <c r="M30" i="13"/>
  <c r="L29" i="13"/>
  <c r="K28" i="13"/>
  <c r="H27" i="13"/>
  <c r="G26" i="13"/>
  <c r="M24" i="13"/>
  <c r="K23" i="13"/>
  <c r="G22" i="13"/>
  <c r="E21" i="13"/>
  <c r="L19" i="13"/>
  <c r="H18" i="13"/>
  <c r="F17" i="13"/>
  <c r="K15" i="13"/>
  <c r="E14" i="13"/>
  <c r="K12" i="13"/>
  <c r="E11" i="13"/>
  <c r="K9" i="13"/>
  <c r="E8" i="13"/>
  <c r="U8" i="13"/>
  <c r="F31" i="13"/>
  <c r="C28" i="4"/>
  <c r="E28" i="4" s="1"/>
  <c r="W20" i="13"/>
  <c r="W12" i="13"/>
  <c r="N7" i="13"/>
  <c r="U31" i="13"/>
  <c r="I30" i="13"/>
  <c r="U27" i="13"/>
  <c r="I26" i="13"/>
  <c r="U23" i="13"/>
  <c r="I22" i="13"/>
  <c r="U19" i="13"/>
  <c r="I18" i="13"/>
  <c r="U15" i="13"/>
  <c r="I14" i="13"/>
  <c r="U11" i="13"/>
  <c r="I10" i="13"/>
  <c r="N32" i="13"/>
  <c r="P32" i="13" s="1"/>
  <c r="N28" i="13"/>
  <c r="N24" i="13"/>
  <c r="P24" i="13" s="1"/>
  <c r="N20" i="13"/>
  <c r="N16" i="13"/>
  <c r="P16" i="13" s="1"/>
  <c r="N12" i="13"/>
  <c r="P12" i="13" s="1"/>
  <c r="AC12" i="13" l="1"/>
  <c r="AD12" i="13"/>
  <c r="P26" i="13"/>
  <c r="P23" i="13"/>
  <c r="AC25" i="13"/>
  <c r="AD25" i="13"/>
  <c r="R28" i="13"/>
  <c r="R7" i="13"/>
  <c r="R8" i="13"/>
  <c r="R10" i="13"/>
  <c r="R11" i="13"/>
  <c r="R12" i="13"/>
  <c r="R14" i="13"/>
  <c r="R15" i="13"/>
  <c r="R16" i="13"/>
  <c r="R18" i="13"/>
  <c r="R19" i="13"/>
  <c r="R20" i="13"/>
  <c r="R22" i="13"/>
  <c r="R23" i="13"/>
  <c r="R24" i="13"/>
  <c r="R9" i="13"/>
  <c r="R13" i="13"/>
  <c r="R17" i="13"/>
  <c r="R21" i="13"/>
  <c r="R25" i="13"/>
  <c r="R29" i="13"/>
  <c r="R32" i="13"/>
  <c r="R6" i="13" s="1"/>
  <c r="R27" i="13"/>
  <c r="R30" i="13"/>
  <c r="R26" i="13"/>
  <c r="R31" i="13"/>
  <c r="P30" i="13"/>
  <c r="AD24" i="13"/>
  <c r="AC24" i="13"/>
  <c r="P27" i="13"/>
  <c r="P21" i="13"/>
  <c r="P11" i="13"/>
  <c r="P31" i="13"/>
  <c r="AD10" i="13"/>
  <c r="AC10" i="13"/>
  <c r="P20" i="13"/>
  <c r="P18" i="13"/>
  <c r="P28" i="13"/>
  <c r="P22" i="13"/>
  <c r="P14" i="13"/>
  <c r="P17" i="13"/>
  <c r="AD16" i="13"/>
  <c r="AC16" i="13"/>
  <c r="Q32" i="13"/>
  <c r="Q6" i="13" s="1"/>
  <c r="Q10" i="13"/>
  <c r="Q14" i="13"/>
  <c r="Q18" i="13"/>
  <c r="Q22" i="13"/>
  <c r="Q7" i="13"/>
  <c r="Q8" i="13"/>
  <c r="Q11" i="13"/>
  <c r="Q12" i="13"/>
  <c r="Q15" i="13"/>
  <c r="Q16" i="13"/>
  <c r="Q19" i="13"/>
  <c r="Q20" i="13"/>
  <c r="Q23" i="13"/>
  <c r="Q24" i="13"/>
  <c r="Q9" i="13"/>
  <c r="Q13" i="13"/>
  <c r="Q17" i="13"/>
  <c r="Q21" i="13"/>
  <c r="Q25" i="13"/>
  <c r="Q29" i="13"/>
  <c r="Q28" i="13"/>
  <c r="Q30" i="13"/>
  <c r="Q26" i="13"/>
  <c r="Q31" i="13"/>
  <c r="Q27" i="13"/>
  <c r="AC15" i="13"/>
  <c r="AD15" i="13"/>
  <c r="P7" i="13"/>
  <c r="P19" i="13"/>
  <c r="AD32" i="13"/>
  <c r="AC32" i="13"/>
  <c r="AD8" i="13"/>
  <c r="AC8" i="13"/>
  <c r="P9" i="13"/>
  <c r="AC29" i="13"/>
  <c r="AD29" i="13"/>
  <c r="P13" i="13"/>
  <c r="AD7" i="13" l="1"/>
  <c r="AC7" i="13"/>
  <c r="S32" i="13"/>
  <c r="S6" i="13" s="1"/>
  <c r="S9" i="13"/>
  <c r="S13" i="13"/>
  <c r="S17" i="13"/>
  <c r="S21" i="13"/>
  <c r="S28" i="13"/>
  <c r="S7" i="13"/>
  <c r="S8" i="13"/>
  <c r="S10" i="13"/>
  <c r="S11" i="13"/>
  <c r="S12" i="13"/>
  <c r="S14" i="13"/>
  <c r="S15" i="13"/>
  <c r="S16" i="13"/>
  <c r="S18" i="13"/>
  <c r="S19" i="13"/>
  <c r="S20" i="13"/>
  <c r="S22" i="13"/>
  <c r="S23" i="13"/>
  <c r="S24" i="13"/>
  <c r="S27" i="13"/>
  <c r="S31" i="13"/>
  <c r="S29" i="13"/>
  <c r="S25" i="13"/>
  <c r="S26" i="13"/>
  <c r="S30" i="13"/>
  <c r="AD11" i="13"/>
  <c r="AC11" i="13"/>
  <c r="AD22" i="13"/>
  <c r="AC22" i="13"/>
  <c r="AC21" i="13"/>
  <c r="AD21" i="13"/>
  <c r="AC9" i="13"/>
  <c r="AD9" i="13"/>
  <c r="AD28" i="13"/>
  <c r="AC28" i="13"/>
  <c r="AC27" i="13"/>
  <c r="AD27" i="13"/>
  <c r="AC23" i="13"/>
  <c r="AD23" i="13"/>
  <c r="AD18" i="13"/>
  <c r="AC18" i="13"/>
  <c r="AD20" i="13"/>
  <c r="AC20" i="13"/>
  <c r="AD30" i="13"/>
  <c r="AC30" i="13"/>
  <c r="AC13" i="13"/>
  <c r="AD13" i="13"/>
  <c r="AD19" i="13"/>
  <c r="AC19" i="13"/>
  <c r="AC17" i="13"/>
  <c r="AD17" i="13"/>
  <c r="AC31" i="13"/>
  <c r="AD31" i="13"/>
  <c r="AD26" i="13"/>
  <c r="AC26" i="13"/>
  <c r="AD14" i="13"/>
  <c r="AC14" i="13"/>
</calcChain>
</file>

<file path=xl/comments1.xml><?xml version="1.0" encoding="utf-8"?>
<comments xmlns="http://schemas.openxmlformats.org/spreadsheetml/2006/main">
  <authors>
    <author>Christopher Hays</author>
    <author>Neha Khoda</author>
  </authors>
  <commentList>
    <comment ref="A1" authorId="0">
      <text>
        <r>
          <rPr>
            <sz val="10"/>
            <color indexed="81"/>
            <rFont val="Tahoma"/>
            <family val="2"/>
          </rPr>
          <t xml:space="preserve">Run SQLs in cells B2 and R2:
</t>
        </r>
        <r>
          <rPr>
            <b/>
            <sz val="10"/>
            <color indexed="81"/>
            <rFont val="Tahoma"/>
            <family val="2"/>
          </rPr>
          <t>B2</t>
        </r>
        <r>
          <rPr>
            <sz val="10"/>
            <color indexed="81"/>
            <rFont val="Tahoma"/>
            <family val="2"/>
          </rPr>
          <t xml:space="preserve"> is going to show total debt, ebitda, leverage for current quarter, previous quarter, and quarter one year prior(need to change date manually).
</t>
        </r>
        <r>
          <rPr>
            <b/>
            <sz val="10"/>
            <color indexed="81"/>
            <rFont val="Tahoma"/>
            <family val="2"/>
          </rPr>
          <t>R2</t>
        </r>
        <r>
          <rPr>
            <sz val="10"/>
            <color indexed="81"/>
            <rFont val="Tahoma"/>
            <family val="2"/>
          </rPr>
          <t xml:space="preserve"> gives total debt and leverage for all issuers in the database as of previous quarter (need to change date manually).
first compare QoQ and YoY in columns A-N, but if changes you're seeing in leverage are still unexplainable then do a vlookup from Column W of Tickers that reported last quarter which are not yet inclued in current quarters data.
</t>
        </r>
      </text>
    </comment>
    <comment ref="B5" authorId="1">
      <text>
        <r>
          <rPr>
            <b/>
            <sz val="10"/>
            <color indexed="57"/>
            <rFont val="Tahoma"/>
            <family val="2"/>
          </rPr>
          <t xml:space="preserve">select tab2012.reportdate, tab2012.tickerbond, tab2012.SectorMLILevel4,  tab2012.RatingMLAlphaNumeric, tab2012.newAnalystData, tab2012.newTD, tab2012.newEbitda, tab2012.newLtmEbitda, tab2012.newLeverage, tab2012.oldAnalystData, tab2012.oldTD, tab2012.oldEbitda, tab2012.oldLtmEbitda, tab2012.OldLeverage, tab2011.newAnalystData, tab2011.newTD, tab2011.newEBITDA, tab2011.newLeverage
</t>
        </r>
        <r>
          <rPr>
            <sz val="10"/>
            <color indexed="81"/>
            <rFont val="Tahoma"/>
            <family val="2"/>
          </rPr>
          <t xml:space="preserve">FROM (SELECT a.reportdate, a.tickerbond, a.RatingMLAlphaNumeric, c.SectorMLILevel4, a.IsManualEntry as NewAnalystData, SUM(a.TotalDebt) as newTD, SUM(a.EBITDA) as newEbitda, SUM(a.LtmEBITDA) as newLtmEbitda, SUM(a.TotalDebt)/SUM(a.LtmEBITDA) AS newLeverage, SUM(b.TotalDebt) as oldTD, SUM(b.EBITDA) as oldEbitda, SUM(b.LtmEBITDA) as oldLtmEbitda, SUM(b.TotalDebt)/SUM(b.LtmEBITDA) AS OldLeverage, b.IsManualEntry as OldAnalystData
FROM tblHysBalanceSheetMetrics </t>
        </r>
        <r>
          <rPr>
            <b/>
            <sz val="10"/>
            <color indexed="81"/>
            <rFont val="Tahoma"/>
            <family val="2"/>
          </rPr>
          <t>a</t>
        </r>
        <r>
          <rPr>
            <sz val="10"/>
            <color indexed="81"/>
            <rFont val="Tahoma"/>
            <family val="2"/>
          </rPr>
          <t xml:space="preserve">
INNER JOIN (SELECT ReportDate, TickerBond, EBITDA, LtmEBITDA, TotalDebt, IsManualEntry, ExcludeFromYOYCalcs, ExcludeFromPointInTimeCalcs FROM tblHysBalanceSheetMetrics WHERE TotalDebt is not null AND EBITDA is not null And ExcludeFromYOYCalcs=0 and InterpolatedDatapoint=0 AND Revenues is not null  AND COGS is not null And Tickerbond in (select distinct tickerbond from tblHysMapBondToEqtyTickers where EMDMFlag='EM')) </t>
        </r>
        <r>
          <rPr>
            <b/>
            <sz val="10"/>
            <color indexed="81"/>
            <rFont val="Tahoma"/>
            <family val="2"/>
          </rPr>
          <t>b</t>
        </r>
        <r>
          <rPr>
            <sz val="10"/>
            <color indexed="81"/>
            <rFont val="Tahoma"/>
            <family val="2"/>
          </rPr>
          <t xml:space="preserve">
ON a.TickerBond = b.TickerBond </t>
        </r>
        <r>
          <rPr>
            <b/>
            <sz val="10"/>
            <color indexed="81"/>
            <rFont val="Tahoma"/>
            <family val="2"/>
          </rPr>
          <t>left join</t>
        </r>
        <r>
          <rPr>
            <sz val="10"/>
            <color indexed="81"/>
            <rFont val="Tahoma"/>
            <family val="2"/>
          </rPr>
          <t xml:space="preserve"> tblHysMapBondToEqtyTickers </t>
        </r>
        <r>
          <rPr>
            <b/>
            <sz val="10"/>
            <color indexed="81"/>
            <rFont val="Tahoma"/>
            <family val="2"/>
          </rPr>
          <t>c</t>
        </r>
        <r>
          <rPr>
            <sz val="10"/>
            <color indexed="81"/>
            <rFont val="Tahoma"/>
            <family val="2"/>
          </rPr>
          <t xml:space="preserve"> on a.tickerbond = c.tickerbond and c.EndDate is null 
WHERE a.reportdate =</t>
        </r>
        <r>
          <rPr>
            <sz val="10"/>
            <color indexed="48"/>
            <rFont val="Tahoma"/>
            <family val="2"/>
          </rPr>
          <t xml:space="preserve"> '6/30/2012'</t>
        </r>
        <r>
          <rPr>
            <sz val="10"/>
            <color indexed="81"/>
            <rFont val="Tahoma"/>
            <family val="2"/>
          </rPr>
          <t xml:space="preserve">
And a.Tickerbond in (select distinct tickerbond from tblHysMapBondToEqtyTickers where EMDMFlag='EM') AND </t>
        </r>
        <r>
          <rPr>
            <sz val="10"/>
            <color indexed="48"/>
            <rFont val="Tahoma"/>
            <family val="2"/>
          </rPr>
          <t>a.ReportDate = (DATEADD(d, -DAY(DATEADD(m,1,DATEADD(mm, 3, b.ReportDate))),DATEADD(m,1,DATEADD(mm, 3, b.ReportDate))))</t>
        </r>
        <r>
          <rPr>
            <sz val="10"/>
            <color indexed="81"/>
            <rFont val="Tahoma"/>
            <family val="2"/>
          </rPr>
          <t xml:space="preserve">
AND a.RatingMLAlphaNumeric IS NOT NULL AND a.TotalDebt is not null AND a.LtmEbitda is not null AND a.EBITDA is not null AND a.Revenues is not null AND a.COGS is not null And a.ExcludeFromYOYCalcs=0 AND a.InterpolatedDatapoint =0
GROUP BY a.reportdate,a.tickerbond,a.IsManualEntry,b.IsManualEntry,a.RatingMLAlphaNumeric,c.SectorMLILevel4)</t>
        </r>
        <r>
          <rPr>
            <sz val="10"/>
            <color indexed="10"/>
            <rFont val="Tahoma"/>
            <family val="2"/>
          </rPr>
          <t xml:space="preserve"> tab2012</t>
        </r>
        <r>
          <rPr>
            <sz val="10"/>
            <color indexed="81"/>
            <rFont val="Tahoma"/>
            <family val="2"/>
          </rPr>
          <t xml:space="preserve">
</t>
        </r>
        <r>
          <rPr>
            <b/>
            <sz val="10"/>
            <color indexed="81"/>
            <rFont val="Tahoma"/>
            <family val="2"/>
          </rPr>
          <t xml:space="preserve">INNER JOIN
</t>
        </r>
        <r>
          <rPr>
            <sz val="10"/>
            <color indexed="81"/>
            <rFont val="Tahoma"/>
            <family val="2"/>
          </rPr>
          <t xml:space="preserve"> 
(SELECT a.reportdate, a.tickerbond, a.IsManualEntry as newAnalystData, SUM(a.EBITDA) as newEbitda, SUM(a.TotalDebt) as newTD, SUM(a.TotalDebt)/SUM(a.LtmEBITDA) as newLeverage, SUM(b.EBITDA) as oldEbitda, SUM(b.TotalDebt) as oldTD 
FROM tblHysBalanceSheetMetrics </t>
        </r>
        <r>
          <rPr>
            <b/>
            <sz val="10"/>
            <color indexed="81"/>
            <rFont val="Tahoma"/>
            <family val="2"/>
          </rPr>
          <t>a</t>
        </r>
        <r>
          <rPr>
            <sz val="10"/>
            <color indexed="81"/>
            <rFont val="Tahoma"/>
            <family val="2"/>
          </rPr>
          <t xml:space="preserve"> 
INNER JOIN (SELECT ReportDate, TickerBond, EBITDA, TotalDebt, ExcludeFromYOYCalcs, ExcludeFromPointInTimeCalcs FROM tblHysBalanceSheetMetrics 
WHERE TotalDebt is not null AND EBITDA is not null And ExcludeFromYOYCalcs=0 and InterpolatedDatapoint=0 AND Revenues is not null AND COGS is not null 
And Tickerbond in (select distinct tickerbond from tblHysMapBondToEqtyTickers where EMDMFlag='EM')) </t>
        </r>
        <r>
          <rPr>
            <b/>
            <sz val="10"/>
            <color indexed="81"/>
            <rFont val="Tahoma"/>
            <family val="2"/>
          </rPr>
          <t>b</t>
        </r>
        <r>
          <rPr>
            <sz val="10"/>
            <color indexed="81"/>
            <rFont val="Tahoma"/>
            <family val="2"/>
          </rPr>
          <t xml:space="preserve"> 
ON a.TickerBond = b.TickerBond 
WHERE a.reportdate = </t>
        </r>
        <r>
          <rPr>
            <sz val="10"/>
            <color indexed="48"/>
            <rFont val="Tahoma"/>
            <family val="2"/>
          </rPr>
          <t>'6/30/2011'</t>
        </r>
        <r>
          <rPr>
            <sz val="10"/>
            <color indexed="81"/>
            <rFont val="Tahoma"/>
            <family val="2"/>
          </rPr>
          <t xml:space="preserve">
And a.Tickerbond in (select distinct tickerbond from tblHysMapBondToEqtyTickers where EMDMFlag='EM') AND </t>
        </r>
        <r>
          <rPr>
            <sz val="10"/>
            <color indexed="48"/>
            <rFont val="Tahoma"/>
            <family val="2"/>
          </rPr>
          <t>a.ReportDate = (DATEADD(d, -DAY(DATEADD(m,1,DATEADD(mm, 3, b.ReportDate))),DATEADD(m,1,DATEADD(mm, 3, b.ReportDate))))</t>
        </r>
        <r>
          <rPr>
            <sz val="10"/>
            <color indexed="81"/>
            <rFont val="Tahoma"/>
            <family val="2"/>
          </rPr>
          <t xml:space="preserve">
AND a.RatingMLAlphaNumeric IS NOT NULL AND a.TotalDebt is not null AND a.EBITDA is not null AND a.Revenues is not null AND a.COGS is not null And a.ExcludeFromYOYCalcs=0 AND a.InterpolatedDatapoint =0
GROUP BY a.reportdate,a.tickerbond, a.IsManualEntry) </t>
        </r>
        <r>
          <rPr>
            <sz val="10"/>
            <color indexed="10"/>
            <rFont val="Tahoma"/>
            <family val="2"/>
          </rPr>
          <t>tab2011</t>
        </r>
        <r>
          <rPr>
            <sz val="10"/>
            <color indexed="81"/>
            <rFont val="Tahoma"/>
            <family val="2"/>
          </rPr>
          <t xml:space="preserve">
ON tab2012.tickerbond = tab2011.tickerbond
ORDER BY tab2012.tickerbond
</t>
        </r>
      </text>
    </comment>
    <comment ref="W5" authorId="1">
      <text>
        <r>
          <rPr>
            <sz val="10"/>
            <color indexed="81"/>
            <rFont val="Tahoma"/>
            <family val="2"/>
          </rPr>
          <t>SELECT ReportDate, TickerBond, RatingMLAlphaNumeric, (TotalDebt-CashEquivalents)/LtmEBITDA AS NetLeverage, TotalDebt, IsManualEntry
FROM dbo.tblHysBalanceSheetMetrics
WHERE (</t>
        </r>
        <r>
          <rPr>
            <sz val="10"/>
            <color indexed="10"/>
            <rFont val="Tahoma"/>
            <family val="2"/>
          </rPr>
          <t>ReportDate = '2012-03-31'</t>
        </r>
        <r>
          <rPr>
            <sz val="10"/>
            <color indexed="81"/>
            <rFont val="Tahoma"/>
            <family val="2"/>
          </rPr>
          <t>) And (ExcludeFromYOYCalcs=0) 
AND (TickerBond IN (SELECT DISTINCT TickerBond FROM dbo.tblHysMapBondToEqtyTickers WHERE (EMDMFlag = 'EM')))
ORDER BY TotalDebt DESC</t>
        </r>
      </text>
    </comment>
  </commentList>
</comments>
</file>

<file path=xl/comments2.xml><?xml version="1.0" encoding="utf-8"?>
<comments xmlns="http://schemas.openxmlformats.org/spreadsheetml/2006/main">
  <authors>
    <author>Neha Khoda</author>
  </authors>
  <commentList>
    <comment ref="E4" authorId="0">
      <text>
        <r>
          <rPr>
            <sz val="10"/>
            <color indexed="10"/>
            <rFont val="Tahoma"/>
            <family val="2"/>
          </rPr>
          <t>SELECT TOP (100) PERCENT Leverage.ReportDate, Leverage.IssuerCount As LeverageSample, Liquidity.IssuerCount As LiquiditySample, Coverage.IssuerCount AS CoverageSample, Leverage.TotalDebt, Leverage.Cash, Leverage.NetDebt, Liquidity.STdebt, Leverage.LtmEbitda, Coverage.LtmInterest, Leverage.NetLeverage, Leverage.Leverage, Coverage.CoverageRatio, Liquidity.CashSTdebt, Liquidity.CashTotalDebt, Liquidity.STtoTotalDebt</t>
        </r>
        <r>
          <rPr>
            <sz val="10"/>
            <color indexed="81"/>
            <rFont val="Tahoma"/>
            <family val="2"/>
          </rPr>
          <t xml:space="preserve">
FROM (SELECT TOP (100) PERCENT ReportDate, COUNT(TickerBond) AS IssuerCount, SUM(TotalDebt) AS TotalDebt, SUM(CashEquivalents) AS Cash, SUM(TotalDebt)-SUM(CashEquivalents) AS NetDebt, SUM(LtmEbitda) AS LtmEbitda, (SUM(TotalDebt)-SUM(CashEquivalents)) / SUM(LtmEbitda) AS NetLeverage, SUM(TotalDebt) / SUM(LtmEbitda) AS Leverage
FROM tblHysBalanceSheetMetrics 
WHERE Not (RatingMLAlphaNumeric Is Null) </t>
        </r>
        <r>
          <rPr>
            <sz val="10"/>
            <color indexed="48"/>
            <rFont val="Tahoma"/>
            <family val="2"/>
          </rPr>
          <t>AND (RatingMLAlphaNumeric LIKE 'C%' OR RatingMLAlphaNumeric LIKE 'B%' AND RatingMLAlphaNumeric NOT LIKE 'BBB%')</t>
        </r>
        <r>
          <rPr>
            <sz val="10"/>
            <color indexed="81"/>
            <rFont val="Tahoma"/>
            <family val="2"/>
          </rPr>
          <t xml:space="preserve"> And Not (TotalDebt Is Null) And Not (CashEquivalents Is Null) And Not (LtmEbitda Is Null) And ExcludeFromPointInTimeCalcs=0 And TickerBond in (select distinct TickerBond from tblHysMapBondToEqtyTickers where EMDMFlag='EM' </t>
        </r>
        <r>
          <rPr>
            <sz val="10"/>
            <color indexed="57"/>
            <rFont val="Tahoma"/>
            <family val="2"/>
          </rPr>
          <t>AND CountryFullName='Brazil'</t>
        </r>
        <r>
          <rPr>
            <sz val="10"/>
            <color indexed="81"/>
            <rFont val="Tahoma"/>
            <family val="2"/>
          </rPr>
          <t xml:space="preserve">)
GROUP BY ReportDate
ORDER BY ReportDate) AS Leverage </t>
        </r>
        <r>
          <rPr>
            <b/>
            <sz val="10"/>
            <color indexed="81"/>
            <rFont val="Tahoma"/>
            <family val="2"/>
          </rPr>
          <t xml:space="preserve">INNER JOIN
</t>
        </r>
        <r>
          <rPr>
            <sz val="10"/>
            <color indexed="81"/>
            <rFont val="Tahoma"/>
            <family val="2"/>
          </rPr>
          <t xml:space="preserve">(SELECT TOP (100) PERCENT ReportDate, COUNT(TickerBond) AS IssuerCount, SUM(ShortTermDebt) AS STdebt, SUM(CashEquivalents) / SUM(ShortTermDebt)*100 AS CashSTdebt, SUM(CashEquivalents) / SUM(TotalDebt)*100 AS CashTotaldebt, SUM(ShortTermDebt) / SUM(TotalDebt)*100 AS STtoTotalDebt
FROM tblHysBalanceSheetMetrics 
WHERE Not (RatingMLAlphaNumeric Is Null) </t>
        </r>
        <r>
          <rPr>
            <sz val="10"/>
            <color indexed="48"/>
            <rFont val="Tahoma"/>
            <family val="2"/>
          </rPr>
          <t xml:space="preserve">AND (RatingMLAlphaNumeric LIKE 'C%' OR RatingMLAlphaNumeric LIKE 'B%' AND RatingMLAlphaNumeric NOT LIKE 'BBB%') </t>
        </r>
        <r>
          <rPr>
            <sz val="10"/>
            <color indexed="81"/>
            <rFont val="Tahoma"/>
            <family val="2"/>
          </rPr>
          <t xml:space="preserve">And Not (TotalDebt Is Null) And Not (CashEquivalents Is Null) And Not (ShortTermDebt Is Null) And ExcludeFromPointInTimeCalcs=0 And TickerBond in (select distinct TickerBond from tblHysMapBondToEqtyTickers where EMDMFlag='EM' </t>
        </r>
        <r>
          <rPr>
            <sz val="10"/>
            <color indexed="57"/>
            <rFont val="Tahoma"/>
            <family val="2"/>
          </rPr>
          <t>AND CountryFullName='Brazil'</t>
        </r>
        <r>
          <rPr>
            <sz val="10"/>
            <color indexed="81"/>
            <rFont val="Tahoma"/>
            <family val="2"/>
          </rPr>
          <t xml:space="preserve">)
GROUP BY ReportDate
ORDER BY ReportDate) AS Liquidity </t>
        </r>
        <r>
          <rPr>
            <b/>
            <sz val="10"/>
            <color indexed="81"/>
            <rFont val="Tahoma"/>
            <family val="2"/>
          </rPr>
          <t>INNER JOIN</t>
        </r>
        <r>
          <rPr>
            <sz val="10"/>
            <color indexed="81"/>
            <rFont val="Tahoma"/>
            <family val="2"/>
          </rPr>
          <t xml:space="preserve">
(SELECT TOP (100) PERCENT ReportDate, COUNT(TickerBond) AS IssuerCount, SUM(LtmInterestExpense) AS LtmInterest, SUM(LtmEbitda)/SUM(LtmInterestExpense) AS CoverageRatio
FROM tblHysBalanceSheetMetrics 
WHERE Not (RatingMLAlphaNumeric Is Null) </t>
        </r>
        <r>
          <rPr>
            <sz val="10"/>
            <color indexed="48"/>
            <rFont val="Tahoma"/>
            <family val="2"/>
          </rPr>
          <t xml:space="preserve">AND (RatingMLAlphaNumeric LIKE 'C%' OR RatingMLAlphaNumeric LIKE 'B%' AND RatingMLAlphaNumeric NOT LIKE 'BBB%') </t>
        </r>
        <r>
          <rPr>
            <sz val="10"/>
            <color indexed="81"/>
            <rFont val="Tahoma"/>
            <family val="2"/>
          </rPr>
          <t xml:space="preserve">And Not (LtmEbitda Is Null) And Not (LtmInterestExpense Is Null) And ExcludeFromPointInTimeCalcs=0 And TickerBond in (select distinct TickerBond from tblHysMapBondToEqtyTickers where EMDMFlag='EM' </t>
        </r>
        <r>
          <rPr>
            <sz val="10"/>
            <color indexed="57"/>
            <rFont val="Tahoma"/>
            <family val="2"/>
          </rPr>
          <t>AND CountryFullName='Brazil'</t>
        </r>
        <r>
          <rPr>
            <sz val="10"/>
            <color indexed="81"/>
            <rFont val="Tahoma"/>
            <family val="2"/>
          </rPr>
          <t>)
GROUP BY ReportDate
ORDER BY ReportDate) AS Coverage ON Coverage.ReportDate=Liquidity.ReportDate
ON Leverage.ReportDate=Liquidity.ReportDate
ORDER BY Leverage.ReportDate</t>
        </r>
      </text>
    </comment>
  </commentList>
</comments>
</file>

<file path=xl/comments3.xml><?xml version="1.0" encoding="utf-8"?>
<comments xmlns="http://schemas.openxmlformats.org/spreadsheetml/2006/main">
  <authors>
    <author>Christopher Hays</author>
    <author>Neha Khoda</author>
  </authors>
  <commentList>
    <comment ref="A1" authorId="0">
      <text>
        <r>
          <rPr>
            <sz val="10"/>
            <color indexed="81"/>
            <rFont val="Tahoma"/>
            <family val="2"/>
          </rPr>
          <t>Ticker Exclusions:
excl. = already excluded from agg stats, no need to additionally exclude
add. = need to add to sql specifically in certain areas, not a permanently exclueded ticker
Leverage - PDVSA (excl.), GMEXIB (add.), PETBRA when HY (excl.)
Interest Coverage - Pemex (add.), Votora (add.), PDVSA (excl.)
IG YoY - ESKOM, MUBAUH, TAQAUH, KORGAS, KORELE, HUWHY (all excl.)
HY YoY - PDVSA, PETBRA when HY (all excl.)
Transitions (acquisitions that require exclusion of ticker for 4 quarters):
CEMEX (excl.)
VIP (excl.)</t>
        </r>
      </text>
    </comment>
    <comment ref="C3" authorId="1">
      <text>
        <r>
          <rPr>
            <sz val="10"/>
            <color indexed="10"/>
            <rFont val="Tahoma"/>
            <family val="2"/>
          </rPr>
          <t>SELECT TOP (100) PERCENT Leverage.ReportDate, Leverage.IssuerCount As LeverageSample, Liquidity.IssuerCount As LiquiditySample, Coverage.IssuerCount AS CoverageSample, Leverage.TotalDebt, Leverage.Cash, Leverage.NetDebt, Liquidity.STdebt, Leverage.LtmEbitda, Coverage.LtmInterest, Leverage.NetLeverage, Leverage.Leverage, Coverage.CoverageRatio, Liquidity.CashSTdebt, Liquidity.CashTotalDebt, Liquidity.STtoTotalDebt</t>
        </r>
        <r>
          <rPr>
            <sz val="10"/>
            <color indexed="81"/>
            <rFont val="Tahoma"/>
            <family val="2"/>
          </rPr>
          <t xml:space="preserve">
FROM (SELECT TOP (100) PERCENT ReportDate, COUNT(TickerBond) AS IssuerCount, SUM(TotalDebt) AS TotalDebt, SUM(CashEquivalents) AS Cash, SUM(TotalDebt)-SUM(CashEquivalents) AS NetDebt, SUM(LtmEbitda) AS LtmEbitda, (SUM(TotalDebt)-SUM(CashEquivalents)) / SUM(LtmEbitda) AS NetLeverage, SUM(TotalDebt) / SUM(LtmEbitda) AS Leverage
FROM tblHysBalanceSheetMetrics 
WHERE Not (RatingMLAlphaNumeric Is Null) </t>
        </r>
        <r>
          <rPr>
            <sz val="10"/>
            <color indexed="48"/>
            <rFont val="Tahoma"/>
            <family val="2"/>
          </rPr>
          <t>And Not (RatingMLAlphaNumeric LIKE 'D%')</t>
        </r>
        <r>
          <rPr>
            <sz val="10"/>
            <color indexed="81"/>
            <rFont val="Tahoma"/>
            <family val="2"/>
          </rPr>
          <t xml:space="preserve"> And Not (TotalDebt Is Null) And Not (CashEquivalents Is Null) And Not (LtmEbitda Is Null) And (ExcludeFromPointInTimeCalcs=0) </t>
        </r>
        <r>
          <rPr>
            <sz val="10"/>
            <color indexed="10"/>
            <rFont val="Tahoma"/>
            <family val="2"/>
          </rPr>
          <t>And Not (Tickerbond = 'xx')</t>
        </r>
        <r>
          <rPr>
            <sz val="10"/>
            <color indexed="81"/>
            <rFont val="Tahoma"/>
            <family val="2"/>
          </rPr>
          <t xml:space="preserve"> And TickerBond in (select distinct TickerBond from tblHysMapBondToEqtyTickers where EMDMFlag='EM')
GROUP BY ReportDate
ORDER BY ReportDate) AS Leverage </t>
        </r>
        <r>
          <rPr>
            <b/>
            <sz val="10"/>
            <color indexed="81"/>
            <rFont val="Tahoma"/>
            <family val="2"/>
          </rPr>
          <t xml:space="preserve">INNER JOIN
</t>
        </r>
        <r>
          <rPr>
            <sz val="10"/>
            <color indexed="81"/>
            <rFont val="Tahoma"/>
            <family val="2"/>
          </rPr>
          <t>(SELECT TOP (100) PERCENT ReportDate, COUNT(TickerBond) AS IssuerCount, SUM(ShortTermDebt) AS STdebt, SUM(CashEquivalents) / SUM(ShortTermDebt)*100 AS CashSTdebt, SUM(CashEquivalents) / SUM(TotalDebt)*100 AS CashTotaldebt, SUM(ShortTermDebt) / SUM(TotalDebt)*100 AS STtoTotalDebt
FROM tblHysBalanceSheetMetrics 
WHERE Not (RatingMLAlphaNumeric Is Null)</t>
        </r>
        <r>
          <rPr>
            <sz val="10"/>
            <color indexed="48"/>
            <rFont val="Tahoma"/>
            <family val="2"/>
          </rPr>
          <t xml:space="preserve"> And Not (RatingMLAlphaNumeric LIKE 'D%')</t>
        </r>
        <r>
          <rPr>
            <sz val="10"/>
            <color indexed="81"/>
            <rFont val="Tahoma"/>
            <family val="2"/>
          </rPr>
          <t xml:space="preserve"> And Not (TotalDebt Is Null) And Not (CashEquivalents Is Null) And Not (ShortTermDebt Is Null) And ExcludeFromPointInTimeCalcs=0 And TickerBond in (select distinct TickerBond from tblHysMapBondToEqtyTickers where EMDMFlag='EM')
GROUP BY ReportDate
ORDER BY ReportDate) AS Liquidity </t>
        </r>
        <r>
          <rPr>
            <b/>
            <sz val="10"/>
            <color indexed="81"/>
            <rFont val="Tahoma"/>
            <family val="2"/>
          </rPr>
          <t>INNER JOIN</t>
        </r>
        <r>
          <rPr>
            <sz val="10"/>
            <color indexed="81"/>
            <rFont val="Tahoma"/>
            <family val="2"/>
          </rPr>
          <t xml:space="preserve">
(SELECT TOP (100) PERCENT ReportDate, COUNT(TickerBond) AS IssuerCount, SUM(LtmInterestExpense) AS LtmInterest, SUM(LtmEbitda)/SUM(LtmInterestExpense) AS CoverageRatio
FROM tblHysBalanceSheetMetrics 
WHERE Not (RatingMLAlphaNumeric Is Null) </t>
        </r>
        <r>
          <rPr>
            <sz val="10"/>
            <color indexed="48"/>
            <rFont val="Tahoma"/>
            <family val="2"/>
          </rPr>
          <t xml:space="preserve">And Not (RatingMLAlphaNumeric LIKE 'D%') </t>
        </r>
        <r>
          <rPr>
            <sz val="10"/>
            <color indexed="81"/>
            <rFont val="Tahoma"/>
            <family val="2"/>
          </rPr>
          <t xml:space="preserve">And Not (LtmEbitda Is Null) And Not (LtmInterestExpense Is Null) And ExcludeFromPointInTimeCalcs=0 </t>
        </r>
        <r>
          <rPr>
            <sz val="10"/>
            <color indexed="10"/>
            <rFont val="Tahoma"/>
            <family val="2"/>
          </rPr>
          <t>And Not (Tickerbond = 'xx')</t>
        </r>
        <r>
          <rPr>
            <sz val="10"/>
            <color indexed="81"/>
            <rFont val="Tahoma"/>
            <family val="2"/>
          </rPr>
          <t xml:space="preserve"> And TickerBond in (select distinct TickerBond from tblHysMapBondToEqtyTickers where EMDMFlag='EM')
GROUP BY ReportDate
ORDER BY ReportDate) AS Coverage ON Coverage.ReportDate=Liquidity.ReportDate
ON Leverage.ReportDate=Liquidity.ReportDate
ORDER BY Leverage.ReportDate</t>
        </r>
      </text>
    </comment>
    <comment ref="R3" authorId="0">
      <text>
        <r>
          <rPr>
            <sz val="10"/>
            <color indexed="81"/>
            <rFont val="Tahoma"/>
            <family val="2"/>
          </rPr>
          <t xml:space="preserve">SELECT SUM(a.OAS * a.FullMarketValueUSD)/ SUM(a.FullMarketValueUSD) AS OAS
FROM dbo.tblHysIndexMLMemberlistNew a 
INNER JOIN 
(SELECT ReportDate, TickerBond  FROM dbo.tblHysBalanceSheetMetrics
</t>
        </r>
        <r>
          <rPr>
            <sz val="10"/>
            <color indexed="12"/>
            <rFont val="Tahoma"/>
            <family val="2"/>
          </rPr>
          <t>WHERE Not (RatingMLAlphaNumeric Is Null) And Not (RatingMLAlphaNumeric LIKE 'D%') 
And Not (TotalDebt Is Null) And Not (CashEquivalents Is Null) And Not (LtmEbitda Is Null) 
And (ExcludeFromPointInTimeCalcs=0) 
And (TickerBond in (select distinct TickerBond from tblHysMapBondToEqtyTickers where EMDMFlag='EM')))</t>
        </r>
        <r>
          <rPr>
            <sz val="10"/>
            <color indexed="81"/>
            <rFont val="Tahoma"/>
            <family val="2"/>
          </rPr>
          <t>b 
ON a.TickerBond = b.TickerBond and a.reportdate=b.reportdate
WHERE (a.TickerIndex = 'EMCB') AND (a.ReportDate &gt; '12/31/2005')
AND (DATEPART(mm, a.ReportDate) = 3 OR DATEPART(mm, a.ReportDate) = 6 
OR DATEPART(mm, a.ReportDate) = 9 OR DATEPART(mm, a.ReportDate) = 12) 
GROUP BY a.ReportDate
ORDER BY a.ReportDate</t>
        </r>
      </text>
    </comment>
    <comment ref="T3" authorId="0">
      <text>
        <r>
          <rPr>
            <sz val="10"/>
            <color indexed="81"/>
            <rFont val="Tahoma"/>
            <family val="2"/>
          </rPr>
          <t>SELECT OAS
FROM dbo.tblHysIndexMLTimeSeries
WHERE     (TickerIndex = N'</t>
        </r>
        <r>
          <rPr>
            <sz val="10"/>
            <color indexed="48"/>
            <rFont val="Tahoma"/>
            <family val="2"/>
          </rPr>
          <t>emcb</t>
        </r>
        <r>
          <rPr>
            <sz val="10"/>
            <color indexed="81"/>
            <rFont val="Tahoma"/>
            <family val="2"/>
          </rPr>
          <t>') 
AND (ReportDate &gt;='2006-03-31') 
AND (DAY(ReportDate + 1) = 1) 
AND (MONTH(ReportDate) = 3 OR MONTH(ReportDate) = 6 
OR MONTH(ReportDate) = 9 OR MONTH(ReportDate) = 12)
ORDER BY ReportDate</t>
        </r>
      </text>
    </comment>
    <comment ref="C31" authorId="1">
      <text>
        <r>
          <rPr>
            <sz val="10"/>
            <color indexed="10"/>
            <rFont val="Tahoma"/>
            <family val="2"/>
          </rPr>
          <t>SELECT TOP (100) PERCENT Leverage.ReportDate, Leverage.IssuerCount As LeverageSample, Liquidity.IssuerCount As LiquiditySample, Coverage.IssuerCount AS CoverageSample, Leverage.TotalDebt, Leverage.Cash, Leverage.NetDebt, Liquidity.STdebt, Leverage.LtmEbitda, Coverage.LtmInterest, Leverage.NetLeverage, Leverage.Leverage, Coverage.CoverageRatio, Liquidity.CashSTdebt, Liquidity.CashTotalDebt, Liquidity.STtoTotalDebt</t>
        </r>
        <r>
          <rPr>
            <sz val="10"/>
            <color indexed="81"/>
            <rFont val="Tahoma"/>
            <family val="2"/>
          </rPr>
          <t xml:space="preserve">
FROM (SELECT TOP (100) PERCENT ReportDate, COUNT(TickerBond) AS IssuerCount, SUM(TotalDebt) AS TotalDebt, SUM(CashEquivalents) AS Cash, SUM(TotalDebt)-SUM(CashEquivalents) AS NetDebt, SUM(LtmEbitda) AS LtmEbitda, (SUM(TotalDebt)-SUM(CashEquivalents)) / SUM(LtmEbitda) AS NetLeverage, SUM(TotalDebt) / SUM(LtmEbitda) AS Leverage
FROM tblHysBalanceSheetMetrics 
WHERE Not (RatingMLAlphaNumeric Is Null) </t>
        </r>
        <r>
          <rPr>
            <sz val="10"/>
            <color indexed="48"/>
            <rFont val="Tahoma"/>
            <family val="2"/>
          </rPr>
          <t>AND (RatingMLAlphaNumeric LIKE 'A%' OR RatingMLAlphaNumeric LIKE 'BBB%')</t>
        </r>
        <r>
          <rPr>
            <sz val="10"/>
            <color indexed="81"/>
            <rFont val="Tahoma"/>
            <family val="2"/>
          </rPr>
          <t xml:space="preserve"> And Not (TotalDebt Is Null) And Not (CashEquivalents Is Null) And Not (LtmEbitda Is Null)</t>
        </r>
        <r>
          <rPr>
            <sz val="10"/>
            <color indexed="81"/>
            <rFont val="Tahoma"/>
            <family val="2"/>
          </rPr>
          <t xml:space="preserve"> And ExcludeFromPointInTimeCalcs=0 And TickerBond in (select distinct TickerBond from tblHysMapBondToEqtyTickers where EMDMFlag='EM')
GROUP BY ReportDate
ORDER BY ReportDate) AS Leverage </t>
        </r>
        <r>
          <rPr>
            <b/>
            <sz val="10"/>
            <color indexed="81"/>
            <rFont val="Tahoma"/>
            <family val="2"/>
          </rPr>
          <t xml:space="preserve">INNER JOIN
</t>
        </r>
        <r>
          <rPr>
            <sz val="10"/>
            <color indexed="81"/>
            <rFont val="Tahoma"/>
            <family val="2"/>
          </rPr>
          <t xml:space="preserve">(SELECT TOP (100) PERCENT ReportDate, COUNT(TickerBond) AS IssuerCount, SUM(ShortTermDebt) AS STdebt, SUM(CashEquivalents) / SUM(ShortTermDebt)*100 AS CashSTdebt, SUM(CashEquivalents) / SUM(TotalDebt)*100 AS CashTotaldebt, SUM(ShortTermDebt) / SUM(TotalDebt)*100 AS STtoTotalDebt
FROM tblHysBalanceSheetMetrics 
WHERE Not (RatingMLAlphaNumeric Is Null) </t>
        </r>
        <r>
          <rPr>
            <sz val="10"/>
            <color indexed="48"/>
            <rFont val="Tahoma"/>
            <family val="2"/>
          </rPr>
          <t xml:space="preserve">AND (RatingMLAlphaNumeric LIKE 'A%' OR RatingMLAlphaNumeric LIKE 'BBB%') </t>
        </r>
        <r>
          <rPr>
            <sz val="10"/>
            <color indexed="81"/>
            <rFont val="Tahoma"/>
            <family val="2"/>
          </rPr>
          <t xml:space="preserve">And Not (TotalDebt Is Null) And Not (CashEquivalents Is Null) And Not (ShortTermDebt Is Null) And ExcludeFromPointInTimeCalcs=0 And TickerBond in (select distinct TickerBond from tblHysMapBondToEqtyTickers where EMDMFlag='EM')
GROUP BY ReportDate
ORDER BY ReportDate) AS Liquidity </t>
        </r>
        <r>
          <rPr>
            <b/>
            <sz val="10"/>
            <color indexed="81"/>
            <rFont val="Tahoma"/>
            <family val="2"/>
          </rPr>
          <t>INNER JOIN</t>
        </r>
        <r>
          <rPr>
            <sz val="10"/>
            <color indexed="81"/>
            <rFont val="Tahoma"/>
            <family val="2"/>
          </rPr>
          <t xml:space="preserve">
(SELECT TOP (100) PERCENT ReportDate, COUNT(TickerBond) AS IssuerCount, SUM(LtmInterestExpense) AS LtmInterest, SUM(LtmEbitda)/SUM(LtmInterestExpense) AS CoverageRatio
FROM tblHysBalanceSheetMetrics 
WHERE Not (RatingMLAlphaNumeric Is Null) </t>
        </r>
        <r>
          <rPr>
            <sz val="10"/>
            <color indexed="48"/>
            <rFont val="Tahoma"/>
            <family val="2"/>
          </rPr>
          <t xml:space="preserve">AND (RatingMLAlphaNumeric LIKE 'A%' OR RatingMLAlphaNumeric LIKE 'BBB%') </t>
        </r>
        <r>
          <rPr>
            <sz val="10"/>
            <color indexed="81"/>
            <rFont val="Tahoma"/>
            <family val="2"/>
          </rPr>
          <t>And Not (LtmEbitda Is Null) And Not (LtmInterestExpense Is Null) And ExcludeFromPointInTimeCalcs=0 And TickerBond in (select distinct TickerBond from tblHysMapBondToEqtyTickers where EMDMFlag='EM')
GROUP BY ReportDate
ORDER BY ReportDate) AS Coverage ON Coverage.ReportDate=Liquidity.ReportDate
ON Leverage.ReportDate=Liquidity.ReportDate
ORDER BY Leverage.ReportDate</t>
        </r>
      </text>
    </comment>
    <comment ref="R31" authorId="0">
      <text>
        <r>
          <rPr>
            <sz val="10"/>
            <color indexed="81"/>
            <rFont val="Tahoma"/>
            <family val="2"/>
          </rPr>
          <t xml:space="preserve">SELECT SUM(a.OAS * a.FullMarketValueUSD)/ SUM(a.FullMarketValueUSD) AS OAS
FROM dbo.tblHysIndexMLMemberlistNew a 
INNER JOIN 
(SELECT ReportDate, TickerBond  FROM dbo.tblHysBalanceSheetMetrics
</t>
        </r>
        <r>
          <rPr>
            <sz val="10"/>
            <color indexed="12"/>
            <rFont val="Tahoma"/>
            <family val="2"/>
          </rPr>
          <t>WHERE Not (RatingMLAlphaNumeric Is Null)
AND (RatingMLAlphaNumeric LIKE 'A%' OR RatingMLAlphaNumeric LIKE 'BBB%') 
And Not (TotalDebt Is Null) And Not (CashEquivalents Is Null) And Not (LtmEbitda Is Null) 
And (ExcludeFromPointInTimeCalcs=0) 
And (TickerBond in (select distinct TickerBond from tblHysMapBondToEqtyTickers where EMDMFlag='EM')))</t>
        </r>
        <r>
          <rPr>
            <sz val="10"/>
            <color indexed="81"/>
            <rFont val="Tahoma"/>
            <family val="2"/>
          </rPr>
          <t>b 
ON a.TickerBond = b.TickerBond and a.reportdate=b.reportdate
WHERE (a.TickerIndex = 'EMCB') AND (a.ReportDate &gt; '12/31/2005')
AND (DATEPART(mm, a.ReportDate) = 3 OR DATEPART(mm, a.ReportDate) = 6 
OR DATEPART(mm, a.ReportDate) = 9 OR DATEPART(mm, a.ReportDate) = 12) 
GROUP BY a.ReportDate
ORDER BY a.ReportDate</t>
        </r>
      </text>
    </comment>
    <comment ref="T31" authorId="0">
      <text>
        <r>
          <rPr>
            <sz val="10"/>
            <color indexed="81"/>
            <rFont val="Tahoma"/>
            <family val="2"/>
          </rPr>
          <t>SELECT OAS
FROM dbo.tblHysIndexMLTimeSeries
WHERE     (TickerIndex = N'</t>
        </r>
        <r>
          <rPr>
            <sz val="10"/>
            <color indexed="48"/>
            <rFont val="Tahoma"/>
            <family val="2"/>
          </rPr>
          <t>emib</t>
        </r>
        <r>
          <rPr>
            <sz val="10"/>
            <color indexed="81"/>
            <rFont val="Tahoma"/>
            <family val="2"/>
          </rPr>
          <t>') 
AND (ReportDate &gt;='2006-03-31') 
AND (DAY(ReportDate + 1) = 1) 
AND (MONTH(ReportDate) = 3 OR MONTH(ReportDate) = 6 
OR MONTH(ReportDate) = 9 OR MONTH(ReportDate) = 12)
ORDER BY ReportDate</t>
        </r>
      </text>
    </comment>
    <comment ref="C59" authorId="1">
      <text>
        <r>
          <rPr>
            <sz val="10"/>
            <color indexed="10"/>
            <rFont val="Tahoma"/>
            <family val="2"/>
          </rPr>
          <t>SELECT TOP (100) PERCENT Leverage.ReportDate, Leverage.IssuerCount As LeverageSample, Liquidity.IssuerCount As LiquiditySample, Coverage.IssuerCount AS CoverageSample, Leverage.TotalDebt, Leverage.Cash, Leverage.NetDebt, Liquidity.STdebt, Leverage.LtmEbitda, Coverage.LtmInterest, Leverage.NetLeverage, Leverage.Leverage, Coverage.CoverageRatio, Liquidity.CashSTdebt, Liquidity.CashTotalDebt, Liquidity.STtoTotalDebt</t>
        </r>
        <r>
          <rPr>
            <sz val="10"/>
            <color indexed="81"/>
            <rFont val="Tahoma"/>
            <family val="2"/>
          </rPr>
          <t xml:space="preserve">
FROM (SELECT TOP (100) PERCENT ReportDate, COUNT(TickerBond) AS IssuerCount, SUM(TotalDebt) AS TotalDebt, SUM(CashEquivalents) AS Cash, SUM(TotalDebt)-SUM(CashEquivalents) AS NetDebt, SUM(LtmEbitda) AS LtmEbitda, (SUM(TotalDebt)-SUM(CashEquivalents)) / SUM(LtmEbitda) AS NetLeverage, SUM(TotalDebt) / SUM(LtmEbitda) AS Leverage
FROM tblHysBalanceSheetMetrics 
WHERE Not (RatingMLAlphaNumeric Is Null) </t>
        </r>
        <r>
          <rPr>
            <sz val="10"/>
            <color indexed="48"/>
            <rFont val="Tahoma"/>
            <family val="2"/>
          </rPr>
          <t>AND (RatingMLAlphaNumeric LIKE 'C%' OR RatingMLAlphaNumeric LIKE 'B%' AND RatingMLAlphaNumeric NOT LIKE 'BBB%')</t>
        </r>
        <r>
          <rPr>
            <sz val="10"/>
            <color indexed="81"/>
            <rFont val="Tahoma"/>
            <family val="2"/>
          </rPr>
          <t xml:space="preserve"> And Not (TotalDebt Is Null) And Not (CashEquivalents Is Null) And Not (LtmEbitda Is Null) And ExcludeFromPointInTimeCalcs=0 And TickerBond in (select distinct TickerBond from tblHysMapBondToEqtyTickers where EMDMFlag='EM')
GROUP BY ReportDate
ORDER BY ReportDate) AS Leverage </t>
        </r>
        <r>
          <rPr>
            <b/>
            <sz val="10"/>
            <color indexed="81"/>
            <rFont val="Tahoma"/>
            <family val="2"/>
          </rPr>
          <t xml:space="preserve">INNER JOIN
</t>
        </r>
        <r>
          <rPr>
            <sz val="10"/>
            <color indexed="81"/>
            <rFont val="Tahoma"/>
            <family val="2"/>
          </rPr>
          <t xml:space="preserve">(SELECT TOP (100) PERCENT ReportDate, COUNT(TickerBond) AS IssuerCount, SUM(ShortTermDebt) AS STdebt, SUM(CashEquivalents) / SUM(ShortTermDebt)*100 AS CashSTdebt, SUM(CashEquivalents) / SUM(TotalDebt)*100 AS CashTotaldebt, SUM(ShortTermDebt) / SUM(TotalDebt)*100 AS STtoTotalDebt
FROM tblHysBalanceSheetMetrics 
WHERE Not (RatingMLAlphaNumeric Is Null) </t>
        </r>
        <r>
          <rPr>
            <sz val="10"/>
            <color indexed="48"/>
            <rFont val="Tahoma"/>
            <family val="2"/>
          </rPr>
          <t xml:space="preserve">AND (RatingMLAlphaNumeric LIKE 'C%' OR RatingMLAlphaNumeric LIKE 'B%' AND RatingMLAlphaNumeric NOT LIKE 'BBB%') </t>
        </r>
        <r>
          <rPr>
            <sz val="10"/>
            <color indexed="81"/>
            <rFont val="Tahoma"/>
            <family val="2"/>
          </rPr>
          <t xml:space="preserve">And Not (TotalDebt Is Null) And Not (CashEquivalents Is Null) And Not (ShortTermDebt Is Null) And ExcludeFromPointInTimeCalcs=0 And TickerBond in (select distinct TickerBond from tblHysMapBondToEqtyTickers where EMDMFlag='EM')
GROUP BY ReportDate
ORDER BY ReportDate) AS Liquidity </t>
        </r>
        <r>
          <rPr>
            <b/>
            <sz val="10"/>
            <color indexed="81"/>
            <rFont val="Tahoma"/>
            <family val="2"/>
          </rPr>
          <t>INNER JOIN</t>
        </r>
        <r>
          <rPr>
            <sz val="10"/>
            <color indexed="81"/>
            <rFont val="Tahoma"/>
            <family val="2"/>
          </rPr>
          <t xml:space="preserve">
(SELECT TOP (100) PERCENT ReportDate, COUNT(TickerBond) AS IssuerCount, SUM(LtmInterestExpense) AS LtmInterest, SUM(LtmEbitda)/SUM(LtmInterestExpense) AS CoverageRatio
FROM tblHysBalanceSheetMetrics 
WHERE Not (RatingMLAlphaNumeric Is Null) </t>
        </r>
        <r>
          <rPr>
            <sz val="10"/>
            <color indexed="48"/>
            <rFont val="Tahoma"/>
            <family val="2"/>
          </rPr>
          <t xml:space="preserve">AND (RatingMLAlphaNumeric LIKE 'C%' OR RatingMLAlphaNumeric LIKE 'B%' AND RatingMLAlphaNumeric NOT LIKE 'BBB%') </t>
        </r>
        <r>
          <rPr>
            <sz val="10"/>
            <color indexed="81"/>
            <rFont val="Tahoma"/>
            <family val="2"/>
          </rPr>
          <t>And Not (LtmEbitda Is Null) And Not (LtmInterestExpense Is Null) And ExcludeFromPointInTimeCalcs=0 And TickerBond in (select distinct TickerBond from tblHysMapBondToEqtyTickers where EMDMFlag='EM')
GROUP BY ReportDate
ORDER BY ReportDate) AS Coverage ON Coverage.ReportDate=Liquidity.ReportDate
ON Leverage.ReportDate=Liquidity.ReportDate
ORDER BY Leverage.ReportDate</t>
        </r>
      </text>
    </comment>
    <comment ref="R59" authorId="0">
      <text>
        <r>
          <rPr>
            <sz val="10"/>
            <color indexed="81"/>
            <rFont val="Tahoma"/>
            <family val="2"/>
          </rPr>
          <t xml:space="preserve">SELECT SUM(a.OAS * a.FullMarketValueUSD)/ SUM(a.FullMarketValueUSD) AS OAS
FROM dbo.tblHysIndexMLMemberlistNew a 
INNER JOIN 
(SELECT ReportDate, TickerBond  FROM dbo.tblHysBalanceSheetMetrics
</t>
        </r>
        <r>
          <rPr>
            <sz val="10"/>
            <color indexed="12"/>
            <rFont val="Tahoma"/>
            <family val="2"/>
          </rPr>
          <t>WHERE Not (RatingMLAlphaNumeric Is Null) 
AND (RatingMLAlphaNumeric LIKE 'C%' OR RatingMLAlphaNumeric LIKE 'B%' AND RatingMLAlphaNumeric NOT LIKE 'BBB%') 
And Not (TotalDebt Is Null) And Not (CashEquivalents Is Null) And Not (LtmEbitda Is Null) 
And (ExcludeFromPointInTimeCalcs=0) 
And (TickerBond in (select distinct TickerBond from tblHysMapBondToEqtyTickers where EMDMFlag='EM')))</t>
        </r>
        <r>
          <rPr>
            <sz val="10"/>
            <color indexed="81"/>
            <rFont val="Tahoma"/>
            <family val="2"/>
          </rPr>
          <t>b 
ON a.TickerBond = b.TickerBond and a.reportdate=b.reportdate
WHERE (a.TickerIndex = 'EMCB') AND (a.ReportDate &gt; '12/31/2005')
AND (DATEPART(mm, a.ReportDate) = 3 OR DATEPART(mm, a.ReportDate) = 6 
OR DATEPART(mm, a.ReportDate) = 9 OR DATEPART(mm, a.ReportDate) = 12) 
GROUP BY a.ReportDate
ORDER BY a.ReportDate</t>
        </r>
      </text>
    </comment>
    <comment ref="T59" authorId="0">
      <text>
        <r>
          <rPr>
            <sz val="10"/>
            <color indexed="81"/>
            <rFont val="Tahoma"/>
            <family val="2"/>
          </rPr>
          <t>SELECT OAS
FROM dbo.tblHysIndexMLTimeSeries
WHERE     (TickerIndex = N'</t>
        </r>
        <r>
          <rPr>
            <sz val="10"/>
            <color indexed="48"/>
            <rFont val="Tahoma"/>
            <family val="2"/>
          </rPr>
          <t>emhb</t>
        </r>
        <r>
          <rPr>
            <sz val="10"/>
            <color indexed="81"/>
            <rFont val="Tahoma"/>
            <family val="2"/>
          </rPr>
          <t>') 
AND (ReportDate &gt;='2006-03-31') 
AND (DAY(ReportDate + 1) = 1) 
AND (MONTH(ReportDate) = 3 OR MONTH(ReportDate) = 6 
OR MONTH(ReportDate) = 9 OR MONTH(ReportDate) = 12)
ORDER BY ReportDate</t>
        </r>
      </text>
    </comment>
    <comment ref="C87" authorId="1">
      <text>
        <r>
          <rPr>
            <sz val="10"/>
            <color indexed="10"/>
            <rFont val="Tahoma"/>
            <family val="2"/>
          </rPr>
          <t>SELECT TOP (100) PERCENT Leverage.ReportDate, Leverage.IssuerCount As LeverageSample, Liquidity.IssuerCount As LiquiditySample, Coverage.IssuerCount AS CoverageSample, Leverage.TotalDebt, Leverage.Cash, Leverage.NetDebt, Liquidity.STdebt, Leverage.LtmEbitda, Coverage.LtmInterest, Leverage.NetLeverage, Leverage.Leverage, Coverage.CoverageRatio, Liquidity.CashSTdebt, Liquidity.CashTotalDebt, Liquidity.STtoTotalDebt</t>
        </r>
        <r>
          <rPr>
            <sz val="10"/>
            <color indexed="81"/>
            <rFont val="Tahoma"/>
            <family val="2"/>
          </rPr>
          <t xml:space="preserve">
FROM (SELECT TOP (100) PERCENT ReportDate, COUNT(TickerBond) AS IssuerCount, SUM(TotalDebt) AS TotalDebt, SUM(CashEquivalents) AS Cash, SUM(TotalDebt)-SUM(CashEquivalents) AS NetDebt, SUM(LtmEbitda) AS LtmEbitda, (SUM(TotalDebt)-SUM(CashEquivalents)) / SUM(LtmEbitda) AS NetLeverage, SUM(TotalDebt) / SUM(LtmEbitda) AS Leverage
FROM tblHysBalanceSheetMetrics 
WHERE Not (RatingMLAlphaNumeric Is Null) </t>
        </r>
        <r>
          <rPr>
            <sz val="10"/>
            <color indexed="48"/>
            <rFont val="Tahoma"/>
            <family val="2"/>
          </rPr>
          <t>And Not (RatingMLAlphaNumeric LIKE 'D%')</t>
        </r>
        <r>
          <rPr>
            <sz val="10"/>
            <color indexed="81"/>
            <rFont val="Tahoma"/>
            <family val="2"/>
          </rPr>
          <t xml:space="preserve"> And Not (TotalDebt Is Null) And Not (CashEquivalents Is Null) And Not (LtmEbitda Is Null) And ExcludeFromPointInTimeCalcs=0 
</t>
        </r>
        <r>
          <rPr>
            <sz val="10"/>
            <color indexed="17"/>
            <rFont val="Tahoma"/>
            <family val="2"/>
          </rPr>
          <t>AND (TickerBond IN (SELECT DISTINCT TickerBond FROM dbo.tblHysMapBondToEqtyTickers WHERE (EMDMFlag = 'EM') 
AND (CountryFullName IN (SELECT DISTINCT CountryFullName FROM dbo.tblHysMapCountries WHERE (Region = 'Latin America')))))</t>
        </r>
        <r>
          <rPr>
            <sz val="10"/>
            <color indexed="81"/>
            <rFont val="Tahoma"/>
            <family val="2"/>
          </rPr>
          <t xml:space="preserve">
GROUP BY ReportDate
ORDER BY ReportDate) AS Leverage </t>
        </r>
        <r>
          <rPr>
            <b/>
            <sz val="10"/>
            <color indexed="81"/>
            <rFont val="Tahoma"/>
            <family val="2"/>
          </rPr>
          <t xml:space="preserve">INNER JOIN
</t>
        </r>
        <r>
          <rPr>
            <sz val="10"/>
            <color indexed="81"/>
            <rFont val="Tahoma"/>
            <family val="2"/>
          </rPr>
          <t>(SELECT TOP (100) PERCENT ReportDate, COUNT(TickerBond) AS IssuerCount, SUM(ShortTermDebt) AS STdebt, SUM(CashEquivalents) / SUM(ShortTermDebt)*100 AS CashSTdebt, SUM(CashEquivalents) / SUM(TotalDebt)*100 AS CashTotaldebt, SUM(ShortTermDebt) / SUM(TotalDebt)*100 AS STtoTotalDebt
FROM tblHysBalanceSheetMetrics 
WHERE Not (RatingMLAlphaNumeric Is Null)</t>
        </r>
        <r>
          <rPr>
            <sz val="10"/>
            <color indexed="48"/>
            <rFont val="Tahoma"/>
            <family val="2"/>
          </rPr>
          <t xml:space="preserve"> And Not (RatingMLAlphaNumeric LIKE 'D%')</t>
        </r>
        <r>
          <rPr>
            <sz val="10"/>
            <color indexed="81"/>
            <rFont val="Tahoma"/>
            <family val="2"/>
          </rPr>
          <t xml:space="preserve"> And Not (TotalDebt Is Null) And Not (CashEquivalents Is Null) And Not (ShortTermDebt Is Null) And ExcludeFromPointInTimeCalcs=0 
</t>
        </r>
        <r>
          <rPr>
            <sz val="10"/>
            <color indexed="17"/>
            <rFont val="Tahoma"/>
            <family val="2"/>
          </rPr>
          <t>AND (TickerBond IN (SELECT DISTINCT TickerBond FROM dbo.tblHysMapBondToEqtyTickers WHERE (EMDMFlag = 'EM') 
AND (CountryFullName IN (SELECT DISTINCT CountryFullName FROM dbo.tblHysMapCountries WHERE (Region = 'Latin America')))))</t>
        </r>
        <r>
          <rPr>
            <sz val="10"/>
            <color indexed="81"/>
            <rFont val="Tahoma"/>
            <family val="2"/>
          </rPr>
          <t xml:space="preserve">
GROUP BY ReportDate
ORDER BY ReportDate) AS Liquidity </t>
        </r>
        <r>
          <rPr>
            <b/>
            <sz val="10"/>
            <color indexed="81"/>
            <rFont val="Tahoma"/>
            <family val="2"/>
          </rPr>
          <t>INNER JOIN</t>
        </r>
        <r>
          <rPr>
            <sz val="10"/>
            <color indexed="81"/>
            <rFont val="Tahoma"/>
            <family val="2"/>
          </rPr>
          <t xml:space="preserve">
(SELECT TOP (100) PERCENT ReportDate, COUNT(TickerBond) AS IssuerCount, SUM(LtmInterestExpense) AS LtmInterest, SUM(LtmEbitda)/SUM(LtmInterestExpense) AS CoverageRatio
FROM tblHysBalanceSheetMetrics 
WHERE Not (RatingMLAlphaNumeric Is Null) </t>
        </r>
        <r>
          <rPr>
            <sz val="10"/>
            <color indexed="48"/>
            <rFont val="Tahoma"/>
            <family val="2"/>
          </rPr>
          <t xml:space="preserve">And Not (RatingMLAlphaNumeric LIKE 'D%') </t>
        </r>
        <r>
          <rPr>
            <sz val="10"/>
            <color indexed="81"/>
            <rFont val="Tahoma"/>
            <family val="2"/>
          </rPr>
          <t xml:space="preserve">And Not (LtmEbitda Is Null) And Not (LtmInterestExpense Is Null) And ExcludeFromPointInTimeCalcs=0 
</t>
        </r>
        <r>
          <rPr>
            <sz val="10"/>
            <color indexed="17"/>
            <rFont val="Tahoma"/>
            <family val="2"/>
          </rPr>
          <t xml:space="preserve">AND (TickerBond IN (SELECT DISTINCT TickerBond FROM dbo.tblHysMapBondToEqtyTickers WHERE (EMDMFlag = 'EM') 
AND (CountryFullName IN (SELECT DISTINCT CountryFullName FROM dbo.tblHysMapCountries WHERE (Region = 'Latin America')))))
</t>
        </r>
        <r>
          <rPr>
            <sz val="10"/>
            <color indexed="81"/>
            <rFont val="Tahoma"/>
            <family val="2"/>
          </rPr>
          <t xml:space="preserve">
GROUP BY ReportDate
ORDER BY ReportDate) AS Coverage ON Coverage.ReportDate=Liquidity.ReportDate
ON Leverage.ReportDate=Liquidity.ReportDate
ORDER BY Leverage.ReportDate</t>
        </r>
      </text>
    </comment>
    <comment ref="R87" authorId="0">
      <text>
        <r>
          <rPr>
            <sz val="10"/>
            <color indexed="81"/>
            <rFont val="Tahoma"/>
            <family val="2"/>
          </rPr>
          <t xml:space="preserve">SELECT SUM(a.OAS * a.FullMarketValueUSD)/ SUM(a.FullMarketValueUSD) AS OAS
FROM dbo.tblHysIndexMLMemberlistNew a 
INNER JOIN 
(
SELECT ReportDate, TickerBond  FROM dbo.tblHysBalanceSheetMetrics
</t>
        </r>
        <r>
          <rPr>
            <sz val="10"/>
            <color indexed="12"/>
            <rFont val="Tahoma"/>
            <family val="2"/>
          </rPr>
          <t xml:space="preserve">WHERE Not (RatingMLAlphaNumeric Is Null) And Not (RatingMLAlphaNumeric LIKE 'D%') And Not (TotalDebt Is Null) And Not (CashEquivalents Is Null) And Not (LtmEbitda Is Null) And ExcludeFromPointInTimeCalcs=0 
AND (TickerBond IN (SELECT DISTINCT TickerBond FROM dbo.tblHysMapBondToEqtyTickers WHERE (EMDMFlag = 'EM') 
AND (CountryFullName IN (SELECT DISTINCT CountryFullName FROM dbo.tblHysMapCountries WHERE (Region = 'Latin America')))))
</t>
        </r>
        <r>
          <rPr>
            <sz val="10"/>
            <color indexed="81"/>
            <rFont val="Tahoma"/>
            <family val="2"/>
          </rPr>
          <t>)b 
ON a.TickerBond = b.TickerBond and a.reportdate=b.reportdate
WHERE (a.TickerIndex = 'EMCB') AND (a.ReportDate &gt; '12/31/2005')
AND (DATEPART(mm, a.ReportDate) = 3 OR DATEPART(mm, a.ReportDate) = 6 
OR DATEPART(mm, a.ReportDate) = 9 OR DATEPART(mm, a.ReportDate) = 12) 
GROUP BY a.ReportDate
ORDER BY a.ReportDate</t>
        </r>
      </text>
    </comment>
    <comment ref="T87" authorId="0">
      <text>
        <r>
          <rPr>
            <sz val="10"/>
            <color indexed="81"/>
            <rFont val="Tahoma"/>
            <family val="2"/>
          </rPr>
          <t>SELECT OAS
FROM dbo.tblHysIndexMLTimeSeries
WHERE     (TickerIndex = N'</t>
        </r>
        <r>
          <rPr>
            <sz val="10"/>
            <color indexed="48"/>
            <rFont val="Tahoma"/>
            <family val="2"/>
          </rPr>
          <t>emrl</t>
        </r>
        <r>
          <rPr>
            <sz val="10"/>
            <color indexed="81"/>
            <rFont val="Tahoma"/>
            <family val="2"/>
          </rPr>
          <t>') 
AND (ReportDate &gt;='2006-03-31') 
AND (DAY(ReportDate + 1) = 1) 
AND (MONTH(ReportDate) = 3 OR MONTH(ReportDate) = 6 
OR MONTH(ReportDate) = 9 OR MONTH(ReportDate) = 12)
ORDER BY ReportDate</t>
        </r>
      </text>
    </comment>
    <comment ref="C115" authorId="1">
      <text>
        <r>
          <rPr>
            <sz val="10"/>
            <color indexed="10"/>
            <rFont val="Tahoma"/>
            <family val="2"/>
          </rPr>
          <t>SELECT TOP (100) PERCENT Leverage.ReportDate, Leverage.IssuerCount As LeverageSample, Liquidity.IssuerCount As LiquiditySample, Coverage.IssuerCount AS CoverageSample, Leverage.TotalDebt, Leverage.Cash, Leverage.NetDebt, Liquidity.STdebt, Leverage.LtmEbitda, Coverage.LtmInterest, Leverage.NetLeverage, Leverage.Leverage, Coverage.CoverageRatio, Liquidity.CashSTdebt, Liquidity.CashTotalDebt, Liquidity.STtoTotalDebt</t>
        </r>
        <r>
          <rPr>
            <sz val="10"/>
            <color indexed="81"/>
            <rFont val="Tahoma"/>
            <family val="2"/>
          </rPr>
          <t xml:space="preserve">
FROM (SELECT TOP (100) PERCENT ReportDate, COUNT(TickerBond) AS IssuerCount, SUM(TotalDebt) AS TotalDebt, SUM(CashEquivalents) AS Cash, SUM(TotalDebt)-SUM(CashEquivalents) AS NetDebt, SUM(LtmEbitda) AS LtmEbitda, (SUM(TotalDebt)-SUM(CashEquivalents)) / SUM(LtmEbitda) AS NetLeverage, SUM(TotalDebt) / SUM(LtmEbitda) AS Leverage
FROM tblHysBalanceSheetMetrics 
WHERE Not (RatingMLAlphaNumeric Is Null) </t>
        </r>
        <r>
          <rPr>
            <sz val="10"/>
            <color indexed="48"/>
            <rFont val="Tahoma"/>
            <family val="2"/>
          </rPr>
          <t>AND (RatingMLAlphaNumeric LIKE 'A%' OR RatingMLAlphaNumeric LIKE 'BBB%') And Not (RatingMLAlphaNumeric LIKE 'D%')</t>
        </r>
        <r>
          <rPr>
            <sz val="10"/>
            <color indexed="81"/>
            <rFont val="Tahoma"/>
            <family val="2"/>
          </rPr>
          <t xml:space="preserve"> And Not (TotalDebt Is Null) And Not (CashEquivalents Is Null) And Not (LtmEbitda Is Null) And ExcludeFromPointInTimeCalcs=0 
</t>
        </r>
        <r>
          <rPr>
            <sz val="10"/>
            <color indexed="17"/>
            <rFont val="Tahoma"/>
            <family val="2"/>
          </rPr>
          <t>AND (TickerBond IN (SELECT DISTINCT TickerBond FROM dbo.tblHysMapBondToEqtyTickers WHERE (EMDMFlag = 'EM') 
AND (CountryFullName IN (SELECT DISTINCT CountryFullName FROM dbo.tblHysMapCountries WHERE (Region = 'Latin America')))))</t>
        </r>
        <r>
          <rPr>
            <sz val="10"/>
            <color indexed="81"/>
            <rFont val="Tahoma"/>
            <family val="2"/>
          </rPr>
          <t xml:space="preserve">
GROUP BY ReportDate
ORDER BY ReportDate) AS Leverage </t>
        </r>
        <r>
          <rPr>
            <b/>
            <sz val="10"/>
            <color indexed="81"/>
            <rFont val="Tahoma"/>
            <family val="2"/>
          </rPr>
          <t xml:space="preserve">INNER JOIN
</t>
        </r>
        <r>
          <rPr>
            <sz val="10"/>
            <color indexed="81"/>
            <rFont val="Tahoma"/>
            <family val="2"/>
          </rPr>
          <t>(SELECT TOP (100) PERCENT ReportDate, COUNT(TickerBond) AS IssuerCount, SUM(ShortTermDebt) AS STdebt, SUM(CashEquivalents) / SUM(ShortTermDebt)*100 AS CashSTdebt, SUM(CashEquivalents) / SUM(TotalDebt)*100 AS CashTotaldebt, SUM(ShortTermDebt) / SUM(TotalDebt)*100 AS STtoTotalDebt
FROM tblHysBalanceSheetMetrics 
WHERE Not (RatingMLAlphaNumeric Is Null)</t>
        </r>
        <r>
          <rPr>
            <sz val="10"/>
            <color indexed="48"/>
            <rFont val="Tahoma"/>
            <family val="2"/>
          </rPr>
          <t xml:space="preserve"> AND (RatingMLAlphaNumeric LIKE 'A%' OR RatingMLAlphaNumeric LIKE 'BBB%') And Not (RatingMLAlphaNumeric LIKE 'D%')</t>
        </r>
        <r>
          <rPr>
            <sz val="10"/>
            <color indexed="81"/>
            <rFont val="Tahoma"/>
            <family val="2"/>
          </rPr>
          <t xml:space="preserve"> And Not (TotalDebt Is Null) And Not (CashEquivalents Is Null) And Not (ShortTermDebt Is Null) And ExcludeFromPointInTimeCalcs=0 
</t>
        </r>
        <r>
          <rPr>
            <sz val="10"/>
            <color indexed="17"/>
            <rFont val="Tahoma"/>
            <family val="2"/>
          </rPr>
          <t>AND (TickerBond IN (SELECT DISTINCT TickerBond FROM dbo.tblHysMapBondToEqtyTickers WHERE (EMDMFlag = 'EM') 
AND (CountryFullName IN (SELECT DISTINCT CountryFullName FROM dbo.tblHysMapCountries WHERE (Region = 'Latin America')))))</t>
        </r>
        <r>
          <rPr>
            <sz val="10"/>
            <color indexed="81"/>
            <rFont val="Tahoma"/>
            <family val="2"/>
          </rPr>
          <t xml:space="preserve">
GROUP BY ReportDate
ORDER BY ReportDate) AS Liquidity </t>
        </r>
        <r>
          <rPr>
            <b/>
            <sz val="10"/>
            <color indexed="81"/>
            <rFont val="Tahoma"/>
            <family val="2"/>
          </rPr>
          <t>INNER JOIN</t>
        </r>
        <r>
          <rPr>
            <sz val="10"/>
            <color indexed="81"/>
            <rFont val="Tahoma"/>
            <family val="2"/>
          </rPr>
          <t xml:space="preserve">
(SELECT TOP (100) PERCENT ReportDate, COUNT(TickerBond) AS IssuerCount, SUM(LtmInterestExpense) AS LtmInterest, SUM(LtmEbitda)/SUM(LtmInterestExpense) AS CoverageRatio
FROM tblHysBalanceSheetMetrics 
WHERE Not (RatingMLAlphaNumeric Is Null) </t>
        </r>
        <r>
          <rPr>
            <sz val="10"/>
            <color indexed="48"/>
            <rFont val="Tahoma"/>
            <family val="2"/>
          </rPr>
          <t xml:space="preserve">AND (RatingMLAlphaNumeric LIKE 'A%' OR RatingMLAlphaNumeric LIKE 'BBB%') And Not (RatingMLAlphaNumeric LIKE 'D%') </t>
        </r>
        <r>
          <rPr>
            <sz val="10"/>
            <color indexed="81"/>
            <rFont val="Tahoma"/>
            <family val="2"/>
          </rPr>
          <t xml:space="preserve">And Not (LtmEbitda Is Null) And Not (LtmInterestExpense Is Null) And ExcludeFromPointInTimeCalcs=0 
</t>
        </r>
        <r>
          <rPr>
            <sz val="10"/>
            <color indexed="17"/>
            <rFont val="Tahoma"/>
            <family val="2"/>
          </rPr>
          <t xml:space="preserve">AND (TickerBond IN (SELECT DISTINCT TickerBond FROM dbo.tblHysMapBondToEqtyTickers WHERE (EMDMFlag = 'EM') 
AND (CountryFullName IN (SELECT DISTINCT CountryFullName FROM dbo.tblHysMapCountries WHERE (Region = 'Latin America')))))
</t>
        </r>
        <r>
          <rPr>
            <sz val="10"/>
            <color indexed="81"/>
            <rFont val="Tahoma"/>
            <family val="2"/>
          </rPr>
          <t xml:space="preserve">
GROUP BY ReportDate
ORDER BY ReportDate) AS Coverage ON Coverage.ReportDate=Liquidity.ReportDate
ON Leverage.ReportDate=Liquidity.ReportDate
ORDER BY Leverage.ReportDate</t>
        </r>
      </text>
    </comment>
    <comment ref="R115" authorId="0">
      <text>
        <r>
          <rPr>
            <sz val="10"/>
            <color indexed="81"/>
            <rFont val="Tahoma"/>
            <family val="2"/>
          </rPr>
          <t xml:space="preserve">SELECT SUM(a.OAS * a.FullMarketValueUSD)/ SUM(a.FullMarketValueUSD) AS OAS
FROM dbo.tblHysIndexMLMemberlistNew a 
INNER JOIN 
(
SELECT ReportDate, TickerBond  FROM dbo.tblHysBalanceSheetMetrics
</t>
        </r>
        <r>
          <rPr>
            <sz val="10"/>
            <color indexed="12"/>
            <rFont val="Tahoma"/>
            <family val="2"/>
          </rPr>
          <t xml:space="preserve">WHERE Not (RatingMLAlphaNumeric Is Null) AND (RatingMLAlphaNumeric LIKE 'A%' OR RatingMLAlphaNumeric LIKE 'BBB%') And Not (RatingMLAlphaNumeric LIKE 'D%') And Not (TotalDebt Is Null) And Not (CashEquivalents Is Null) And Not (LtmEbitda Is Null) And ExcludeFromPointInTimeCalcs=0 
AND (TickerBond IN (SELECT DISTINCT TickerBond FROM dbo.tblHysMapBondToEqtyTickers WHERE (EMDMFlag = 'EM') 
AND (CountryFullName IN (SELECT DISTINCT CountryFullName FROM dbo.tblHysMapCountries WHERE (Region = 'Latin America')))))
</t>
        </r>
        <r>
          <rPr>
            <sz val="10"/>
            <color indexed="81"/>
            <rFont val="Tahoma"/>
            <family val="2"/>
          </rPr>
          <t>)b 
ON a.TickerBond = b.TickerBond and a.reportdate=b.reportdate
WHERE (a.TickerIndex = 'EMCB') AND (a.ReportDate &gt; '12/31/2005')
AND (DATEPART(mm, a.ReportDate) = 3 OR DATEPART(mm, a.ReportDate) = 6 
OR DATEPART(mm, a.ReportDate) = 9 OR DATEPART(mm, a.ReportDate) = 12) 
GROUP BY a.ReportDate
ORDER BY a.ReportDate</t>
        </r>
      </text>
    </comment>
    <comment ref="T115" authorId="0">
      <text>
        <r>
          <rPr>
            <sz val="10"/>
            <color indexed="81"/>
            <rFont val="Tahoma"/>
            <family val="2"/>
          </rPr>
          <t>SELECT OAS
FROM dbo.tblHysIndexMLTimeSeries
WHERE     (TickerIndex = N'</t>
        </r>
        <r>
          <rPr>
            <sz val="10"/>
            <color indexed="48"/>
            <rFont val="Tahoma"/>
            <family val="2"/>
          </rPr>
          <t>emil</t>
        </r>
        <r>
          <rPr>
            <sz val="10"/>
            <color indexed="81"/>
            <rFont val="Tahoma"/>
            <family val="2"/>
          </rPr>
          <t>') 
AND (ReportDate &gt;='2006-03-31') 
AND (DAY(ReportDate + 1) = 1) 
AND (MONTH(ReportDate) = 3 OR MONTH(ReportDate) = 6 
OR MONTH(ReportDate) = 9 OR MONTH(ReportDate) = 12)
ORDER BY ReportDate</t>
        </r>
      </text>
    </comment>
    <comment ref="C143" authorId="1">
      <text>
        <r>
          <rPr>
            <sz val="10"/>
            <color indexed="10"/>
            <rFont val="Tahoma"/>
            <family val="2"/>
          </rPr>
          <t>SELECT TOP (100) PERCENT Leverage.ReportDate, Leverage.IssuerCount As LeverageSample, Liquidity.IssuerCount As LiquiditySample, Coverage.IssuerCount AS CoverageSample, Leverage.TotalDebt, Leverage.Cash, Leverage.NetDebt, Liquidity.STdebt, Leverage.LtmEbitda, Coverage.LtmInterest, Leverage.NetLeverage, Leverage.Leverage, Coverage.CoverageRatio, Liquidity.CashSTdebt, Liquidity.CashTotalDebt, Liquidity.STtoTotalDebt</t>
        </r>
        <r>
          <rPr>
            <sz val="10"/>
            <color indexed="81"/>
            <rFont val="Tahoma"/>
            <family val="2"/>
          </rPr>
          <t xml:space="preserve">
FROM (SELECT TOP (100) PERCENT ReportDate, COUNT(TickerBond) AS IssuerCount, SUM(TotalDebt) AS TotalDebt, SUM(CashEquivalents) AS Cash, SUM(TotalDebt)-SUM(CashEquivalents) AS NetDebt, SUM(LtmEbitda) AS LtmEbitda, (SUM(TotalDebt)-SUM(CashEquivalents)) / SUM(LtmEbitda) AS NetLeverage, SUM(TotalDebt) / SUM(LtmEbitda) AS Leverage
FROM tblHysBalanceSheetMetrics 
WHERE Not (RatingMLAlphaNumeric Is Null) </t>
        </r>
        <r>
          <rPr>
            <sz val="10"/>
            <color indexed="48"/>
            <rFont val="Tahoma"/>
            <family val="2"/>
          </rPr>
          <t>AND (RatingMLAlphaNumeric LIKE 'C%' OR RatingMLAlphaNumeric LIKE 'B%' AND RatingMLAlphaNumeric NOT LIKE 'BBB%') And Not (RatingMLAlphaNumeric LIKE 'D%')</t>
        </r>
        <r>
          <rPr>
            <sz val="10"/>
            <color indexed="81"/>
            <rFont val="Tahoma"/>
            <family val="2"/>
          </rPr>
          <t xml:space="preserve"> And Not (TotalDebt Is Null) And Not (CashEquivalents Is Null) And Not (LtmEbitda Is Null) And ExcludeFromPointInTimeCalcs=0 
</t>
        </r>
        <r>
          <rPr>
            <sz val="10"/>
            <color indexed="17"/>
            <rFont val="Tahoma"/>
            <family val="2"/>
          </rPr>
          <t>AND (TickerBond IN (SELECT DISTINCT TickerBond FROM dbo.tblHysMapBondToEqtyTickers WHERE (EMDMFlag = 'EM') 
AND (CountryFullName IN (SELECT DISTINCT CountryFullName FROM dbo.tblHysMapCountries WHERE (Region = 'Latin America')))))</t>
        </r>
        <r>
          <rPr>
            <sz val="10"/>
            <color indexed="81"/>
            <rFont val="Tahoma"/>
            <family val="2"/>
          </rPr>
          <t xml:space="preserve">
GROUP BY ReportDate
ORDER BY ReportDate) AS Leverage </t>
        </r>
        <r>
          <rPr>
            <b/>
            <sz val="10"/>
            <color indexed="81"/>
            <rFont val="Tahoma"/>
            <family val="2"/>
          </rPr>
          <t xml:space="preserve">INNER JOIN
</t>
        </r>
        <r>
          <rPr>
            <sz val="10"/>
            <color indexed="81"/>
            <rFont val="Tahoma"/>
            <family val="2"/>
          </rPr>
          <t>(SELECT TOP (100) PERCENT ReportDate, COUNT(TickerBond) AS IssuerCount, SUM(ShortTermDebt) AS STdebt, SUM(CashEquivalents) / SUM(ShortTermDebt)*100 AS CashSTdebt, SUM(CashEquivalents) / SUM(TotalDebt)*100 AS CashTotaldebt, SUM(ShortTermDebt) / SUM(TotalDebt)*100 AS STtoTotalDebt
FROM tblHysBalanceSheetMetrics 
WHERE Not (RatingMLAlphaNumeric Is Null)</t>
        </r>
        <r>
          <rPr>
            <sz val="10"/>
            <color indexed="48"/>
            <rFont val="Tahoma"/>
            <family val="2"/>
          </rPr>
          <t xml:space="preserve"> AND (RatingMLAlphaNumeric LIKE 'C%' OR RatingMLAlphaNumeric LIKE 'B%' AND RatingMLAlphaNumeric NOT LIKE 'BBB%') And Not (RatingMLAlphaNumeric LIKE 'D%')</t>
        </r>
        <r>
          <rPr>
            <sz val="10"/>
            <color indexed="81"/>
            <rFont val="Tahoma"/>
            <family val="2"/>
          </rPr>
          <t xml:space="preserve"> And Not (TotalDebt Is Null) And Not (CashEquivalents Is Null) And Not (ShortTermDebt Is Null) And ExcludeFromPointInTimeCalcs=0 
</t>
        </r>
        <r>
          <rPr>
            <sz val="10"/>
            <color indexed="17"/>
            <rFont val="Tahoma"/>
            <family val="2"/>
          </rPr>
          <t>AND (TickerBond IN (SELECT DISTINCT TickerBond FROM dbo.tblHysMapBondToEqtyTickers WHERE (EMDMFlag = 'EM') 
AND (CountryFullName IN (SELECT DISTINCT CountryFullName FROM dbo.tblHysMapCountries WHERE (Region = 'Latin America')))))</t>
        </r>
        <r>
          <rPr>
            <sz val="10"/>
            <color indexed="81"/>
            <rFont val="Tahoma"/>
            <family val="2"/>
          </rPr>
          <t xml:space="preserve">
GROUP BY ReportDate
ORDER BY ReportDate) AS Liquidity </t>
        </r>
        <r>
          <rPr>
            <b/>
            <sz val="10"/>
            <color indexed="81"/>
            <rFont val="Tahoma"/>
            <family val="2"/>
          </rPr>
          <t>INNER JOIN</t>
        </r>
        <r>
          <rPr>
            <sz val="10"/>
            <color indexed="81"/>
            <rFont val="Tahoma"/>
            <family val="2"/>
          </rPr>
          <t xml:space="preserve">
(SELECT TOP (100) PERCENT ReportDate, COUNT(TickerBond) AS IssuerCount, SUM(LtmInterestExpense) AS LtmInterest, SUM(LtmEbitda)/SUM(LtmInterestExpense) AS CoverageRatio
FROM tblHysBalanceSheetMetrics 
WHERE Not (RatingMLAlphaNumeric Is Null) </t>
        </r>
        <r>
          <rPr>
            <sz val="10"/>
            <color indexed="48"/>
            <rFont val="Tahoma"/>
            <family val="2"/>
          </rPr>
          <t xml:space="preserve">AND (RatingMLAlphaNumeric LIKE 'C%' OR RatingMLAlphaNumeric LIKE 'B%' AND RatingMLAlphaNumeric NOT LIKE 'BBB%') And Not (RatingMLAlphaNumeric LIKE 'D%') </t>
        </r>
        <r>
          <rPr>
            <sz val="10"/>
            <color indexed="81"/>
            <rFont val="Tahoma"/>
            <family val="2"/>
          </rPr>
          <t xml:space="preserve">And Not (LtmEbitda Is Null) And Not (LtmInterestExpense Is Null) And ExcludeFromPointInTimeCalcs=0 
</t>
        </r>
        <r>
          <rPr>
            <sz val="10"/>
            <color indexed="17"/>
            <rFont val="Tahoma"/>
            <family val="2"/>
          </rPr>
          <t xml:space="preserve">AND (TickerBond IN (SELECT DISTINCT TickerBond FROM dbo.tblHysMapBondToEqtyTickers WHERE (EMDMFlag = 'EM') 
AND (CountryFullName IN (SELECT DISTINCT CountryFullName FROM dbo.tblHysMapCountries WHERE (Region = 'Latin America')))))
</t>
        </r>
        <r>
          <rPr>
            <sz val="10"/>
            <color indexed="81"/>
            <rFont val="Tahoma"/>
            <family val="2"/>
          </rPr>
          <t xml:space="preserve">
GROUP BY ReportDate
ORDER BY ReportDate) AS Coverage ON Coverage.ReportDate=Liquidity.ReportDate
ON Leverage.ReportDate=Liquidity.ReportDate
ORDER BY Leverage.ReportDate</t>
        </r>
      </text>
    </comment>
    <comment ref="R143" authorId="0">
      <text>
        <r>
          <rPr>
            <sz val="10"/>
            <color indexed="81"/>
            <rFont val="Tahoma"/>
            <family val="2"/>
          </rPr>
          <t xml:space="preserve">SELECT SUM(a.OAS * a.FullMarketValueUSD)/ SUM(a.FullMarketValueUSD) AS OAS
FROM dbo.tblHysIndexMLMemberlistNew a 
INNER JOIN 
(
SELECT ReportDate, TickerBond  FROM dbo.tblHysBalanceSheetMetrics
</t>
        </r>
        <r>
          <rPr>
            <sz val="10"/>
            <color indexed="12"/>
            <rFont val="Tahoma"/>
            <family val="2"/>
          </rPr>
          <t xml:space="preserve">WHERE Not (RatingMLAlphaNumeric Is Null) AND (RatingMLAlphaNumeric LIKE 'C%' OR RatingMLAlphaNumeric LIKE 'B%' AND RatingMLAlphaNumeric NOT LIKE 'BBB%') And Not (RatingMLAlphaNumeric LIKE 'D%') And Not (TotalDebt Is Null) And Not (CashEquivalents Is Null) And Not (LtmEbitda Is Null) And ExcludeFromPointInTimeCalcs=0 
AND (TickerBond IN (SELECT DISTINCT TickerBond FROM dbo.tblHysMapBondToEqtyTickers WHERE (EMDMFlag = 'EM') 
AND (CountryFullName IN (SELECT DISTINCT CountryFullName FROM dbo.tblHysMapCountries WHERE (Region = 'Latin America')))))
</t>
        </r>
        <r>
          <rPr>
            <sz val="10"/>
            <color indexed="81"/>
            <rFont val="Tahoma"/>
            <family val="2"/>
          </rPr>
          <t>)b 
ON a.TickerBond = b.TickerBond and a.reportdate=b.reportdate
WHERE (a.TickerIndex = 'EMCB') AND (a.ReportDate &gt; '12/31/2005')
AND (DATEPART(mm, a.ReportDate) = 3 OR DATEPART(mm, a.ReportDate) = 6 
OR DATEPART(mm, a.ReportDate) = 9 OR DATEPART(mm, a.ReportDate) = 12) 
GROUP BY a.ReportDate
ORDER BY a.ReportDate</t>
        </r>
      </text>
    </comment>
    <comment ref="T143" authorId="0">
      <text>
        <r>
          <rPr>
            <sz val="10"/>
            <color indexed="81"/>
            <rFont val="Tahoma"/>
            <family val="2"/>
          </rPr>
          <t>SELECT OAS
FROM dbo.tblHysIndexMLTimeSeries
WHERE     (TickerIndex = N'</t>
        </r>
        <r>
          <rPr>
            <sz val="10"/>
            <color indexed="48"/>
            <rFont val="Tahoma"/>
            <family val="2"/>
          </rPr>
          <t>emhl</t>
        </r>
        <r>
          <rPr>
            <sz val="10"/>
            <color indexed="81"/>
            <rFont val="Tahoma"/>
            <family val="2"/>
          </rPr>
          <t>') 
AND (ReportDate &gt;='2006-03-31') 
AND (DAY(ReportDate + 1) = 1) 
AND (MONTH(ReportDate) = 3 OR MONTH(ReportDate) = 6 
OR MONTH(ReportDate) = 9 OR MONTH(ReportDate) = 12)
ORDER BY ReportDate</t>
        </r>
      </text>
    </comment>
    <comment ref="C171" authorId="1">
      <text>
        <r>
          <rPr>
            <sz val="10"/>
            <color indexed="10"/>
            <rFont val="Tahoma"/>
            <family val="2"/>
          </rPr>
          <t>SELECT TOP (100) PERCENT Leverage.ReportDate, Leverage.IssuerCount As LeverageSample, Liquidity.IssuerCount As LiquiditySample, Coverage.IssuerCount AS CoverageSample, Leverage.TotalDebt, Leverage.Cash, Leverage.NetDebt, Liquidity.STdebt, Leverage.LtmEbitda, Coverage.LtmInterest, Leverage.NetLeverage, Leverage.Leverage, Coverage.CoverageRatio, Liquidity.CashSTdebt, Liquidity.CashTotalDebt, Liquidity.STtoTotalDebt</t>
        </r>
        <r>
          <rPr>
            <sz val="10"/>
            <color indexed="81"/>
            <rFont val="Tahoma"/>
            <family val="2"/>
          </rPr>
          <t xml:space="preserve">
FROM (SELECT TOP (100) PERCENT ReportDate, COUNT(TickerBond) AS IssuerCount, SUM(TotalDebt) AS TotalDebt, SUM(CashEquivalents) AS Cash, SUM(TotalDebt)-SUM(CashEquivalents) AS NetDebt, SUM(LtmEbitda) AS LtmEbitda, (SUM(TotalDebt)-SUM(CashEquivalents)) / SUM(LtmEbitda) AS NetLeverage, SUM(TotalDebt) / SUM(LtmEbitda) AS Leverage
FROM tblHysBalanceSheetMetrics 
WHERE Not (RatingMLAlphaNumeric Is Null) </t>
        </r>
        <r>
          <rPr>
            <sz val="10"/>
            <color indexed="48"/>
            <rFont val="Tahoma"/>
            <family val="2"/>
          </rPr>
          <t>And Not (RatingMLAlphaNumeric LIKE 'D%')</t>
        </r>
        <r>
          <rPr>
            <sz val="10"/>
            <color indexed="81"/>
            <rFont val="Tahoma"/>
            <family val="2"/>
          </rPr>
          <t xml:space="preserve"> And Not (TotalDebt Is Null) And Not (CashEquivalents Is Null) And Not (LtmEbitda Is Null) And ExcludeFromPointInTimeCalcs=0 
</t>
        </r>
        <r>
          <rPr>
            <sz val="10"/>
            <color indexed="17"/>
            <rFont val="Tahoma"/>
            <family val="2"/>
          </rPr>
          <t>AND (TickerBond IN (SELECT DISTINCT TickerBond FROM dbo.tblHysMapBondToEqtyTickers WHERE (EMDMFlag = 'EM') 
AND (CountryFullName IN (SELECT DISTINCT CountryFullName FROM dbo.tblHysMapCountries WHERE (Region = 'EMEA')))))</t>
        </r>
        <r>
          <rPr>
            <sz val="10"/>
            <color indexed="81"/>
            <rFont val="Tahoma"/>
            <family val="2"/>
          </rPr>
          <t xml:space="preserve">
GROUP BY ReportDate
ORDER BY ReportDate) AS Leverage </t>
        </r>
        <r>
          <rPr>
            <b/>
            <sz val="10"/>
            <color indexed="81"/>
            <rFont val="Tahoma"/>
            <family val="2"/>
          </rPr>
          <t xml:space="preserve">INNER JOIN
</t>
        </r>
        <r>
          <rPr>
            <sz val="10"/>
            <color indexed="81"/>
            <rFont val="Tahoma"/>
            <family val="2"/>
          </rPr>
          <t>(SELECT TOP (100) PERCENT ReportDate, COUNT(TickerBond) AS IssuerCount, SUM(ShortTermDebt) AS STdebt, SUM(CashEquivalents) / SUM(ShortTermDebt)*100 AS CashSTdebt, SUM(CashEquivalents) / SUM(TotalDebt)*100 AS CashTotaldebt, SUM(ShortTermDebt) / SUM(TotalDebt)*100 AS STtoTotalDebt
FROM tblHysBalanceSheetMetrics 
WHERE Not (RatingMLAlphaNumeric Is Null)</t>
        </r>
        <r>
          <rPr>
            <sz val="10"/>
            <color indexed="48"/>
            <rFont val="Tahoma"/>
            <family val="2"/>
          </rPr>
          <t xml:space="preserve"> And Not (RatingMLAlphaNumeric LIKE 'D%')</t>
        </r>
        <r>
          <rPr>
            <sz val="10"/>
            <color indexed="81"/>
            <rFont val="Tahoma"/>
            <family val="2"/>
          </rPr>
          <t xml:space="preserve"> And Not (TotalDebt Is Null) And Not (CashEquivalents Is Null) And Not (ShortTermDebt Is Null) And ExcludeFromPointInTimeCalcs=0 
</t>
        </r>
        <r>
          <rPr>
            <sz val="10"/>
            <color indexed="17"/>
            <rFont val="Tahoma"/>
            <family val="2"/>
          </rPr>
          <t>AND (TickerBond IN (SELECT DISTINCT TickerBond FROM dbo.tblHysMapBondToEqtyTickers WHERE (EMDMFlag = 'EM') 
AND (CountryFullName IN (SELECT DISTINCT CountryFullName FROM dbo.tblHysMapCountries WHERE (Region = 'EMEA')))))</t>
        </r>
        <r>
          <rPr>
            <sz val="10"/>
            <color indexed="81"/>
            <rFont val="Tahoma"/>
            <family val="2"/>
          </rPr>
          <t xml:space="preserve">
GROUP BY ReportDate
ORDER BY ReportDate) AS Liquidity </t>
        </r>
        <r>
          <rPr>
            <b/>
            <sz val="10"/>
            <color indexed="81"/>
            <rFont val="Tahoma"/>
            <family val="2"/>
          </rPr>
          <t>INNER JOIN</t>
        </r>
        <r>
          <rPr>
            <sz val="10"/>
            <color indexed="81"/>
            <rFont val="Tahoma"/>
            <family val="2"/>
          </rPr>
          <t xml:space="preserve">
(SELECT TOP (100) PERCENT ReportDate, COUNT(TickerBond) AS IssuerCount, SUM(LtmInterestExpense) AS LtmInterest, SUM(LtmEbitda)/SUM(LtmInterestExpense) AS CoverageRatio
FROM tblHysBalanceSheetMetrics 
WHERE Not (RatingMLAlphaNumeric Is Null) </t>
        </r>
        <r>
          <rPr>
            <sz val="10"/>
            <color indexed="48"/>
            <rFont val="Tahoma"/>
            <family val="2"/>
          </rPr>
          <t xml:space="preserve">And Not (RatingMLAlphaNumeric LIKE 'D%') </t>
        </r>
        <r>
          <rPr>
            <sz val="10"/>
            <color indexed="81"/>
            <rFont val="Tahoma"/>
            <family val="2"/>
          </rPr>
          <t xml:space="preserve">And Not (LtmEbitda Is Null) And Not (LtmInterestExpense Is Null) And ExcludeFromPointInTimeCalcs=0 
</t>
        </r>
        <r>
          <rPr>
            <sz val="10"/>
            <color indexed="17"/>
            <rFont val="Tahoma"/>
            <family val="2"/>
          </rPr>
          <t xml:space="preserve">AND (TickerBond IN (SELECT DISTINCT TickerBond FROM dbo.tblHysMapBondToEqtyTickers WHERE (EMDMFlag = 'EM') 
AND (CountryFullName IN (SELECT DISTINCT CountryFullName FROM dbo.tblHysMapCountries WHERE (Region = 'EMEA')))))
</t>
        </r>
        <r>
          <rPr>
            <sz val="10"/>
            <color indexed="81"/>
            <rFont val="Tahoma"/>
            <family val="2"/>
          </rPr>
          <t xml:space="preserve">
GROUP BY ReportDate
ORDER BY ReportDate) AS Coverage ON Coverage.ReportDate=Liquidity.ReportDate
ON Leverage.ReportDate=Liquidity.ReportDate
ORDER BY Leverage.ReportDate</t>
        </r>
      </text>
    </comment>
    <comment ref="R171" authorId="0">
      <text>
        <r>
          <rPr>
            <sz val="10"/>
            <color indexed="81"/>
            <rFont val="Tahoma"/>
            <family val="2"/>
          </rPr>
          <t xml:space="preserve">SELECT SUM(a.OAS * a.FullMarketValueUSD)/ SUM(a.FullMarketValueUSD) AS OAS
FROM dbo.tblHysIndexMLMemberlistNew a 
INNER JOIN 
(
SELECT ReportDate, TickerBond  FROM dbo.tblHysBalanceSheetMetrics
</t>
        </r>
        <r>
          <rPr>
            <sz val="10"/>
            <color indexed="12"/>
            <rFont val="Tahoma"/>
            <family val="2"/>
          </rPr>
          <t xml:space="preserve">WHERE Not (RatingMLAlphaNumeric Is Null) And Not (RatingMLAlphaNumeric LIKE 'D%') And Not (TotalDebt Is Null) And Not (CashEquivalents Is Null) And Not (LtmEbitda Is Null) And ExcludeFromPointInTimeCalcs=0 
AND (TickerBond IN (SELECT DISTINCT TickerBond FROM dbo.tblHysMapBondToEqtyTickers WHERE (EMDMFlag = 'EM') 
AND (CountryFullName IN (SELECT DISTINCT CountryFullName FROM dbo.tblHysMapCountries WHERE (Region = 'EMEA')))))
</t>
        </r>
        <r>
          <rPr>
            <sz val="10"/>
            <color indexed="81"/>
            <rFont val="Tahoma"/>
            <family val="2"/>
          </rPr>
          <t>)b 
ON a.TickerBond = b.TickerBond and a.reportdate=b.reportdate
WHERE (a.TickerIndex = 'EMCB') AND (a.ReportDate &gt; '12/31/2005')
AND (DATEPART(mm, a.ReportDate) = 3 OR DATEPART(mm, a.ReportDate) = 6 
OR DATEPART(mm, a.ReportDate) = 9 OR DATEPART(mm, a.ReportDate) = 12) 
GROUP BY a.ReportDate
ORDER BY a.ReportDate</t>
        </r>
      </text>
    </comment>
    <comment ref="T171" authorId="0">
      <text>
        <r>
          <rPr>
            <sz val="10"/>
            <color indexed="81"/>
            <rFont val="Tahoma"/>
            <family val="2"/>
          </rPr>
          <t>SELECT OAS
FROM dbo.tblHysIndexMLTimeSeries
WHERE     (TickerIndex = N'</t>
        </r>
        <r>
          <rPr>
            <sz val="10"/>
            <color indexed="48"/>
            <rFont val="Tahoma"/>
            <family val="2"/>
          </rPr>
          <t>emre</t>
        </r>
        <r>
          <rPr>
            <sz val="10"/>
            <color indexed="81"/>
            <rFont val="Tahoma"/>
            <family val="2"/>
          </rPr>
          <t>') 
AND (ReportDate &gt;='2006-03-31') 
AND (DAY(ReportDate + 1) = 1) 
AND (MONTH(ReportDate) = 3 OR MONTH(ReportDate) = 6 
OR MONTH(ReportDate) = 9 OR MONTH(ReportDate) = 12)
ORDER BY ReportDate</t>
        </r>
      </text>
    </comment>
    <comment ref="C199" authorId="1">
      <text>
        <r>
          <rPr>
            <sz val="10"/>
            <color indexed="10"/>
            <rFont val="Tahoma"/>
            <family val="2"/>
          </rPr>
          <t>SELECT TOP (100) PERCENT Leverage.ReportDate, Leverage.IssuerCount As LeverageSample, Liquidity.IssuerCount As LiquiditySample, Coverage.IssuerCount AS CoverageSample, Leverage.TotalDebt, Leverage.Cash, Leverage.NetDebt, Liquidity.STdebt, Leverage.LtmEbitda, Coverage.LtmInterest, Leverage.NetLeverage, Leverage.Leverage, Coverage.CoverageRatio, Liquidity.CashSTdebt, Liquidity.CashTotalDebt, Liquidity.STtoTotalDebt</t>
        </r>
        <r>
          <rPr>
            <sz val="10"/>
            <color indexed="81"/>
            <rFont val="Tahoma"/>
            <family val="2"/>
          </rPr>
          <t xml:space="preserve">
FROM (SELECT TOP (100) PERCENT ReportDate, COUNT(TickerBond) AS IssuerCount, SUM(TotalDebt) AS TotalDebt, SUM(CashEquivalents) AS Cash, SUM(TotalDebt)-SUM(CashEquivalents) AS NetDebt, SUM(LtmEbitda) AS LtmEbitda, (SUM(TotalDebt)-SUM(CashEquivalents)) / SUM(LtmEbitda) AS NetLeverage, SUM(TotalDebt) / SUM(LtmEbitda) AS Leverage
FROM tblHysBalanceSheetMetrics 
WHERE Not (RatingMLAlphaNumeric Is Null) </t>
        </r>
        <r>
          <rPr>
            <sz val="10"/>
            <color indexed="48"/>
            <rFont val="Tahoma"/>
            <family val="2"/>
          </rPr>
          <t>AND (RatingMLAlphaNumeric LIKE 'A%' OR RatingMLAlphaNumeric LIKE 'BBB%') And Not (RatingMLAlphaNumeric LIKE 'D%')</t>
        </r>
        <r>
          <rPr>
            <sz val="10"/>
            <color indexed="81"/>
            <rFont val="Tahoma"/>
            <family val="2"/>
          </rPr>
          <t xml:space="preserve"> And Not (TotalDebt Is Null) And Not (CashEquivalents Is Null) And Not (LtmEbitda Is Null) And ExcludeFromPointInTimeCalcs=0 
</t>
        </r>
        <r>
          <rPr>
            <sz val="10"/>
            <color indexed="17"/>
            <rFont val="Tahoma"/>
            <family val="2"/>
          </rPr>
          <t>AND (TickerBond IN (SELECT DISTINCT TickerBond FROM dbo.tblHysMapBondToEqtyTickers WHERE (EMDMFlag = 'EM') 
AND (CountryFullName IN (SELECT DISTINCT CountryFullName FROM dbo.tblHysMapCountries WHERE (Region = 'EMEA')))))</t>
        </r>
        <r>
          <rPr>
            <sz val="10"/>
            <color indexed="81"/>
            <rFont val="Tahoma"/>
            <family val="2"/>
          </rPr>
          <t xml:space="preserve">
GROUP BY ReportDate
ORDER BY ReportDate) AS Leverage </t>
        </r>
        <r>
          <rPr>
            <b/>
            <sz val="10"/>
            <color indexed="81"/>
            <rFont val="Tahoma"/>
            <family val="2"/>
          </rPr>
          <t xml:space="preserve">INNER JOIN
</t>
        </r>
        <r>
          <rPr>
            <sz val="10"/>
            <color indexed="81"/>
            <rFont val="Tahoma"/>
            <family val="2"/>
          </rPr>
          <t>(SELECT TOP (100) PERCENT ReportDate, COUNT(TickerBond) AS IssuerCount, SUM(ShortTermDebt) AS STdebt, SUM(CashEquivalents) / SUM(ShortTermDebt)*100 AS CashSTdebt, SUM(CashEquivalents) / SUM(TotalDebt)*100 AS CashTotaldebt, SUM(ShortTermDebt) / SUM(TotalDebt)*100 AS STtoTotalDebt
FROM tblHysBalanceSheetMetrics 
WHERE Not (RatingMLAlphaNumeric Is Null)</t>
        </r>
        <r>
          <rPr>
            <sz val="10"/>
            <color indexed="48"/>
            <rFont val="Tahoma"/>
            <family val="2"/>
          </rPr>
          <t xml:space="preserve"> AND (RatingMLAlphaNumeric LIKE 'A%' OR RatingMLAlphaNumeric LIKE 'BBB%') And Not (RatingMLAlphaNumeric LIKE 'D%')</t>
        </r>
        <r>
          <rPr>
            <sz val="10"/>
            <color indexed="81"/>
            <rFont val="Tahoma"/>
            <family val="2"/>
          </rPr>
          <t xml:space="preserve"> And Not (TotalDebt Is Null) And Not (CashEquivalents Is Null) And Not (ShortTermDebt Is Null) And ExcludeFromPointInTimeCalcs=0 
</t>
        </r>
        <r>
          <rPr>
            <sz val="10"/>
            <color indexed="17"/>
            <rFont val="Tahoma"/>
            <family val="2"/>
          </rPr>
          <t>AND (TickerBond IN (SELECT DISTINCT TickerBond FROM dbo.tblHysMapBondToEqtyTickers WHERE (EMDMFlag = 'EM') 
AND (CountryFullName IN (SELECT DISTINCT CountryFullName FROM dbo.tblHysMapCountries WHERE (Region = 'EMEA')))))</t>
        </r>
        <r>
          <rPr>
            <sz val="10"/>
            <color indexed="81"/>
            <rFont val="Tahoma"/>
            <family val="2"/>
          </rPr>
          <t xml:space="preserve">
GROUP BY ReportDate
ORDER BY ReportDate) AS Liquidity </t>
        </r>
        <r>
          <rPr>
            <b/>
            <sz val="10"/>
            <color indexed="81"/>
            <rFont val="Tahoma"/>
            <family val="2"/>
          </rPr>
          <t>INNER JOIN</t>
        </r>
        <r>
          <rPr>
            <sz val="10"/>
            <color indexed="81"/>
            <rFont val="Tahoma"/>
            <family val="2"/>
          </rPr>
          <t xml:space="preserve">
(SELECT TOP (100) PERCENT ReportDate, COUNT(TickerBond) AS IssuerCount, SUM(LtmInterestExpense) AS LtmInterest, SUM(LtmEbitda)/SUM(LtmInterestExpense) AS CoverageRatio
FROM tblHysBalanceSheetMetrics 
WHERE Not (RatingMLAlphaNumeric Is Null) </t>
        </r>
        <r>
          <rPr>
            <sz val="10"/>
            <color indexed="48"/>
            <rFont val="Tahoma"/>
            <family val="2"/>
          </rPr>
          <t xml:space="preserve">AND (RatingMLAlphaNumeric LIKE 'A%' OR RatingMLAlphaNumeric LIKE 'BBB%') And Not (RatingMLAlphaNumeric LIKE 'D%') </t>
        </r>
        <r>
          <rPr>
            <sz val="10"/>
            <color indexed="81"/>
            <rFont val="Tahoma"/>
            <family val="2"/>
          </rPr>
          <t xml:space="preserve">And Not (LtmEbitda Is Null) And Not (LtmInterestExpense Is Null) And ExcludeFromPointInTimeCalcs=0 
</t>
        </r>
        <r>
          <rPr>
            <sz val="10"/>
            <color indexed="17"/>
            <rFont val="Tahoma"/>
            <family val="2"/>
          </rPr>
          <t xml:space="preserve">AND (TickerBond IN (SELECT DISTINCT TickerBond FROM dbo.tblHysMapBondToEqtyTickers WHERE (EMDMFlag = 'EM') 
AND (CountryFullName IN (SELECT DISTINCT CountryFullName FROM dbo.tblHysMapCountries WHERE (Region = 'EMEA')))))
</t>
        </r>
        <r>
          <rPr>
            <sz val="10"/>
            <color indexed="81"/>
            <rFont val="Tahoma"/>
            <family val="2"/>
          </rPr>
          <t xml:space="preserve">
GROUP BY ReportDate
ORDER BY ReportDate) AS Coverage ON Coverage.ReportDate=Liquidity.ReportDate
ON Leverage.ReportDate=Liquidity.ReportDate
ORDER BY Leverage.ReportDate</t>
        </r>
      </text>
    </comment>
    <comment ref="R199" authorId="0">
      <text>
        <r>
          <rPr>
            <sz val="10"/>
            <color indexed="81"/>
            <rFont val="Tahoma"/>
            <family val="2"/>
          </rPr>
          <t xml:space="preserve">SELECT SUM(a.OAS * a.FullMarketValueUSD)/ SUM(a.FullMarketValueUSD) AS OAS
FROM dbo.tblHysIndexMLMemberlistNew a 
INNER JOIN 
(
SELECT ReportDate, TickerBond  FROM dbo.tblHysBalanceSheetMetrics
</t>
        </r>
        <r>
          <rPr>
            <sz val="10"/>
            <color indexed="12"/>
            <rFont val="Tahoma"/>
            <family val="2"/>
          </rPr>
          <t xml:space="preserve">WHERE Not (RatingMLAlphaNumeric Is Null) AND (RatingMLAlphaNumeric LIKE 'A%' OR RatingMLAlphaNumeric LIKE 'BBB%') And Not (RatingMLAlphaNumeric LIKE 'D%') And Not (TotalDebt Is Null) And Not (CashEquivalents Is Null) And Not (LtmEbitda Is Null) And ExcludeFromPointInTimeCalcs=0 
AND (TickerBond IN (SELECT DISTINCT TickerBond FROM dbo.tblHysMapBondToEqtyTickers WHERE (EMDMFlag = 'EM') 
AND (CountryFullName IN (SELECT DISTINCT CountryFullName FROM dbo.tblHysMapCountries WHERE (Region = 'EMEA')))))
</t>
        </r>
        <r>
          <rPr>
            <sz val="10"/>
            <color indexed="81"/>
            <rFont val="Tahoma"/>
            <family val="2"/>
          </rPr>
          <t>)b 
ON a.TickerBond = b.TickerBond and a.reportdate=b.reportdate
WHERE (a.TickerIndex = 'EMCB') AND (a.ReportDate &gt; '12/31/2005')
AND (DATEPART(mm, a.ReportDate) = 3 OR DATEPART(mm, a.ReportDate) = 6 
OR DATEPART(mm, a.ReportDate) = 9 OR DATEPART(mm, a.ReportDate) = 12) 
GROUP BY a.ReportDate
ORDER BY a.ReportDate</t>
        </r>
      </text>
    </comment>
    <comment ref="T199" authorId="0">
      <text>
        <r>
          <rPr>
            <sz val="10"/>
            <color indexed="81"/>
            <rFont val="Tahoma"/>
            <family val="2"/>
          </rPr>
          <t>SELECT OAS
FROM dbo.tblHysIndexMLTimeSeries
WHERE     (TickerIndex = N'</t>
        </r>
        <r>
          <rPr>
            <sz val="10"/>
            <color indexed="48"/>
            <rFont val="Tahoma"/>
            <family val="2"/>
          </rPr>
          <t>emie</t>
        </r>
        <r>
          <rPr>
            <sz val="10"/>
            <color indexed="81"/>
            <rFont val="Tahoma"/>
            <family val="2"/>
          </rPr>
          <t>') 
AND (ReportDate &gt;='2006-03-31') 
AND (DAY(ReportDate + 1) = 1) 
AND (MONTH(ReportDate) = 3 OR MONTH(ReportDate) = 6 
OR MONTH(ReportDate) = 9 OR MONTH(ReportDate) = 12)
ORDER BY ReportDate</t>
        </r>
      </text>
    </comment>
    <comment ref="C227" authorId="1">
      <text>
        <r>
          <rPr>
            <sz val="10"/>
            <color indexed="10"/>
            <rFont val="Tahoma"/>
            <family val="2"/>
          </rPr>
          <t>SELECT TOP (100) PERCENT Leverage.ReportDate, Leverage.IssuerCount As LeverageSample, Liquidity.IssuerCount As LiquiditySample, Coverage.IssuerCount AS CoverageSample, Leverage.TotalDebt, Leverage.Cash, Leverage.NetDebt, Liquidity.STdebt, Leverage.LtmEbitda, Coverage.LtmInterest, Leverage.NetLeverage, Leverage.Leverage, Coverage.CoverageRatio, Liquidity.CashSTdebt, Liquidity.CashTotalDebt, Liquidity.STtoTotalDebt</t>
        </r>
        <r>
          <rPr>
            <sz val="10"/>
            <color indexed="81"/>
            <rFont val="Tahoma"/>
            <family val="2"/>
          </rPr>
          <t xml:space="preserve">
FROM (SELECT TOP (100) PERCENT ReportDate, COUNT(TickerBond) AS IssuerCount, SUM(TotalDebt) AS TotalDebt, SUM(CashEquivalents) AS Cash, SUM(TotalDebt)-SUM(CashEquivalents) AS NetDebt, SUM(LtmEbitda) AS LtmEbitda, (SUM(TotalDebt)-SUM(CashEquivalents)) / SUM(LtmEbitda) AS NetLeverage, SUM(TotalDebt) / SUM(LtmEbitda) AS Leverage
FROM tblHysBalanceSheetMetrics 
WHERE Not (RatingMLAlphaNumeric Is Null) </t>
        </r>
        <r>
          <rPr>
            <sz val="10"/>
            <color indexed="48"/>
            <rFont val="Tahoma"/>
            <family val="2"/>
          </rPr>
          <t>AND (RatingMLAlphaNumeric LIKE 'C%' OR RatingMLAlphaNumeric LIKE 'B%' AND RatingMLAlphaNumeric NOT LIKE 'BBB%') And Not (RatingMLAlphaNumeric LIKE 'D%')</t>
        </r>
        <r>
          <rPr>
            <sz val="10"/>
            <color indexed="81"/>
            <rFont val="Tahoma"/>
            <family val="2"/>
          </rPr>
          <t xml:space="preserve"> And Not (TotalDebt Is Null) And Not (CashEquivalents Is Null) And Not (LtmEbitda Is Null) And ExcludeFromPointInTimeCalcs=0 
</t>
        </r>
        <r>
          <rPr>
            <sz val="10"/>
            <color indexed="17"/>
            <rFont val="Tahoma"/>
            <family val="2"/>
          </rPr>
          <t>AND (TickerBond IN (SELECT DISTINCT TickerBond FROM dbo.tblHysMapBondToEqtyTickers WHERE (EMDMFlag = 'EM') 
AND (CountryFullName IN (SELECT DISTINCT CountryFullName FROM dbo.tblHysMapCountries WHERE (Region = 'EMEA')))))</t>
        </r>
        <r>
          <rPr>
            <sz val="10"/>
            <color indexed="81"/>
            <rFont val="Tahoma"/>
            <family val="2"/>
          </rPr>
          <t xml:space="preserve">
GROUP BY ReportDate
ORDER BY ReportDate) AS Leverage </t>
        </r>
        <r>
          <rPr>
            <b/>
            <sz val="10"/>
            <color indexed="81"/>
            <rFont val="Tahoma"/>
            <family val="2"/>
          </rPr>
          <t xml:space="preserve">INNER JOIN
</t>
        </r>
        <r>
          <rPr>
            <sz val="10"/>
            <color indexed="81"/>
            <rFont val="Tahoma"/>
            <family val="2"/>
          </rPr>
          <t>(SELECT TOP (100) PERCENT ReportDate, COUNT(TickerBond) AS IssuerCount, SUM(ShortTermDebt) AS STdebt, SUM(CashEquivalents) / SUM(ShortTermDebt)*100 AS CashSTdebt, SUM(CashEquivalents) / SUM(TotalDebt)*100 AS CashTotaldebt, SUM(ShortTermDebt) / SUM(TotalDebt)*100 AS STtoTotalDebt
FROM tblHysBalanceSheetMetrics 
WHERE Not (RatingMLAlphaNumeric Is Null)</t>
        </r>
        <r>
          <rPr>
            <sz val="10"/>
            <color indexed="48"/>
            <rFont val="Tahoma"/>
            <family val="2"/>
          </rPr>
          <t xml:space="preserve"> AND (RatingMLAlphaNumeric LIKE 'C%' OR RatingMLAlphaNumeric LIKE 'B%' AND RatingMLAlphaNumeric NOT LIKE 'BBB%') And Not (RatingMLAlphaNumeric LIKE 'D%')</t>
        </r>
        <r>
          <rPr>
            <sz val="10"/>
            <color indexed="81"/>
            <rFont val="Tahoma"/>
            <family val="2"/>
          </rPr>
          <t xml:space="preserve"> And Not (TotalDebt Is Null) And Not (CashEquivalents Is Null) And Not (ShortTermDebt Is Null) And ExcludeFromPointInTimeCalcs=0 
</t>
        </r>
        <r>
          <rPr>
            <sz val="10"/>
            <color indexed="17"/>
            <rFont val="Tahoma"/>
            <family val="2"/>
          </rPr>
          <t>AND (TickerBond IN (SELECT DISTINCT TickerBond FROM dbo.tblHysMapBondToEqtyTickers WHERE (EMDMFlag = 'EM') 
AND (CountryFullName IN (SELECT DISTINCT CountryFullName FROM dbo.tblHysMapCountries WHERE (Region = 'EMEA')))))</t>
        </r>
        <r>
          <rPr>
            <sz val="10"/>
            <color indexed="81"/>
            <rFont val="Tahoma"/>
            <family val="2"/>
          </rPr>
          <t xml:space="preserve">
GROUP BY ReportDate
ORDER BY ReportDate) AS Liquidity </t>
        </r>
        <r>
          <rPr>
            <b/>
            <sz val="10"/>
            <color indexed="81"/>
            <rFont val="Tahoma"/>
            <family val="2"/>
          </rPr>
          <t>INNER JOIN</t>
        </r>
        <r>
          <rPr>
            <sz val="10"/>
            <color indexed="81"/>
            <rFont val="Tahoma"/>
            <family val="2"/>
          </rPr>
          <t xml:space="preserve">
(SELECT TOP (100) PERCENT ReportDate, COUNT(TickerBond) AS IssuerCount, SUM(LtmInterestExpense) AS LtmInterest, SUM(LtmEbitda)/SUM(LtmInterestExpense) AS CoverageRatio
FROM tblHysBalanceSheetMetrics 
WHERE Not (RatingMLAlphaNumeric Is Null) </t>
        </r>
        <r>
          <rPr>
            <sz val="10"/>
            <color indexed="48"/>
            <rFont val="Tahoma"/>
            <family val="2"/>
          </rPr>
          <t xml:space="preserve">AND (RatingMLAlphaNumeric LIKE 'C%' OR RatingMLAlphaNumeric LIKE 'B%' AND RatingMLAlphaNumeric NOT LIKE 'BBB%') And Not (RatingMLAlphaNumeric LIKE 'D%') </t>
        </r>
        <r>
          <rPr>
            <sz val="10"/>
            <color indexed="81"/>
            <rFont val="Tahoma"/>
            <family val="2"/>
          </rPr>
          <t xml:space="preserve">And Not (LtmEbitda Is Null) And Not (LtmInterestExpense Is Null) And ExcludeFromPointInTimeCalcs=0 
</t>
        </r>
        <r>
          <rPr>
            <sz val="10"/>
            <color indexed="17"/>
            <rFont val="Tahoma"/>
            <family val="2"/>
          </rPr>
          <t xml:space="preserve">AND (TickerBond IN (SELECT DISTINCT TickerBond FROM dbo.tblHysMapBondToEqtyTickers WHERE (EMDMFlag = 'EM') 
AND (CountryFullName IN (SELECT DISTINCT CountryFullName FROM dbo.tblHysMapCountries WHERE (Region = 'EMEA')))))
</t>
        </r>
        <r>
          <rPr>
            <sz val="10"/>
            <color indexed="81"/>
            <rFont val="Tahoma"/>
            <family val="2"/>
          </rPr>
          <t xml:space="preserve">
GROUP BY ReportDate
ORDER BY ReportDate) AS Coverage ON Coverage.ReportDate=Liquidity.ReportDate
ON Leverage.ReportDate=Liquidity.ReportDate
ORDER BY Leverage.ReportDate</t>
        </r>
      </text>
    </comment>
    <comment ref="R227" authorId="0">
      <text>
        <r>
          <rPr>
            <sz val="10"/>
            <color indexed="81"/>
            <rFont val="Tahoma"/>
            <family val="2"/>
          </rPr>
          <t xml:space="preserve">SELECT SUM(a.OAS * a.FullMarketValueUSD)/ SUM(a.FullMarketValueUSD) AS OAS
FROM dbo.tblHysIndexMLMemberlistNew a 
INNER JOIN 
(
SELECT ReportDate, TickerBond  FROM dbo.tblHysBalanceSheetMetrics
</t>
        </r>
        <r>
          <rPr>
            <sz val="10"/>
            <color indexed="12"/>
            <rFont val="Tahoma"/>
            <family val="2"/>
          </rPr>
          <t xml:space="preserve">WHERE Not (RatingMLAlphaNumeric Is Null) AND (RatingMLAlphaNumeric LIKE 'C%' OR RatingMLAlphaNumeric LIKE 'B%' AND RatingMLAlphaNumeric NOT LIKE 'BBB%') And Not (RatingMLAlphaNumeric LIKE 'D%') And Not (TotalDebt Is Null) And Not (CashEquivalents Is Null) And Not (LtmEbitda Is Null) And ExcludeFromPointInTimeCalcs=0 
AND (TickerBond IN (SELECT DISTINCT TickerBond FROM dbo.tblHysMapBondToEqtyTickers WHERE (EMDMFlag = 'EM') 
AND (CountryFullName IN (SELECT DISTINCT CountryFullName FROM dbo.tblHysMapCountries WHERE (Region = 'EMEA')))))
</t>
        </r>
        <r>
          <rPr>
            <sz val="10"/>
            <color indexed="81"/>
            <rFont val="Tahoma"/>
            <family val="2"/>
          </rPr>
          <t>)b 
ON a.TickerBond = b.TickerBond and a.reportdate=b.reportdate
WHERE (a.TickerIndex = 'EMCB') AND (a.ReportDate &gt; '12/31/2005')
AND (DATEPART(mm, a.ReportDate) = 3 OR DATEPART(mm, a.ReportDate) = 6 
OR DATEPART(mm, a.ReportDate) = 9 OR DATEPART(mm, a.ReportDate) = 12) 
GROUP BY a.ReportDate
ORDER BY a.ReportDate</t>
        </r>
      </text>
    </comment>
    <comment ref="T227" authorId="0">
      <text>
        <r>
          <rPr>
            <sz val="10"/>
            <color indexed="81"/>
            <rFont val="Tahoma"/>
            <family val="2"/>
          </rPr>
          <t>SELECT OAS
FROM dbo.tblHysIndexMLTimeSeries
WHERE     (TickerIndex = N'</t>
        </r>
        <r>
          <rPr>
            <sz val="10"/>
            <color indexed="48"/>
            <rFont val="Tahoma"/>
            <family val="2"/>
          </rPr>
          <t>emhe</t>
        </r>
        <r>
          <rPr>
            <sz val="10"/>
            <color indexed="81"/>
            <rFont val="Tahoma"/>
            <family val="2"/>
          </rPr>
          <t>') 
AND (ReportDate &gt;='2006-03-31') 
AND (DAY(ReportDate + 1) = 1) 
AND (MONTH(ReportDate) = 3 OR MONTH(ReportDate) = 6 
OR MONTH(ReportDate) = 9 OR MONTH(ReportDate) = 12)
ORDER BY ReportDate</t>
        </r>
      </text>
    </comment>
    <comment ref="C255" authorId="1">
      <text>
        <r>
          <rPr>
            <sz val="10"/>
            <color indexed="10"/>
            <rFont val="Tahoma"/>
            <family val="2"/>
          </rPr>
          <t>SELECT TOP (100) PERCENT Leverage.ReportDate, Leverage.IssuerCount As LeverageSample, Liquidity.IssuerCount As LiquiditySample, Coverage.IssuerCount AS CoverageSample, Leverage.TotalDebt, Leverage.Cash, Leverage.NetDebt, Liquidity.STdebt, Leverage.LtmEbitda, Coverage.LtmInterest, Leverage.NetLeverage, Leverage.Leverage, Coverage.CoverageRatio, Liquidity.CashSTdebt, Liquidity.CashTotalDebt, Liquidity.STtoTotalDebt</t>
        </r>
        <r>
          <rPr>
            <sz val="10"/>
            <color indexed="81"/>
            <rFont val="Tahoma"/>
            <family val="2"/>
          </rPr>
          <t xml:space="preserve">
FROM (SELECT TOP (100) PERCENT ReportDate, COUNT(TickerBond) AS IssuerCount, SUM(TotalDebt) AS TotalDebt, SUM(CashEquivalents) AS Cash, SUM(TotalDebt)-SUM(CashEquivalents) AS NetDebt, SUM(LtmEbitda) AS LtmEbitda, (SUM(TotalDebt)-SUM(CashEquivalents)) / SUM(LtmEbitda) AS NetLeverage, SUM(TotalDebt) / SUM(LtmEbitda) AS Leverage
FROM tblHysBalanceSheetMetrics 
WHERE Not (RatingMLAlphaNumeric Is Null) </t>
        </r>
        <r>
          <rPr>
            <sz val="10"/>
            <color indexed="48"/>
            <rFont val="Tahoma"/>
            <family val="2"/>
          </rPr>
          <t>And Not (RatingMLAlphaNumeric LIKE 'D%')</t>
        </r>
        <r>
          <rPr>
            <sz val="10"/>
            <color indexed="81"/>
            <rFont val="Tahoma"/>
            <family val="2"/>
          </rPr>
          <t xml:space="preserve"> And Not (TotalDebt Is Null) And Not (CashEquivalents Is Null) And Not (LtmEbitda Is Null) And ExcludeFromPointInTimeCalcs=0 
</t>
        </r>
        <r>
          <rPr>
            <sz val="10"/>
            <color indexed="17"/>
            <rFont val="Tahoma"/>
            <family val="2"/>
          </rPr>
          <t>AND (TickerBond IN (SELECT DISTINCT TickerBond FROM dbo.tblHysMapBondToEqtyTickers WHERE (EMDMFlag = 'EM') 
AND (CountryFullName IN (SELECT DISTINCT CountryFullName FROM dbo.tblHysMapCountries WHERE (Region = 'Asia/Pacific')))))</t>
        </r>
        <r>
          <rPr>
            <sz val="10"/>
            <color indexed="81"/>
            <rFont val="Tahoma"/>
            <family val="2"/>
          </rPr>
          <t xml:space="preserve">
GROUP BY ReportDate
ORDER BY ReportDate) AS Leverage </t>
        </r>
        <r>
          <rPr>
            <b/>
            <sz val="10"/>
            <color indexed="81"/>
            <rFont val="Tahoma"/>
            <family val="2"/>
          </rPr>
          <t xml:space="preserve">INNER JOIN
</t>
        </r>
        <r>
          <rPr>
            <sz val="10"/>
            <color indexed="81"/>
            <rFont val="Tahoma"/>
            <family val="2"/>
          </rPr>
          <t>(SELECT TOP (100) PERCENT ReportDate, COUNT(TickerBond) AS IssuerCount, SUM(ShortTermDebt) AS STdebt, SUM(CashEquivalents) / SUM(ShortTermDebt)*100 AS CashSTdebt, SUM(CashEquivalents) / SUM(TotalDebt)*100 AS CashTotaldebt, SUM(ShortTermDebt) / SUM(TotalDebt)*100 AS STtoTotalDebt
FROM tblHysBalanceSheetMetrics 
WHERE Not (RatingMLAlphaNumeric Is Null)</t>
        </r>
        <r>
          <rPr>
            <sz val="10"/>
            <color indexed="48"/>
            <rFont val="Tahoma"/>
            <family val="2"/>
          </rPr>
          <t xml:space="preserve"> And Not (RatingMLAlphaNumeric LIKE 'D%')</t>
        </r>
        <r>
          <rPr>
            <sz val="10"/>
            <color indexed="81"/>
            <rFont val="Tahoma"/>
            <family val="2"/>
          </rPr>
          <t xml:space="preserve"> And Not (TotalDebt Is Null) And Not (CashEquivalents Is Null) And Not (ShortTermDebt Is Null) And ExcludeFromPointInTimeCalcs=0 
</t>
        </r>
        <r>
          <rPr>
            <sz val="10"/>
            <color indexed="17"/>
            <rFont val="Tahoma"/>
            <family val="2"/>
          </rPr>
          <t>AND (TickerBond IN (SELECT DISTINCT TickerBond FROM dbo.tblHysMapBondToEqtyTickers WHERE (EMDMFlag = 'EM') 
AND (CountryFullName IN (SELECT DISTINCT CountryFullName FROM dbo.tblHysMapCountries WHERE (Region = 'Asia/Pacific')))))</t>
        </r>
        <r>
          <rPr>
            <sz val="10"/>
            <color indexed="81"/>
            <rFont val="Tahoma"/>
            <family val="2"/>
          </rPr>
          <t xml:space="preserve">
GROUP BY ReportDate
ORDER BY ReportDate) AS Liquidity </t>
        </r>
        <r>
          <rPr>
            <b/>
            <sz val="10"/>
            <color indexed="81"/>
            <rFont val="Tahoma"/>
            <family val="2"/>
          </rPr>
          <t>INNER JOIN</t>
        </r>
        <r>
          <rPr>
            <sz val="10"/>
            <color indexed="81"/>
            <rFont val="Tahoma"/>
            <family val="2"/>
          </rPr>
          <t xml:space="preserve">
(SELECT TOP (100) PERCENT ReportDate, COUNT(TickerBond) AS IssuerCount, SUM(LtmInterestExpense) AS LtmInterest, SUM(LtmEbitda)/SUM(LtmInterestExpense) AS CoverageRatio
FROM tblHysBalanceSheetMetrics 
WHERE Not (RatingMLAlphaNumeric Is Null) </t>
        </r>
        <r>
          <rPr>
            <sz val="10"/>
            <color indexed="48"/>
            <rFont val="Tahoma"/>
            <family val="2"/>
          </rPr>
          <t xml:space="preserve">And Not (RatingMLAlphaNumeric LIKE 'D%') </t>
        </r>
        <r>
          <rPr>
            <sz val="10"/>
            <color indexed="81"/>
            <rFont val="Tahoma"/>
            <family val="2"/>
          </rPr>
          <t xml:space="preserve">And Not (LtmEbitda Is Null) And Not (LtmInterestExpense Is Null) And ExcludeFromPointInTimeCalcs=0 
</t>
        </r>
        <r>
          <rPr>
            <sz val="10"/>
            <color indexed="17"/>
            <rFont val="Tahoma"/>
            <family val="2"/>
          </rPr>
          <t xml:space="preserve">AND (TickerBond IN (SELECT DISTINCT TickerBond FROM dbo.tblHysMapBondToEqtyTickers WHERE (EMDMFlag = 'EM') 
AND (CountryFullName IN (SELECT DISTINCT CountryFullName FROM dbo.tblHysMapCountries WHERE (Region = 'Asia/Pacific')))))
</t>
        </r>
        <r>
          <rPr>
            <sz val="10"/>
            <color indexed="81"/>
            <rFont val="Tahoma"/>
            <family val="2"/>
          </rPr>
          <t xml:space="preserve">
GROUP BY ReportDate
ORDER BY ReportDate) AS Coverage ON Coverage.ReportDate=Liquidity.ReportDate
ON Leverage.ReportDate=Liquidity.ReportDate
ORDER BY Leverage.ReportDate</t>
        </r>
      </text>
    </comment>
    <comment ref="R255" authorId="0">
      <text>
        <r>
          <rPr>
            <sz val="10"/>
            <color indexed="81"/>
            <rFont val="Tahoma"/>
            <family val="2"/>
          </rPr>
          <t xml:space="preserve">SELECT SUM(a.OAS * a.FullMarketValueUSD)/ SUM(a.FullMarketValueUSD) AS OAS
FROM dbo.tblHysIndexMLMemberlistNew a 
INNER JOIN 
(
SELECT ReportDate, TickerBond  FROM dbo.tblHysBalanceSheetMetrics
</t>
        </r>
        <r>
          <rPr>
            <sz val="10"/>
            <color indexed="12"/>
            <rFont val="Tahoma"/>
            <family val="2"/>
          </rPr>
          <t xml:space="preserve">WHERE Not (RatingMLAlphaNumeric Is Null) And Not (RatingMLAlphaNumeric LIKE 'D%') And Not (TotalDebt Is Null) And Not (CashEquivalents Is Null) And Not (LtmEbitda Is Null) And ExcludeFromPointInTimeCalcs=0 
AND (TickerBond IN (SELECT DISTINCT TickerBond FROM dbo.tblHysMapBondToEqtyTickers WHERE (EMDMFlag = 'EM') 
AND (CountryFullName IN (SELECT DISTINCT CountryFullName FROM dbo.tblHysMapCountries WHERE (Region = 'Asia/Pacific')))))
</t>
        </r>
        <r>
          <rPr>
            <sz val="10"/>
            <color indexed="81"/>
            <rFont val="Tahoma"/>
            <family val="2"/>
          </rPr>
          <t>)b 
ON a.TickerBond = b.TickerBond and a.reportdate=b.reportdate
WHERE (a.TickerIndex = 'EMCB') AND (a.ReportDate &gt; '12/31/2005')
AND (DATEPART(mm, a.ReportDate) = 3 OR DATEPART(mm, a.ReportDate) = 6 
OR DATEPART(mm, a.ReportDate) = 9 OR DATEPART(mm, a.ReportDate) = 12) 
GROUP BY a.ReportDate
ORDER BY a.ReportDate</t>
        </r>
      </text>
    </comment>
    <comment ref="T255" authorId="0">
      <text>
        <r>
          <rPr>
            <sz val="10"/>
            <color indexed="81"/>
            <rFont val="Tahoma"/>
            <family val="2"/>
          </rPr>
          <t>SELECT OAS
FROM dbo.tblHysIndexMLTimeSeries
WHERE     (TickerIndex = N'</t>
        </r>
        <r>
          <rPr>
            <sz val="10"/>
            <color indexed="48"/>
            <rFont val="Tahoma"/>
            <family val="2"/>
          </rPr>
          <t>emra</t>
        </r>
        <r>
          <rPr>
            <sz val="10"/>
            <color indexed="81"/>
            <rFont val="Tahoma"/>
            <family val="2"/>
          </rPr>
          <t>') 
AND (ReportDate &gt;='2006-03-31') 
AND (DAY(ReportDate + 1) = 1) 
AND (MONTH(ReportDate) = 3 OR MONTH(ReportDate) = 6 
OR MONTH(ReportDate) = 9 OR MONTH(ReportDate) = 12)
ORDER BY ReportDate</t>
        </r>
      </text>
    </comment>
    <comment ref="C283" authorId="1">
      <text>
        <r>
          <rPr>
            <sz val="10"/>
            <color indexed="10"/>
            <rFont val="Tahoma"/>
            <family val="2"/>
          </rPr>
          <t>SELECT TOP (100) PERCENT Leverage.ReportDate, Leverage.IssuerCount As LeverageSample, Liquidity.IssuerCount As LiquiditySample, Coverage.IssuerCount AS CoverageSample, Leverage.TotalDebt, Leverage.Cash, Leverage.NetDebt, Liquidity.STdebt, Leverage.LtmEbitda, Coverage.LtmInterest, Leverage.NetLeverage, Leverage.Leverage, Coverage.CoverageRatio, Liquidity.CashSTdebt, Liquidity.CashTotalDebt, Liquidity.STtoTotalDebt</t>
        </r>
        <r>
          <rPr>
            <sz val="10"/>
            <color indexed="81"/>
            <rFont val="Tahoma"/>
            <family val="2"/>
          </rPr>
          <t xml:space="preserve">
FROM (SELECT TOP (100) PERCENT ReportDate, COUNT(TickerBond) AS IssuerCount, SUM(TotalDebt) AS TotalDebt, SUM(CashEquivalents) AS Cash, SUM(TotalDebt)-SUM(CashEquivalents) AS NetDebt, SUM(LtmEbitda) AS LtmEbitda, (SUM(TotalDebt)-SUM(CashEquivalents)) / SUM(LtmEbitda) AS NetLeverage, SUM(TotalDebt) / SUM(LtmEbitda) AS Leverage
FROM tblHysBalanceSheetMetrics 
WHERE Not (RatingMLAlphaNumeric Is Null) </t>
        </r>
        <r>
          <rPr>
            <sz val="10"/>
            <color indexed="48"/>
            <rFont val="Tahoma"/>
            <family val="2"/>
          </rPr>
          <t>AND (RatingMLAlphaNumeric LIKE 'A%' OR RatingMLAlphaNumeric LIKE 'BBB%') And Not (RatingMLAlphaNumeric LIKE 'D%')</t>
        </r>
        <r>
          <rPr>
            <sz val="10"/>
            <color indexed="81"/>
            <rFont val="Tahoma"/>
            <family val="2"/>
          </rPr>
          <t xml:space="preserve"> And Not (TotalDebt Is Null) And Not (CashEquivalents Is Null) And Not (LtmEbitda Is Null) And ExcludeFromPointInTimeCalcs=0 
</t>
        </r>
        <r>
          <rPr>
            <sz val="10"/>
            <color indexed="17"/>
            <rFont val="Tahoma"/>
            <family val="2"/>
          </rPr>
          <t>AND (TickerBond IN (SELECT DISTINCT TickerBond FROM dbo.tblHysMapBondToEqtyTickers WHERE (EMDMFlag = 'EM') 
AND (CountryFullName IN (SELECT DISTINCT CountryFullName FROM dbo.tblHysMapCountries WHERE (Region = 'Asia/Pacific')))))</t>
        </r>
        <r>
          <rPr>
            <sz val="10"/>
            <color indexed="81"/>
            <rFont val="Tahoma"/>
            <family val="2"/>
          </rPr>
          <t xml:space="preserve">
GROUP BY ReportDate
ORDER BY ReportDate) AS Leverage </t>
        </r>
        <r>
          <rPr>
            <b/>
            <sz val="10"/>
            <color indexed="81"/>
            <rFont val="Tahoma"/>
            <family val="2"/>
          </rPr>
          <t xml:space="preserve">INNER JOIN
</t>
        </r>
        <r>
          <rPr>
            <sz val="10"/>
            <color indexed="81"/>
            <rFont val="Tahoma"/>
            <family val="2"/>
          </rPr>
          <t>(SELECT TOP (100) PERCENT ReportDate, COUNT(TickerBond) AS IssuerCount, SUM(ShortTermDebt) AS STdebt, SUM(CashEquivalents) / SUM(ShortTermDebt)*100 AS CashSTdebt, SUM(CashEquivalents) / SUM(TotalDebt)*100 AS CashTotaldebt, SUM(ShortTermDebt) / SUM(TotalDebt)*100 AS STtoTotalDebt
FROM tblHysBalanceSheetMetrics 
WHERE Not (RatingMLAlphaNumeric Is Null)</t>
        </r>
        <r>
          <rPr>
            <sz val="10"/>
            <color indexed="48"/>
            <rFont val="Tahoma"/>
            <family val="2"/>
          </rPr>
          <t xml:space="preserve"> AND (RatingMLAlphaNumeric LIKE 'A%' OR RatingMLAlphaNumeric LIKE 'BBB%') And Not (RatingMLAlphaNumeric LIKE 'D%')</t>
        </r>
        <r>
          <rPr>
            <sz val="10"/>
            <color indexed="81"/>
            <rFont val="Tahoma"/>
            <family val="2"/>
          </rPr>
          <t xml:space="preserve"> And Not (TotalDebt Is Null) And Not (CashEquivalents Is Null) And Not (ShortTermDebt Is Null) And ExcludeFromPointInTimeCalcs=0 
</t>
        </r>
        <r>
          <rPr>
            <sz val="10"/>
            <color indexed="17"/>
            <rFont val="Tahoma"/>
            <family val="2"/>
          </rPr>
          <t>AND (TickerBond IN (SELECT DISTINCT TickerBond FROM dbo.tblHysMapBondToEqtyTickers WHERE (EMDMFlag = 'EM') 
AND (CountryFullName IN (SELECT DISTINCT CountryFullName FROM dbo.tblHysMapCountries WHERE (Region = 'Asia/Pacific')))))</t>
        </r>
        <r>
          <rPr>
            <sz val="10"/>
            <color indexed="81"/>
            <rFont val="Tahoma"/>
            <family val="2"/>
          </rPr>
          <t xml:space="preserve">
GROUP BY ReportDate
ORDER BY ReportDate) AS Liquidity </t>
        </r>
        <r>
          <rPr>
            <b/>
            <sz val="10"/>
            <color indexed="81"/>
            <rFont val="Tahoma"/>
            <family val="2"/>
          </rPr>
          <t>INNER JOIN</t>
        </r>
        <r>
          <rPr>
            <sz val="10"/>
            <color indexed="81"/>
            <rFont val="Tahoma"/>
            <family val="2"/>
          </rPr>
          <t xml:space="preserve">
(SELECT TOP (100) PERCENT ReportDate, COUNT(TickerBond) AS IssuerCount, SUM(LtmInterestExpense) AS LtmInterest, SUM(LtmEbitda)/SUM(LtmInterestExpense) AS CoverageRatio
FROM tblHysBalanceSheetMetrics 
WHERE Not (RatingMLAlphaNumeric Is Null) </t>
        </r>
        <r>
          <rPr>
            <sz val="10"/>
            <color indexed="48"/>
            <rFont val="Tahoma"/>
            <family val="2"/>
          </rPr>
          <t xml:space="preserve">AND (RatingMLAlphaNumeric LIKE 'A%' OR RatingMLAlphaNumeric LIKE 'BBB%') And Not (RatingMLAlphaNumeric LIKE 'D%') </t>
        </r>
        <r>
          <rPr>
            <sz val="10"/>
            <color indexed="81"/>
            <rFont val="Tahoma"/>
            <family val="2"/>
          </rPr>
          <t xml:space="preserve">And Not (LtmEbitda Is Null) And Not (LtmInterestExpense Is Null) And ExcludeFromPointInTimeCalcs=0 
</t>
        </r>
        <r>
          <rPr>
            <sz val="10"/>
            <color indexed="17"/>
            <rFont val="Tahoma"/>
            <family val="2"/>
          </rPr>
          <t xml:space="preserve">AND (TickerBond IN (SELECT DISTINCT TickerBond FROM dbo.tblHysMapBondToEqtyTickers WHERE (EMDMFlag = 'EM') 
AND (CountryFullName IN (SELECT DISTINCT CountryFullName FROM dbo.tblHysMapCountries WHERE (Region = 'Asia/Pacific')))))
</t>
        </r>
        <r>
          <rPr>
            <sz val="10"/>
            <color indexed="81"/>
            <rFont val="Tahoma"/>
            <family val="2"/>
          </rPr>
          <t xml:space="preserve">
GROUP BY ReportDate
ORDER BY ReportDate) AS Coverage ON Coverage.ReportDate=Liquidity.ReportDate
ON Leverage.ReportDate=Liquidity.ReportDate
ORDER BY Leverage.ReportDate</t>
        </r>
      </text>
    </comment>
    <comment ref="R283" authorId="0">
      <text>
        <r>
          <rPr>
            <sz val="10"/>
            <color indexed="81"/>
            <rFont val="Tahoma"/>
            <family val="2"/>
          </rPr>
          <t xml:space="preserve">SELECT SUM(a.OAS * a.FullMarketValueUSD)/ SUM(a.FullMarketValueUSD) AS OAS
FROM dbo.tblHysIndexMLMemberlistNew a 
INNER JOIN 
(
SELECT ReportDate, TickerBond  FROM dbo.tblHysBalanceSheetMetrics
</t>
        </r>
        <r>
          <rPr>
            <sz val="10"/>
            <color indexed="12"/>
            <rFont val="Tahoma"/>
            <family val="2"/>
          </rPr>
          <t xml:space="preserve">WHERE Not (RatingMLAlphaNumeric Is Null) AND (RatingMLAlphaNumeric LIKE 'A%' OR RatingMLAlphaNumeric LIKE 'BBB%') And Not (RatingMLAlphaNumeric LIKE 'D%') And Not (TotalDebt Is Null) And Not (CashEquivalents Is Null) And Not (LtmEbitda Is Null) And ExcludeFromPointInTimeCalcs=0 
AND (TickerBond IN (SELECT DISTINCT TickerBond FROM dbo.tblHysMapBondToEqtyTickers WHERE (EMDMFlag = 'EM') 
AND (CountryFullName IN (SELECT DISTINCT CountryFullName FROM dbo.tblHysMapCountries WHERE (Region = 'Asia/Pacific')))))
</t>
        </r>
        <r>
          <rPr>
            <sz val="10"/>
            <color indexed="81"/>
            <rFont val="Tahoma"/>
            <family val="2"/>
          </rPr>
          <t>)b 
ON a.TickerBond = b.TickerBond and a.reportdate=b.reportdate
WHERE (a.TickerIndex = 'EMCB') AND (a.ReportDate &gt; '12/31/2005')
AND (DATEPART(mm, a.ReportDate) = 3 OR DATEPART(mm, a.ReportDate) = 6 
OR DATEPART(mm, a.ReportDate) = 9 OR DATEPART(mm, a.ReportDate) = 12) 
GROUP BY a.ReportDate
ORDER BY a.ReportDate</t>
        </r>
      </text>
    </comment>
    <comment ref="T283" authorId="0">
      <text>
        <r>
          <rPr>
            <sz val="10"/>
            <color indexed="81"/>
            <rFont val="Tahoma"/>
            <family val="2"/>
          </rPr>
          <t>SELECT OAS
FROM dbo.tblHysIndexMLTimeSeries
WHERE     (TickerIndex = N'</t>
        </r>
        <r>
          <rPr>
            <sz val="10"/>
            <color indexed="48"/>
            <rFont val="Tahoma"/>
            <family val="2"/>
          </rPr>
          <t>emia</t>
        </r>
        <r>
          <rPr>
            <sz val="10"/>
            <color indexed="81"/>
            <rFont val="Tahoma"/>
            <family val="2"/>
          </rPr>
          <t>') 
AND (ReportDate &gt;='2006-03-31') 
AND (DAY(ReportDate + 1) = 1) 
AND (MONTH(ReportDate) = 3 OR MONTH(ReportDate) = 6 
OR MONTH(ReportDate) = 9 OR MONTH(ReportDate) = 12)
ORDER BY ReportDate</t>
        </r>
      </text>
    </comment>
    <comment ref="C311" authorId="1">
      <text>
        <r>
          <rPr>
            <sz val="10"/>
            <color indexed="10"/>
            <rFont val="Tahoma"/>
            <family val="2"/>
          </rPr>
          <t>SELECT TOP (100) PERCENT Leverage.ReportDate, Leverage.IssuerCount As LeverageSample, Liquidity.IssuerCount As LiquiditySample, Coverage.IssuerCount AS CoverageSample, Leverage.TotalDebt, Leverage.Cash, Leverage.NetDebt, Liquidity.STdebt, Leverage.LtmEbitda, Coverage.LtmInterest, Leverage.NetLeverage, Leverage.Leverage, Coverage.CoverageRatio, Liquidity.CashSTdebt, Liquidity.CashTotalDebt, Liquidity.STtoTotalDebt</t>
        </r>
        <r>
          <rPr>
            <sz val="10"/>
            <color indexed="81"/>
            <rFont val="Tahoma"/>
            <family val="2"/>
          </rPr>
          <t xml:space="preserve">
FROM (SELECT TOP (100) PERCENT ReportDate, COUNT(TickerBond) AS IssuerCount, SUM(TotalDebt) AS TotalDebt, SUM(CashEquivalents) AS Cash, SUM(TotalDebt)-SUM(CashEquivalents) AS NetDebt, SUM(LtmEbitda) AS LtmEbitda, (SUM(TotalDebt)-SUM(CashEquivalents)) / SUM(LtmEbitda) AS NetLeverage, SUM(TotalDebt) / SUM(LtmEbitda) AS Leverage
FROM tblHysBalanceSheetMetrics 
WHERE Not (RatingMLAlphaNumeric Is Null) </t>
        </r>
        <r>
          <rPr>
            <sz val="10"/>
            <color indexed="48"/>
            <rFont val="Tahoma"/>
            <family val="2"/>
          </rPr>
          <t>AND (RatingMLAlphaNumeric LIKE 'C%' OR RatingMLAlphaNumeric LIKE 'B%' AND RatingMLAlphaNumeric NOT LIKE 'BBB%') And Not (RatingMLAlphaNumeric LIKE 'D%')</t>
        </r>
        <r>
          <rPr>
            <sz val="10"/>
            <color indexed="81"/>
            <rFont val="Tahoma"/>
            <family val="2"/>
          </rPr>
          <t xml:space="preserve"> And Not (TotalDebt Is Null) And Not (CashEquivalents Is Null) And Not (LtmEbitda Is Null) And ExcludeFromPointInTimeCalcs=0 
</t>
        </r>
        <r>
          <rPr>
            <sz val="10"/>
            <color indexed="17"/>
            <rFont val="Tahoma"/>
            <family val="2"/>
          </rPr>
          <t>AND (TickerBond IN (SELECT DISTINCT TickerBond FROM dbo.tblHysMapBondToEqtyTickers WHERE (EMDMFlag = 'EM') 
AND (CountryFullName IN (SELECT DISTINCT CountryFullName FROM dbo.tblHysMapCountries WHERE (Region = 'Asia/Pacific')))))</t>
        </r>
        <r>
          <rPr>
            <sz val="10"/>
            <color indexed="81"/>
            <rFont val="Tahoma"/>
            <family val="2"/>
          </rPr>
          <t xml:space="preserve">
GROUP BY ReportDate
ORDER BY ReportDate) AS Leverage </t>
        </r>
        <r>
          <rPr>
            <b/>
            <sz val="10"/>
            <color indexed="81"/>
            <rFont val="Tahoma"/>
            <family val="2"/>
          </rPr>
          <t xml:space="preserve">INNER JOIN
</t>
        </r>
        <r>
          <rPr>
            <sz val="10"/>
            <color indexed="81"/>
            <rFont val="Tahoma"/>
            <family val="2"/>
          </rPr>
          <t>(SELECT TOP (100) PERCENT ReportDate, COUNT(TickerBond) AS IssuerCount, SUM(ShortTermDebt) AS STdebt, SUM(CashEquivalents) / SUM(ShortTermDebt)*100 AS CashSTdebt, SUM(CashEquivalents) / SUM(TotalDebt)*100 AS CashTotaldebt, SUM(ShortTermDebt) / SUM(TotalDebt)*100 AS STtoTotalDebt
FROM tblHysBalanceSheetMetrics 
WHERE Not (RatingMLAlphaNumeric Is Null)</t>
        </r>
        <r>
          <rPr>
            <sz val="10"/>
            <color indexed="48"/>
            <rFont val="Tahoma"/>
            <family val="2"/>
          </rPr>
          <t xml:space="preserve"> AND (RatingMLAlphaNumeric LIKE 'C%' OR RatingMLAlphaNumeric LIKE 'B%' AND RatingMLAlphaNumeric NOT LIKE 'BBB%') And Not (RatingMLAlphaNumeric LIKE 'D%')</t>
        </r>
        <r>
          <rPr>
            <sz val="10"/>
            <color indexed="81"/>
            <rFont val="Tahoma"/>
            <family val="2"/>
          </rPr>
          <t xml:space="preserve"> And Not (TotalDebt Is Null) And Not (CashEquivalents Is Null) And Not (ShortTermDebt Is Null) And ExcludeFromPointInTimeCalcs=0 
</t>
        </r>
        <r>
          <rPr>
            <sz val="10"/>
            <color indexed="17"/>
            <rFont val="Tahoma"/>
            <family val="2"/>
          </rPr>
          <t>AND (TickerBond IN (SELECT DISTINCT TickerBond FROM dbo.tblHysMapBondToEqtyTickers WHERE (EMDMFlag = 'EM') 
AND (CountryFullName IN (SELECT DISTINCT CountryFullName FROM dbo.tblHysMapCountries WHERE (Region = 'Asia/Pacific')))))</t>
        </r>
        <r>
          <rPr>
            <sz val="10"/>
            <color indexed="81"/>
            <rFont val="Tahoma"/>
            <family val="2"/>
          </rPr>
          <t xml:space="preserve">
GROUP BY ReportDate
ORDER BY ReportDate) AS Liquidity </t>
        </r>
        <r>
          <rPr>
            <b/>
            <sz val="10"/>
            <color indexed="81"/>
            <rFont val="Tahoma"/>
            <family val="2"/>
          </rPr>
          <t>INNER JOIN</t>
        </r>
        <r>
          <rPr>
            <sz val="10"/>
            <color indexed="81"/>
            <rFont val="Tahoma"/>
            <family val="2"/>
          </rPr>
          <t xml:space="preserve">
(SELECT TOP (100) PERCENT ReportDate, COUNT(TickerBond) AS IssuerCount, SUM(LtmInterestExpense) AS LtmInterest, SUM(LtmEbitda)/SUM(LtmInterestExpense) AS CoverageRatio
FROM tblHysBalanceSheetMetrics 
WHERE Not (RatingMLAlphaNumeric Is Null) </t>
        </r>
        <r>
          <rPr>
            <sz val="10"/>
            <color indexed="48"/>
            <rFont val="Tahoma"/>
            <family val="2"/>
          </rPr>
          <t xml:space="preserve">AND (RatingMLAlphaNumeric LIKE 'C%' OR RatingMLAlphaNumeric LIKE 'B%' AND RatingMLAlphaNumeric NOT LIKE 'BBB%') And Not (RatingMLAlphaNumeric LIKE 'D%') </t>
        </r>
        <r>
          <rPr>
            <sz val="10"/>
            <color indexed="81"/>
            <rFont val="Tahoma"/>
            <family val="2"/>
          </rPr>
          <t xml:space="preserve">And Not (LtmEbitda Is Null) And Not (LtmInterestExpense Is Null) And ExcludeFromPointInTimeCalcs=0 
</t>
        </r>
        <r>
          <rPr>
            <sz val="10"/>
            <color indexed="17"/>
            <rFont val="Tahoma"/>
            <family val="2"/>
          </rPr>
          <t xml:space="preserve">AND (TickerBond IN (SELECT DISTINCT TickerBond FROM dbo.tblHysMapBondToEqtyTickers WHERE (EMDMFlag = 'EM') 
AND (CountryFullName IN (SELECT DISTINCT CountryFullName FROM dbo.tblHysMapCountries WHERE (Region = 'Asia/Pacific')))))
</t>
        </r>
        <r>
          <rPr>
            <sz val="10"/>
            <color indexed="81"/>
            <rFont val="Tahoma"/>
            <family val="2"/>
          </rPr>
          <t xml:space="preserve">
GROUP BY ReportDate
ORDER BY ReportDate) AS Coverage ON Coverage.ReportDate=Liquidity.ReportDate
ON Leverage.ReportDate=Liquidity.ReportDate
ORDER BY Leverage.ReportDate</t>
        </r>
      </text>
    </comment>
    <comment ref="R311" authorId="0">
      <text>
        <r>
          <rPr>
            <sz val="10"/>
            <color indexed="81"/>
            <rFont val="Tahoma"/>
            <family val="2"/>
          </rPr>
          <t xml:space="preserve">SELECT SUM(a.OAS * a.FullMarketValueUSD)/ SUM(a.FullMarketValueUSD) AS OAS
FROM dbo.tblHysIndexMLMemberlistNew a 
INNER JOIN 
(
SELECT ReportDate, TickerBond  FROM dbo.tblHysBalanceSheetMetrics
</t>
        </r>
        <r>
          <rPr>
            <sz val="10"/>
            <color indexed="12"/>
            <rFont val="Tahoma"/>
            <family val="2"/>
          </rPr>
          <t xml:space="preserve">WHERE Not (RatingMLAlphaNumeric Is Null) AND (RatingMLAlphaNumeric LIKE 'C%' OR RatingMLAlphaNumeric LIKE 'B%' AND RatingMLAlphaNumeric NOT LIKE 'BBB%') And Not (RatingMLAlphaNumeric LIKE 'D%') And Not (TotalDebt Is Null) And Not (CashEquivalents Is Null) And Not (LtmEbitda Is Null) And ExcludeFromPointInTimeCalcs=0 
AND (TickerBond IN (SELECT DISTINCT TickerBond FROM dbo.tblHysMapBondToEqtyTickers WHERE (EMDMFlag = 'EM') 
AND (CountryFullName IN (SELECT DISTINCT CountryFullName FROM dbo.tblHysMapCountries WHERE (Region = 'Asia/Pacific')))))
</t>
        </r>
        <r>
          <rPr>
            <sz val="10"/>
            <color indexed="81"/>
            <rFont val="Tahoma"/>
            <family val="2"/>
          </rPr>
          <t>)b 
ON a.TickerBond = b.TickerBond and a.reportdate=b.reportdate
WHERE (a.TickerIndex = 'EMCB') AND (a.ReportDate &gt; '12/31/2005')
AND (DATEPART(mm, a.ReportDate) = 3 OR DATEPART(mm, a.ReportDate) = 6 
OR DATEPART(mm, a.ReportDate) = 9 OR DATEPART(mm, a.ReportDate) = 12) 
GROUP BY a.ReportDate
ORDER BY a.ReportDate</t>
        </r>
      </text>
    </comment>
    <comment ref="T311" authorId="0">
      <text>
        <r>
          <rPr>
            <sz val="10"/>
            <color indexed="81"/>
            <rFont val="Tahoma"/>
            <family val="2"/>
          </rPr>
          <t>SELECT OAS
FROM dbo.tblHysIndexMLTimeSeries
WHERE     (TickerIndex = N'</t>
        </r>
        <r>
          <rPr>
            <sz val="10"/>
            <color indexed="48"/>
            <rFont val="Tahoma"/>
            <family val="2"/>
          </rPr>
          <t>emha</t>
        </r>
        <r>
          <rPr>
            <sz val="10"/>
            <color indexed="81"/>
            <rFont val="Tahoma"/>
            <family val="2"/>
          </rPr>
          <t>') 
AND (ReportDate &gt;='2006-03-31') 
AND (DAY(ReportDate + 1) = 1) 
AND (MONTH(ReportDate) = 3 OR MONTH(ReportDate) = 6 
OR MONTH(ReportDate) = 9 OR MONTH(ReportDate) = 12)
ORDER BY ReportDate</t>
        </r>
      </text>
    </comment>
  </commentList>
</comments>
</file>

<file path=xl/comments4.xml><?xml version="1.0" encoding="utf-8"?>
<comments xmlns="http://schemas.openxmlformats.org/spreadsheetml/2006/main">
  <authors>
    <author>Christopher Hays</author>
  </authors>
  <commentList>
    <comment ref="I3" authorId="0">
      <text>
        <r>
          <rPr>
            <sz val="10"/>
            <color indexed="81"/>
            <rFont val="Tahoma"/>
            <family val="2"/>
          </rPr>
          <t>USE IND &lt;Go&gt; custom index function to combine 
C0A0 and H0A0 (</t>
        </r>
        <r>
          <rPr>
            <b/>
            <sz val="10"/>
            <color indexed="81"/>
            <rFont val="Tahoma"/>
            <family val="2"/>
          </rPr>
          <t>STB1 Index &lt;GO&gt;</t>
        </r>
        <r>
          <rPr>
            <sz val="10"/>
            <color indexed="81"/>
            <rFont val="Tahoma"/>
            <family val="2"/>
          </rPr>
          <t>)</t>
        </r>
      </text>
    </comment>
    <comment ref="C32" authorId="0">
      <text>
        <r>
          <rPr>
            <b/>
            <sz val="10"/>
            <color indexed="81"/>
            <rFont val="Tahoma"/>
            <family val="2"/>
          </rPr>
          <t>Get US IG leverage and coverage from Yuriy's file:</t>
        </r>
        <r>
          <rPr>
            <sz val="10"/>
            <color indexed="81"/>
            <rFont val="Tahoma"/>
            <family val="2"/>
          </rPr>
          <t xml:space="preserve">
\\Corp\ds_dfs\GCIB Admin\Credit Research Technology\GMGRESEARCH\CMS\Leverage &amp; Liquidity\Leverage\HG Lvg</t>
        </r>
      </text>
    </comment>
    <comment ref="I61" authorId="0">
      <text>
        <r>
          <rPr>
            <sz val="8"/>
            <color indexed="81"/>
            <rFont val="Tahoma"/>
            <family val="2"/>
          </rPr>
          <t>SELECT     TOP (100) PERCENT OAS
FROM         dbo.tblHysIndexMLTimeSeries
WHERE     (TickerIndex = N'H0A0') AND (ReportDate &gt;= CONVERT(DATETIME, '2006-03-31 00:00:00', 102)) AND (DAY(ReportDate + 1) = 1) AND 
                      (MONTH(ReportDate) = 3 OR
                      MONTH(ReportDate) = 6 OR
                      MONTH(ReportDate) = 9 OR
                      MONTH(ReportDate) = 12)
ORDER BY ReportDate</t>
        </r>
      </text>
    </comment>
  </commentList>
</comments>
</file>

<file path=xl/comments5.xml><?xml version="1.0" encoding="utf-8"?>
<comments xmlns="http://schemas.openxmlformats.org/spreadsheetml/2006/main">
  <authors>
    <author>Neha Khoda</author>
  </authors>
  <commentList>
    <comment ref="B5" authorId="0">
      <text>
        <r>
          <rPr>
            <b/>
            <sz val="10"/>
            <color indexed="57"/>
            <rFont val="Tahoma"/>
            <family val="2"/>
          </rPr>
          <t>SELECT (SUM(a.Ebitda) / SUM(b.Ebitda) - 1) * 100 as [YoY EBITDA % Change], (SUM(a.TotalDebt) / SUM(b.TotalDebt) - 1) * 100 as [YoY Total Debt % Change]</t>
        </r>
        <r>
          <rPr>
            <sz val="10"/>
            <color indexed="81"/>
            <rFont val="Tahoma"/>
            <family val="2"/>
          </rPr>
          <t xml:space="preserve">
FROM tblHysBalanceSheetMetrics </t>
        </r>
        <r>
          <rPr>
            <b/>
            <sz val="10"/>
            <color indexed="81"/>
            <rFont val="Tahoma"/>
            <family val="2"/>
          </rPr>
          <t>a</t>
        </r>
        <r>
          <rPr>
            <sz val="10"/>
            <color indexed="81"/>
            <rFont val="Tahoma"/>
            <family val="2"/>
          </rPr>
          <t xml:space="preserve"> INNER JOIN 
(SELECT ReportDate, TickerBond, </t>
        </r>
        <r>
          <rPr>
            <sz val="10"/>
            <color indexed="10"/>
            <rFont val="Tahoma"/>
            <family val="2"/>
          </rPr>
          <t>Ebitda, TotalDebt,</t>
        </r>
        <r>
          <rPr>
            <sz val="10"/>
            <color indexed="81"/>
            <rFont val="Tahoma"/>
            <family val="2"/>
          </rPr>
          <t xml:space="preserve"> ExcludeFromYOYCalcs, ExcludeFromPointInTimeCalcs
FROM tblHysBalanceSheetMetrics 
WHERE </t>
        </r>
        <r>
          <rPr>
            <sz val="10"/>
            <color indexed="10"/>
            <rFont val="Tahoma"/>
            <family val="2"/>
          </rPr>
          <t xml:space="preserve">EBITDA is not null AND TotalDebt is not null </t>
        </r>
        <r>
          <rPr>
            <sz val="10"/>
            <color indexed="81"/>
            <rFont val="Tahoma"/>
            <family val="2"/>
          </rPr>
          <t xml:space="preserve">And ExcludeFromYOYCalcs=0
And TickerBond in (select distinct TickerBond from tblHysMapBondToEqtyTickers where EMDMFlag='EM')) </t>
        </r>
        <r>
          <rPr>
            <b/>
            <sz val="10"/>
            <color indexed="81"/>
            <rFont val="Tahoma"/>
            <family val="2"/>
          </rPr>
          <t>b</t>
        </r>
        <r>
          <rPr>
            <sz val="10"/>
            <color indexed="81"/>
            <rFont val="Tahoma"/>
            <family val="2"/>
          </rPr>
          <t xml:space="preserve"> 
ON a.TickerBond = b.TickerBond 
WHERE a.Tickerbond in (select distinct tickerbond from tblHysMapBondToEqtyTickers where EMDMFlag='EM')
AND a.ReportDate = (DATEADD(d, -DAY(DATEADD(m,1,DATEADD(yyyy, 1, b.ReportDate))),DATEADD(m,1,DATEADD(yyyy, 1, b.ReportDate))))
AND a.RatingMLAlphaNumeric IS NOT NULL </t>
        </r>
        <r>
          <rPr>
            <sz val="10"/>
            <color indexed="10"/>
            <rFont val="Tahoma"/>
            <family val="2"/>
          </rPr>
          <t>AND a.EBITDA is not null AND a.TotalDebt is not null</t>
        </r>
        <r>
          <rPr>
            <sz val="10"/>
            <color indexed="81"/>
            <rFont val="Tahoma"/>
            <family val="2"/>
          </rPr>
          <t xml:space="preserve"> And a.ExcludeFromYOYCalcs=0
AND </t>
        </r>
        <r>
          <rPr>
            <sz val="10"/>
            <color indexed="12"/>
            <rFont val="Tahoma"/>
            <family val="2"/>
          </rPr>
          <t>a.ReportDate &gt;= '12/31/2005</t>
        </r>
        <r>
          <rPr>
            <sz val="10"/>
            <color indexed="81"/>
            <rFont val="Tahoma"/>
            <family val="2"/>
          </rPr>
          <t>'
GROUP BY a.reportdate order by a.reportdate</t>
        </r>
      </text>
    </comment>
    <comment ref="D5" authorId="0">
      <text>
        <r>
          <rPr>
            <b/>
            <sz val="10"/>
            <color indexed="57"/>
            <rFont val="Tahoma"/>
            <family val="2"/>
          </rPr>
          <t>SELECT (SUM(a.COGS) / SUM(b.COGS) - 1) * 100 as [YOY COGS % Change], (SUM(a.Revenues) / SUM(b.Revenues) - 1) * 100 as [YOY Revenue % Change]</t>
        </r>
        <r>
          <rPr>
            <sz val="10"/>
            <color indexed="81"/>
            <rFont val="Tahoma"/>
            <family val="2"/>
          </rPr>
          <t xml:space="preserve">
FROM tblHysBalanceSheetMetrics </t>
        </r>
        <r>
          <rPr>
            <b/>
            <sz val="10"/>
            <color indexed="81"/>
            <rFont val="Tahoma"/>
            <family val="2"/>
          </rPr>
          <t>a</t>
        </r>
        <r>
          <rPr>
            <sz val="10"/>
            <color indexed="81"/>
            <rFont val="Tahoma"/>
            <family val="2"/>
          </rPr>
          <t xml:space="preserve"> INNER JOIN 
(SELECT ReportDate, tblHysBalanceSheetMetrics.TickerBond, </t>
        </r>
        <r>
          <rPr>
            <sz val="10"/>
            <color indexed="10"/>
            <rFont val="Tahoma"/>
            <family val="2"/>
          </rPr>
          <t>COGS, Revenues,</t>
        </r>
        <r>
          <rPr>
            <sz val="10"/>
            <color indexed="81"/>
            <rFont val="Tahoma"/>
            <family val="2"/>
          </rPr>
          <t xml:space="preserve"> ExcludeFromYOYCalcs, ExcludeFromPointInTimeCalcs
FROM tblHysBalanceSheetMetrics WHERE </t>
        </r>
        <r>
          <rPr>
            <sz val="10"/>
            <color indexed="10"/>
            <rFont val="Tahoma"/>
            <family val="2"/>
          </rPr>
          <t xml:space="preserve">COGS is not null AND Revenues is not null </t>
        </r>
        <r>
          <rPr>
            <sz val="10"/>
            <color indexed="81"/>
            <rFont val="Tahoma"/>
            <family val="2"/>
          </rPr>
          <t xml:space="preserve">And ExcludeFromYOYCalcs=0
And TickerBond in (select distinct TickerBond from tblHysMapBondToEqtyTickers where EMDMFlag='EM')) </t>
        </r>
        <r>
          <rPr>
            <b/>
            <sz val="10"/>
            <color indexed="81"/>
            <rFont val="Tahoma"/>
            <family val="2"/>
          </rPr>
          <t>b</t>
        </r>
        <r>
          <rPr>
            <sz val="10"/>
            <color indexed="81"/>
            <rFont val="Tahoma"/>
            <family val="2"/>
          </rPr>
          <t xml:space="preserve"> 
ON a.TickerBond = b.TickerBond 
WHERE a.Tickerbond in (select distinct tickerbond from tblHysMapBondToEqtyTickers where EMDMFlag='EM')
AND a.ReportDate = (DATEADD(d, -DAY(DATEADD(m,1,DATEADD(yyyy, 1, b.ReportDate))),DATEADD(m,1,DATEADD(yyyy, 1, b.ReportDate))))
AND a.RatingMLAlphaNumeric IS NOT NULL </t>
        </r>
        <r>
          <rPr>
            <sz val="10"/>
            <color indexed="10"/>
            <rFont val="Tahoma"/>
            <family val="2"/>
          </rPr>
          <t>AND a.COGS is not null AND a.Revenues is not null</t>
        </r>
        <r>
          <rPr>
            <sz val="10"/>
            <color indexed="81"/>
            <rFont val="Tahoma"/>
            <family val="2"/>
          </rPr>
          <t xml:space="preserve"> And a.ExcludeFromYOYCalcs=0
AND </t>
        </r>
        <r>
          <rPr>
            <sz val="10"/>
            <color indexed="12"/>
            <rFont val="Tahoma"/>
            <family val="2"/>
          </rPr>
          <t>a.ReportDate &gt;= '12/31/2005</t>
        </r>
        <r>
          <rPr>
            <sz val="10"/>
            <color indexed="81"/>
            <rFont val="Tahoma"/>
            <family val="2"/>
          </rPr>
          <t>'
GROUP BY a.reportdate order by a.reportdate</t>
        </r>
      </text>
    </comment>
    <comment ref="F5" authorId="0">
      <text>
        <r>
          <rPr>
            <sz val="10"/>
            <color indexed="81"/>
            <rFont val="Tahoma"/>
            <family val="2"/>
          </rPr>
          <t xml:space="preserve">SELECT (1 - SUM(a.COGS)/SUM(a.Revenues)) * 100 as [Gross Profit Margin]
FROM tblHysBalanceSheetMetrics </t>
        </r>
        <r>
          <rPr>
            <b/>
            <sz val="10"/>
            <color indexed="81"/>
            <rFont val="Tahoma"/>
            <family val="2"/>
          </rPr>
          <t>a</t>
        </r>
        <r>
          <rPr>
            <sz val="10"/>
            <color indexed="81"/>
            <rFont val="Tahoma"/>
            <family val="2"/>
          </rPr>
          <t xml:space="preserve"> 
WHERE a.Tickerbond in (select distinct tickerbond from tblHysMapBondToEqtyTickers where EMDMFlag='EM')
AND a.RatingMLAlphaNumeric IS NOT NULL
AND a.Revenues is not null 
AND a.COGS is not null 
AND a.ExcludeFromPointInTimeCalcs =0
And </t>
        </r>
        <r>
          <rPr>
            <sz val="10"/>
            <color indexed="12"/>
            <rFont val="Tahoma"/>
            <family val="2"/>
          </rPr>
          <t>a.Reportdate&gt;='3/31/2007'</t>
        </r>
        <r>
          <rPr>
            <sz val="10"/>
            <color indexed="81"/>
            <rFont val="Tahoma"/>
            <family val="2"/>
          </rPr>
          <t xml:space="preserve">
GROUP BY a.reportdate order by a.reportdate
</t>
        </r>
      </text>
    </comment>
    <comment ref="G5" authorId="0">
      <text>
        <r>
          <rPr>
            <b/>
            <sz val="10"/>
            <color indexed="57"/>
            <rFont val="Tahoma"/>
            <family val="2"/>
          </rPr>
          <t xml:space="preserve">SELECT (SUM(a.CAPEX) / SUM(b.CAPEX) - 1) * 100 as [YOY Capex % Change]
</t>
        </r>
        <r>
          <rPr>
            <sz val="10"/>
            <color indexed="81"/>
            <rFont val="Tahoma"/>
            <family val="2"/>
          </rPr>
          <t xml:space="preserve">
FROM tblHysBalanceSheetMetrics </t>
        </r>
        <r>
          <rPr>
            <b/>
            <sz val="10"/>
            <color indexed="81"/>
            <rFont val="Tahoma"/>
            <family val="2"/>
          </rPr>
          <t>a</t>
        </r>
        <r>
          <rPr>
            <sz val="10"/>
            <color indexed="81"/>
            <rFont val="Tahoma"/>
            <family val="2"/>
          </rPr>
          <t xml:space="preserve"> INNER JOIN 
(SELECT ReportDate, tblHysBalanceSheetMetrics.TickerBond, </t>
        </r>
        <r>
          <rPr>
            <sz val="10"/>
            <color indexed="10"/>
            <rFont val="Tahoma"/>
            <family val="2"/>
          </rPr>
          <t>CAPEX</t>
        </r>
        <r>
          <rPr>
            <sz val="10"/>
            <color indexed="81"/>
            <rFont val="Tahoma"/>
            <family val="2"/>
          </rPr>
          <t xml:space="preserve">, ExcludeFromYOYCalcs, ExcludeFromPointInTimeCalcs
FROM tblHysBalanceSheetMetrics WHERE </t>
        </r>
        <r>
          <rPr>
            <sz val="10"/>
            <color indexed="10"/>
            <rFont val="Tahoma"/>
            <family val="2"/>
          </rPr>
          <t xml:space="preserve">CAPEX is not null </t>
        </r>
        <r>
          <rPr>
            <sz val="10"/>
            <color indexed="81"/>
            <rFont val="Tahoma"/>
            <family val="2"/>
          </rPr>
          <t xml:space="preserve">And ExcludeFromYOYCalcs=0
And TickerBond in (select distinct TickerBond from tblHysMapBondToEqtyTickers where EMDMFlag='EM')) </t>
        </r>
        <r>
          <rPr>
            <b/>
            <sz val="10"/>
            <color indexed="81"/>
            <rFont val="Tahoma"/>
            <family val="2"/>
          </rPr>
          <t>b</t>
        </r>
        <r>
          <rPr>
            <sz val="10"/>
            <color indexed="81"/>
            <rFont val="Tahoma"/>
            <family val="2"/>
          </rPr>
          <t xml:space="preserve"> 
ON a.TickerBond = b.TickerBond 
WHERE a.Tickerbond in (select distinct tickerbond from tblHysMapBondToEqtyTickers where EMDMFlag='EM')
AND a.ReportDate = (DATEADD(d, -DAY(DATEADD(m,1,DATEADD(yyyy, 1, b.ReportDate))),DATEADD(m,1,DATEADD(yyyy, 1, b.ReportDate))))
AND a.RatingMLAlphaNumeric IS NOT NULL </t>
        </r>
        <r>
          <rPr>
            <sz val="10"/>
            <color indexed="10"/>
            <rFont val="Tahoma"/>
            <family val="2"/>
          </rPr>
          <t xml:space="preserve">AND a.CAPEX is not null </t>
        </r>
        <r>
          <rPr>
            <sz val="10"/>
            <color indexed="81"/>
            <rFont val="Tahoma"/>
            <family val="2"/>
          </rPr>
          <t xml:space="preserve">And a.ExcludeFromYOYCalcs=0
AND </t>
        </r>
        <r>
          <rPr>
            <sz val="10"/>
            <color indexed="12"/>
            <rFont val="Tahoma"/>
            <family val="2"/>
          </rPr>
          <t>a.ReportDate &gt;= '12/31/2005</t>
        </r>
        <r>
          <rPr>
            <sz val="10"/>
            <color indexed="81"/>
            <rFont val="Tahoma"/>
            <family val="2"/>
          </rPr>
          <t>'
GROUP BY a.reportdate order by a.reportdate</t>
        </r>
      </text>
    </comment>
    <comment ref="I5" authorId="0">
      <text>
        <r>
          <rPr>
            <b/>
            <sz val="10"/>
            <color indexed="57"/>
            <rFont val="Tahoma"/>
            <family val="2"/>
          </rPr>
          <t>SELECT (SUM(a.Ebitda) / SUM(b.Ebitda) - 1) * 100 as [YOY EM IG EBITDA % Change], (SUM(a.TotalDebt) / SUM(b.TotalDebt) - 1) * 100 as [YOY EM IG Total Debt % Change]</t>
        </r>
        <r>
          <rPr>
            <sz val="10"/>
            <color indexed="81"/>
            <rFont val="Tahoma"/>
            <family val="2"/>
          </rPr>
          <t xml:space="preserve">
FROM tblHysBalanceSheetMetrics </t>
        </r>
        <r>
          <rPr>
            <b/>
            <sz val="10"/>
            <color indexed="81"/>
            <rFont val="Tahoma"/>
            <family val="2"/>
          </rPr>
          <t>a</t>
        </r>
        <r>
          <rPr>
            <sz val="10"/>
            <color indexed="81"/>
            <rFont val="Tahoma"/>
            <family val="2"/>
          </rPr>
          <t xml:space="preserve"> INNER JOIN 
(SELECT ReportDate, tblHysBalanceSheetMetrics.TickerBond, </t>
        </r>
        <r>
          <rPr>
            <sz val="10"/>
            <color indexed="10"/>
            <rFont val="Tahoma"/>
            <family val="2"/>
          </rPr>
          <t>Ebitda, TotalDebt,</t>
        </r>
        <r>
          <rPr>
            <sz val="10"/>
            <color indexed="81"/>
            <rFont val="Tahoma"/>
            <family val="2"/>
          </rPr>
          <t xml:space="preserve"> ExcludeFromYOYCalcs, ExcludeFromPointInTimeCalcs
FROM tblHysBalanceSheetMetrics WHERE </t>
        </r>
        <r>
          <rPr>
            <sz val="10"/>
            <color indexed="10"/>
            <rFont val="Tahoma"/>
            <family val="2"/>
          </rPr>
          <t xml:space="preserve">EBITDA is not null AND TotalDebt is not null </t>
        </r>
        <r>
          <rPr>
            <sz val="10"/>
            <color indexed="81"/>
            <rFont val="Tahoma"/>
            <family val="2"/>
          </rPr>
          <t xml:space="preserve">And ExcludeFromYOYCalcs=0
And TickerBond in (select distinct TickerBond from tblHysMapBondToEqtyTickers where EMDMFlag='EM')) </t>
        </r>
        <r>
          <rPr>
            <b/>
            <sz val="10"/>
            <color indexed="81"/>
            <rFont val="Tahoma"/>
            <family val="2"/>
          </rPr>
          <t>b</t>
        </r>
        <r>
          <rPr>
            <sz val="10"/>
            <color indexed="81"/>
            <rFont val="Tahoma"/>
            <family val="2"/>
          </rPr>
          <t xml:space="preserve"> 
ON a.TickerBond = b.TickerBond 
WHERE a.Tickerbond in (select distinct tickerbond from tblHysMapBondToEqtyTickers where EMDMFlag='EM')
AND a.ReportDate = (DATEADD(d, -DAY(DATEADD(m,1,DATEADD(yyyy, 1, b.ReportDate))),DATEADD(m,1,DATEADD(yyyy, 1, b.ReportDate))))
AND a.RatingMLAlphaNumeric IS NOT NULL </t>
        </r>
        <r>
          <rPr>
            <sz val="10"/>
            <color indexed="12"/>
            <rFont val="Tahoma"/>
            <family val="2"/>
          </rPr>
          <t>AND ((a.RatingMLAlphaNumeric Like 'A%') OR (a.RatingMLAlphaNumeric Like 'BBB%'))</t>
        </r>
        <r>
          <rPr>
            <sz val="10"/>
            <color indexed="81"/>
            <rFont val="Tahoma"/>
            <family val="2"/>
          </rPr>
          <t xml:space="preserve">
</t>
        </r>
        <r>
          <rPr>
            <sz val="10"/>
            <color indexed="10"/>
            <rFont val="Tahoma"/>
            <family val="2"/>
          </rPr>
          <t>AND a.EBITDA is not null AND a.TotalDebt is not null</t>
        </r>
        <r>
          <rPr>
            <sz val="10"/>
            <color indexed="81"/>
            <rFont val="Tahoma"/>
            <family val="2"/>
          </rPr>
          <t xml:space="preserve"> And a.ExcludeFromYOYCalcs=0
AND </t>
        </r>
        <r>
          <rPr>
            <sz val="10"/>
            <color indexed="12"/>
            <rFont val="Tahoma"/>
            <family val="2"/>
          </rPr>
          <t>a.ReportDate &gt;= '12/31/2005</t>
        </r>
        <r>
          <rPr>
            <sz val="10"/>
            <color indexed="81"/>
            <rFont val="Tahoma"/>
            <family val="2"/>
          </rPr>
          <t>'
GROUP BY a.reportdate order by a.reportdate</t>
        </r>
      </text>
    </comment>
    <comment ref="K5" authorId="0">
      <text>
        <r>
          <rPr>
            <b/>
            <sz val="10"/>
            <color indexed="57"/>
            <rFont val="Tahoma"/>
            <family val="2"/>
          </rPr>
          <t>SELECT (SUM(a.COGS) / SUM(b.COGS) - 1) * 100 as YoYCOGSChange, (SUM(a.Revenues) / SUM(b.Revenues) - 1) * 100 as YoYRevenueChange</t>
        </r>
        <r>
          <rPr>
            <sz val="10"/>
            <color indexed="81"/>
            <rFont val="Tahoma"/>
            <family val="2"/>
          </rPr>
          <t xml:space="preserve">
FROM tblHysBalanceSheetMetrics </t>
        </r>
        <r>
          <rPr>
            <b/>
            <sz val="10"/>
            <color indexed="81"/>
            <rFont val="Tahoma"/>
            <family val="2"/>
          </rPr>
          <t>a</t>
        </r>
        <r>
          <rPr>
            <sz val="10"/>
            <color indexed="81"/>
            <rFont val="Tahoma"/>
            <family val="2"/>
          </rPr>
          <t xml:space="preserve"> INNER JOIN 
(SELECT ReportDate, tblHysBalanceSheetMetrics.TickerBond, </t>
        </r>
        <r>
          <rPr>
            <sz val="10"/>
            <color indexed="10"/>
            <rFont val="Tahoma"/>
            <family val="2"/>
          </rPr>
          <t>COGS, Revenues,</t>
        </r>
        <r>
          <rPr>
            <sz val="10"/>
            <color indexed="81"/>
            <rFont val="Tahoma"/>
            <family val="2"/>
          </rPr>
          <t xml:space="preserve"> ExcludeFromYOYCalcs, ExcludeFromPointInTimeCalcs
FROM tblHysBalanceSheetMetrics WHERE </t>
        </r>
        <r>
          <rPr>
            <sz val="10"/>
            <color indexed="10"/>
            <rFont val="Tahoma"/>
            <family val="2"/>
          </rPr>
          <t xml:space="preserve">COGS is not null AND Revenues is not null </t>
        </r>
        <r>
          <rPr>
            <sz val="10"/>
            <color indexed="81"/>
            <rFont val="Tahoma"/>
            <family val="2"/>
          </rPr>
          <t xml:space="preserve">And ExcludeFromYOYCalcs=0
And TickerBond in (select distinct TickerBond from tblHysMapBondToEqtyTickers where EMDMFlag='EM')) </t>
        </r>
        <r>
          <rPr>
            <b/>
            <sz val="10"/>
            <color indexed="81"/>
            <rFont val="Tahoma"/>
            <family val="2"/>
          </rPr>
          <t>b</t>
        </r>
        <r>
          <rPr>
            <sz val="10"/>
            <color indexed="81"/>
            <rFont val="Tahoma"/>
            <family val="2"/>
          </rPr>
          <t xml:space="preserve"> 
ON a.TickerBond = b.TickerBond 
WHERE a.Tickerbond in (select distinct tickerbond from tblHysMapBondToEqtyTickers where EMDMFlag='EM')
AND a.ReportDate = (DATEADD(d, -DAY(DATEADD(m,1,DATEADD(yyyy, 1, b.ReportDate))),DATEADD(m,1,DATEADD(yyyy, 1, b.ReportDate))))
AND a.RatingMLAlphaNumeric IS NOT NULL </t>
        </r>
        <r>
          <rPr>
            <sz val="10"/>
            <color indexed="12"/>
            <rFont val="Tahoma"/>
            <family val="2"/>
          </rPr>
          <t>AND ((a.RatingMLAlphaNumeric Like 'A%') OR (a.RatingMLAlphaNumeric Like 'BBB%'))</t>
        </r>
        <r>
          <rPr>
            <sz val="10"/>
            <color indexed="81"/>
            <rFont val="Tahoma"/>
            <family val="2"/>
          </rPr>
          <t xml:space="preserve">
</t>
        </r>
        <r>
          <rPr>
            <sz val="10"/>
            <color indexed="10"/>
            <rFont val="Tahoma"/>
            <family val="2"/>
          </rPr>
          <t>AND a.COGS is not null AND a.Revenues is not null</t>
        </r>
        <r>
          <rPr>
            <sz val="10"/>
            <color indexed="81"/>
            <rFont val="Tahoma"/>
            <family val="2"/>
          </rPr>
          <t xml:space="preserve"> And a.ExcludeFromYOYCalcs=0
AND </t>
        </r>
        <r>
          <rPr>
            <sz val="10"/>
            <color indexed="12"/>
            <rFont val="Tahoma"/>
            <family val="2"/>
          </rPr>
          <t>a.ReportDate &gt;= '12/31/2005</t>
        </r>
        <r>
          <rPr>
            <sz val="10"/>
            <color indexed="81"/>
            <rFont val="Tahoma"/>
            <family val="2"/>
          </rPr>
          <t>'
GROUP BY a.reportdate order by a.reportdate</t>
        </r>
      </text>
    </comment>
    <comment ref="M5" authorId="0">
      <text>
        <r>
          <rPr>
            <sz val="10"/>
            <color indexed="81"/>
            <rFont val="Tahoma"/>
            <family val="2"/>
          </rPr>
          <t xml:space="preserve">SELECT (1 - SUM(a.COGS)/SUM(a.Revenues)) * 100 as [EM IG Gross Profit Margin]
FROM tblHysBalanceSheetMetrics </t>
        </r>
        <r>
          <rPr>
            <b/>
            <sz val="10"/>
            <color indexed="81"/>
            <rFont val="Tahoma"/>
            <family val="2"/>
          </rPr>
          <t>a</t>
        </r>
        <r>
          <rPr>
            <sz val="10"/>
            <color indexed="81"/>
            <rFont val="Tahoma"/>
            <family val="2"/>
          </rPr>
          <t xml:space="preserve"> 
WHERE a.Tickerbond in (select distinct tickerbond from tblHysMapBondToEqtyTickers where EMDMFlag='EM')
AND a.RatingMLAlphaNumeric IS NOT NULL
</t>
        </r>
        <r>
          <rPr>
            <sz val="10"/>
            <color indexed="12"/>
            <rFont val="Tahoma"/>
            <family val="2"/>
          </rPr>
          <t>AND ((a.RatingMLAlphaNumeric Like 'A%') OR (a.RatingMLAlphaNumeric Like 'BBB%'))</t>
        </r>
        <r>
          <rPr>
            <sz val="10"/>
            <color indexed="81"/>
            <rFont val="Tahoma"/>
            <family val="2"/>
          </rPr>
          <t xml:space="preserve">
AND a.Revenues is not null 
AND a.COGS is not null 
AND a.ExcludeFromPointInTimeCalcs =0
And </t>
        </r>
        <r>
          <rPr>
            <sz val="10"/>
            <color indexed="12"/>
            <rFont val="Tahoma"/>
            <family val="2"/>
          </rPr>
          <t>a.Reportdate&gt;='3/31/2007'</t>
        </r>
        <r>
          <rPr>
            <sz val="10"/>
            <color indexed="81"/>
            <rFont val="Tahoma"/>
            <family val="2"/>
          </rPr>
          <t xml:space="preserve">
GROUP BY a.reportdate order by a.reportdate
</t>
        </r>
      </text>
    </comment>
    <comment ref="N5" authorId="0">
      <text>
        <r>
          <rPr>
            <b/>
            <sz val="10"/>
            <color indexed="57"/>
            <rFont val="Tahoma"/>
            <family val="2"/>
          </rPr>
          <t xml:space="preserve">SELECT (SUM(a.CAPEX) / SUM(b.CAPEX) - 1) * 100 as YoYCapexChange
</t>
        </r>
        <r>
          <rPr>
            <sz val="10"/>
            <color indexed="81"/>
            <rFont val="Tahoma"/>
            <family val="2"/>
          </rPr>
          <t xml:space="preserve">
FROM tblHysBalanceSheetMetrics </t>
        </r>
        <r>
          <rPr>
            <b/>
            <sz val="10"/>
            <color indexed="81"/>
            <rFont val="Tahoma"/>
            <family val="2"/>
          </rPr>
          <t>a</t>
        </r>
        <r>
          <rPr>
            <sz val="10"/>
            <color indexed="81"/>
            <rFont val="Tahoma"/>
            <family val="2"/>
          </rPr>
          <t xml:space="preserve"> INNER JOIN 
(SELECT ReportDate, tblHysBalanceSheetMetrics.TickerBond, </t>
        </r>
        <r>
          <rPr>
            <sz val="10"/>
            <color indexed="10"/>
            <rFont val="Tahoma"/>
            <family val="2"/>
          </rPr>
          <t>CAPEX</t>
        </r>
        <r>
          <rPr>
            <sz val="10"/>
            <color indexed="81"/>
            <rFont val="Tahoma"/>
            <family val="2"/>
          </rPr>
          <t xml:space="preserve">, ExcludeFromYOYCalcs, ExcludeFromPointInTimeCalcs
FROM tblHysBalanceSheetMetrics WHERE </t>
        </r>
        <r>
          <rPr>
            <sz val="10"/>
            <color indexed="10"/>
            <rFont val="Tahoma"/>
            <family val="2"/>
          </rPr>
          <t xml:space="preserve">CAPEX is not null </t>
        </r>
        <r>
          <rPr>
            <sz val="10"/>
            <color indexed="81"/>
            <rFont val="Tahoma"/>
            <family val="2"/>
          </rPr>
          <t xml:space="preserve">And ExcludeFromYOYCalcs=0
And TickerBond in (select distinct TickerBond from tblHysMapBondToEqtyTickers where EMDMFlag='EM')) </t>
        </r>
        <r>
          <rPr>
            <b/>
            <sz val="10"/>
            <color indexed="81"/>
            <rFont val="Tahoma"/>
            <family val="2"/>
          </rPr>
          <t>b</t>
        </r>
        <r>
          <rPr>
            <sz val="10"/>
            <color indexed="81"/>
            <rFont val="Tahoma"/>
            <family val="2"/>
          </rPr>
          <t xml:space="preserve"> 
ON a.TickerBond = b.TickerBond 
WHERE a.Tickerbond in (select distinct tickerbond from tblHysMapBondToEqtyTickers where EMDMFlag='EM')
AND a.ReportDate = (DATEADD(d, -DAY(DATEADD(m,1,DATEADD(yyyy, 1, b.ReportDate))),DATEADD(m,1,DATEADD(yyyy, 1, b.ReportDate))))
AND a.RatingMLAlphaNumeric IS NOT NULL </t>
        </r>
        <r>
          <rPr>
            <sz val="10"/>
            <color indexed="12"/>
            <rFont val="Tahoma"/>
            <family val="2"/>
          </rPr>
          <t>AND ((a.RatingMLAlphaNumeric Like 'A%') OR (a.RatingMLAlphaNumeric Like 'BBB%'))</t>
        </r>
        <r>
          <rPr>
            <sz val="10"/>
            <color indexed="81"/>
            <rFont val="Tahoma"/>
            <family val="2"/>
          </rPr>
          <t xml:space="preserve">
</t>
        </r>
        <r>
          <rPr>
            <sz val="10"/>
            <color indexed="10"/>
            <rFont val="Tahoma"/>
            <family val="2"/>
          </rPr>
          <t xml:space="preserve">AND a.CAPEX is not null </t>
        </r>
        <r>
          <rPr>
            <sz val="10"/>
            <color indexed="81"/>
            <rFont val="Tahoma"/>
            <family val="2"/>
          </rPr>
          <t xml:space="preserve">And a.ExcludeFromYOYCalcs=0
AND </t>
        </r>
        <r>
          <rPr>
            <sz val="10"/>
            <color indexed="12"/>
            <rFont val="Tahoma"/>
            <family val="2"/>
          </rPr>
          <t>a.ReportDate &gt;= '12/31/2005</t>
        </r>
        <r>
          <rPr>
            <sz val="10"/>
            <color indexed="81"/>
            <rFont val="Tahoma"/>
            <family val="2"/>
          </rPr>
          <t>'
GROUP BY a.reportdate order by a.reportdate</t>
        </r>
      </text>
    </comment>
    <comment ref="P5" authorId="0">
      <text>
        <r>
          <rPr>
            <b/>
            <sz val="10"/>
            <color indexed="57"/>
            <rFont val="Tahoma"/>
            <family val="2"/>
          </rPr>
          <t>SELECT (SUM(a.Ebitda) / SUM(b.Ebitda) - 1) * 100 as [YOY EM HY EBITDA % Change], (SUM(a.TotalDebt) / SUM(b.TotalDebt) - 1) * 100 as [YOY EM HY Total Debt % Change]</t>
        </r>
        <r>
          <rPr>
            <sz val="10"/>
            <color indexed="81"/>
            <rFont val="Tahoma"/>
            <family val="2"/>
          </rPr>
          <t xml:space="preserve">
FROM tblHysBalanceSheetMetrics </t>
        </r>
        <r>
          <rPr>
            <b/>
            <sz val="10"/>
            <color indexed="81"/>
            <rFont val="Tahoma"/>
            <family val="2"/>
          </rPr>
          <t>a</t>
        </r>
        <r>
          <rPr>
            <sz val="10"/>
            <color indexed="81"/>
            <rFont val="Tahoma"/>
            <family val="2"/>
          </rPr>
          <t xml:space="preserve"> INNER JOIN 
(SELECT ReportDate, tblHysBalanceSheetMetrics.TickerBond, </t>
        </r>
        <r>
          <rPr>
            <sz val="10"/>
            <color indexed="10"/>
            <rFont val="Tahoma"/>
            <family val="2"/>
          </rPr>
          <t>Ebitda, TotalDebt,</t>
        </r>
        <r>
          <rPr>
            <sz val="10"/>
            <color indexed="81"/>
            <rFont val="Tahoma"/>
            <family val="2"/>
          </rPr>
          <t xml:space="preserve"> ExcludeFromYOYCalcs, ExcludeFromPointInTimeCalcs
FROM tblHysBalanceSheetMetrics WHERE </t>
        </r>
        <r>
          <rPr>
            <sz val="10"/>
            <color indexed="10"/>
            <rFont val="Tahoma"/>
            <family val="2"/>
          </rPr>
          <t xml:space="preserve">EBITDA is not null AND TotalDebt is not null </t>
        </r>
        <r>
          <rPr>
            <sz val="10"/>
            <color indexed="81"/>
            <rFont val="Tahoma"/>
            <family val="2"/>
          </rPr>
          <t xml:space="preserve">And ExcludeFromYOYCalcs=0
And TickerBond in (select distinct TickerBond from tblHysMapBondToEqtyTickers where EMDMFlag='EM')) </t>
        </r>
        <r>
          <rPr>
            <b/>
            <sz val="10"/>
            <color indexed="81"/>
            <rFont val="Tahoma"/>
            <family val="2"/>
          </rPr>
          <t>b</t>
        </r>
        <r>
          <rPr>
            <sz val="10"/>
            <color indexed="81"/>
            <rFont val="Tahoma"/>
            <family val="2"/>
          </rPr>
          <t xml:space="preserve"> 
ON a.TickerBond = b.TickerBond 
WHERE a.Tickerbond in (select distinct tickerbond from tblHysMapBondToEqtyTickers where EMDMFlag='EM')
AND a.ReportDate = (DATEADD(d, -DAY(DATEADD(m,1,DATEADD(yyyy, 1, b.ReportDate))),DATEADD(m,1,DATEADD(yyyy, 1, b.ReportDate))))
AND a.RatingMLAlphaNumeric IS NOT NULL 
</t>
        </r>
        <r>
          <rPr>
            <sz val="10"/>
            <color indexed="12"/>
            <rFont val="Tahoma"/>
            <family val="2"/>
          </rPr>
          <t>AND ((a.RatingMLAlphaNumeric Like 'C%') OR ((a.RatingMLAlphaNumeric Like 'B%') AND (a.RatingMLAlphaNumeric Not Like 'BBB%')))</t>
        </r>
        <r>
          <rPr>
            <sz val="10"/>
            <color indexed="81"/>
            <rFont val="Tahoma"/>
            <family val="2"/>
          </rPr>
          <t xml:space="preserve">
</t>
        </r>
        <r>
          <rPr>
            <sz val="10"/>
            <color indexed="10"/>
            <rFont val="Tahoma"/>
            <family val="2"/>
          </rPr>
          <t>AND a.EBITDA is not null AND a.TotalDebt is not null</t>
        </r>
        <r>
          <rPr>
            <sz val="10"/>
            <color indexed="81"/>
            <rFont val="Tahoma"/>
            <family val="2"/>
          </rPr>
          <t xml:space="preserve"> And a.ExcludeFromYOYCalcs=0
AND </t>
        </r>
        <r>
          <rPr>
            <sz val="10"/>
            <color indexed="12"/>
            <rFont val="Tahoma"/>
            <family val="2"/>
          </rPr>
          <t>a.ReportDate &gt;= '12/31/2005</t>
        </r>
        <r>
          <rPr>
            <sz val="10"/>
            <color indexed="81"/>
            <rFont val="Tahoma"/>
            <family val="2"/>
          </rPr>
          <t>'
GROUP BY a.reportdate order by a.reportdate</t>
        </r>
      </text>
    </comment>
    <comment ref="R5" authorId="0">
      <text>
        <r>
          <rPr>
            <b/>
            <sz val="10"/>
            <color indexed="57"/>
            <rFont val="Tahoma"/>
            <family val="2"/>
          </rPr>
          <t>SELECT (SUM(a.COGS) / SUM(b.COGS) - 1) * 100 as YoYCOGSChange, (SUM(a.Revenues) / SUM(b.Revenues) - 1) * 100 as YoYRevenueChange</t>
        </r>
        <r>
          <rPr>
            <sz val="10"/>
            <color indexed="81"/>
            <rFont val="Tahoma"/>
            <family val="2"/>
          </rPr>
          <t xml:space="preserve">
FROM tblHysBalanceSheetMetrics </t>
        </r>
        <r>
          <rPr>
            <b/>
            <sz val="10"/>
            <color indexed="81"/>
            <rFont val="Tahoma"/>
            <family val="2"/>
          </rPr>
          <t>a</t>
        </r>
        <r>
          <rPr>
            <sz val="10"/>
            <color indexed="81"/>
            <rFont val="Tahoma"/>
            <family val="2"/>
          </rPr>
          <t xml:space="preserve"> INNER JOIN 
(SELECT ReportDate, tblHysBalanceSheetMetrics.TickerBond, </t>
        </r>
        <r>
          <rPr>
            <sz val="10"/>
            <color indexed="10"/>
            <rFont val="Tahoma"/>
            <family val="2"/>
          </rPr>
          <t>COGS, Revenues,</t>
        </r>
        <r>
          <rPr>
            <sz val="10"/>
            <color indexed="81"/>
            <rFont val="Tahoma"/>
            <family val="2"/>
          </rPr>
          <t xml:space="preserve"> ExcludeFromYOYCalcs, ExcludeFromPointInTimeCalcs
FROM tblHysBalanceSheetMetrics WHERE </t>
        </r>
        <r>
          <rPr>
            <sz val="10"/>
            <color indexed="10"/>
            <rFont val="Tahoma"/>
            <family val="2"/>
          </rPr>
          <t xml:space="preserve">COGS is not null AND Revenues is not null </t>
        </r>
        <r>
          <rPr>
            <sz val="10"/>
            <color indexed="81"/>
            <rFont val="Tahoma"/>
            <family val="2"/>
          </rPr>
          <t xml:space="preserve">And ExcludeFromYOYCalcs=0
And TickerBond in (select distinct TickerBond from tblHysMapBondToEqtyTickers where EMDMFlag='EM')) </t>
        </r>
        <r>
          <rPr>
            <b/>
            <sz val="10"/>
            <color indexed="81"/>
            <rFont val="Tahoma"/>
            <family val="2"/>
          </rPr>
          <t>b</t>
        </r>
        <r>
          <rPr>
            <sz val="10"/>
            <color indexed="81"/>
            <rFont val="Tahoma"/>
            <family val="2"/>
          </rPr>
          <t xml:space="preserve"> 
ON a.TickerBond = b.TickerBond 
WHERE a.Tickerbond in (select distinct tickerbond from tblHysMapBondToEqtyTickers where EMDMFlag='EM')
AND a.ReportDate = (DATEADD(d, -DAY(DATEADD(m,1,DATEADD(yyyy, 1, b.ReportDate))),DATEADD(m,1,DATEADD(yyyy, 1, b.ReportDate))))
AND a.RatingMLAlphaNumeric IS NOT NULL 
</t>
        </r>
        <r>
          <rPr>
            <sz val="10"/>
            <color indexed="12"/>
            <rFont val="Tahoma"/>
            <family val="2"/>
          </rPr>
          <t>AND ((a.RatingMLAlphaNumeric Like 'C%') OR ((a.RatingMLAlphaNumeric Like 'B%') AND (a.RatingMLAlphaNumeric Not Like 'BBB%')))</t>
        </r>
        <r>
          <rPr>
            <sz val="10"/>
            <color indexed="81"/>
            <rFont val="Tahoma"/>
            <family val="2"/>
          </rPr>
          <t xml:space="preserve">
</t>
        </r>
        <r>
          <rPr>
            <sz val="10"/>
            <color indexed="10"/>
            <rFont val="Tahoma"/>
            <family val="2"/>
          </rPr>
          <t>AND a.COGS is not null AND a.Revenues is not null</t>
        </r>
        <r>
          <rPr>
            <sz val="10"/>
            <color indexed="81"/>
            <rFont val="Tahoma"/>
            <family val="2"/>
          </rPr>
          <t xml:space="preserve"> And a.ExcludeFromYOYCalcs=0
AND </t>
        </r>
        <r>
          <rPr>
            <sz val="10"/>
            <color indexed="12"/>
            <rFont val="Tahoma"/>
            <family val="2"/>
          </rPr>
          <t>a.ReportDate &gt;= '12/31/2005</t>
        </r>
        <r>
          <rPr>
            <sz val="10"/>
            <color indexed="81"/>
            <rFont val="Tahoma"/>
            <family val="2"/>
          </rPr>
          <t>'
GROUP BY a.reportdate order by a.reportdate</t>
        </r>
      </text>
    </comment>
    <comment ref="T5" authorId="0">
      <text>
        <r>
          <rPr>
            <sz val="10"/>
            <color indexed="81"/>
            <rFont val="Tahoma"/>
            <family val="2"/>
          </rPr>
          <t xml:space="preserve">SELECT (1 - SUM(a.COGS)/SUM(a.Revenues)) * 100 as [EM HY Gross Profit Margin]
FROM tblHysBalanceSheetMetrics </t>
        </r>
        <r>
          <rPr>
            <b/>
            <sz val="10"/>
            <color indexed="81"/>
            <rFont val="Tahoma"/>
            <family val="2"/>
          </rPr>
          <t>a</t>
        </r>
        <r>
          <rPr>
            <sz val="10"/>
            <color indexed="81"/>
            <rFont val="Tahoma"/>
            <family val="2"/>
          </rPr>
          <t xml:space="preserve"> 
WHERE a.Tickerbond in (select distinct tickerbond from tblHysMapBondToEqtyTickers where EMDMFlag='EM')
AND a.RatingMLAlphaNumeric IS NOT NULL
</t>
        </r>
        <r>
          <rPr>
            <sz val="10"/>
            <color indexed="12"/>
            <rFont val="Tahoma"/>
            <family val="2"/>
          </rPr>
          <t>AND ((a.RatingMLAlphaNumeric Like 'C%') OR ((a.RatingMLAlphaNumeric Like 'B%') AND (a.RatingMLAlphaNumeric Not Like 'BBB%')))</t>
        </r>
        <r>
          <rPr>
            <sz val="10"/>
            <color indexed="81"/>
            <rFont val="Tahoma"/>
            <family val="2"/>
          </rPr>
          <t xml:space="preserve">
AND a.Revenues is not null 
AND a.COGS is not null 
AND a.ExcludeFromPointInTimeCalcs =0
And </t>
        </r>
        <r>
          <rPr>
            <sz val="10"/>
            <color indexed="12"/>
            <rFont val="Tahoma"/>
            <family val="2"/>
          </rPr>
          <t>a.Reportdate&gt;='3/31/2007'</t>
        </r>
        <r>
          <rPr>
            <sz val="10"/>
            <color indexed="81"/>
            <rFont val="Tahoma"/>
            <family val="2"/>
          </rPr>
          <t xml:space="preserve">
GROUP BY a.reportdate order by a.reportdate
</t>
        </r>
      </text>
    </comment>
    <comment ref="U5" authorId="0">
      <text>
        <r>
          <rPr>
            <b/>
            <sz val="10"/>
            <color indexed="57"/>
            <rFont val="Tahoma"/>
            <family val="2"/>
          </rPr>
          <t xml:space="preserve">SELECT (SUM(a.CAPEX) / SUM(b.CAPEX) - 1) * 100 as YoYCapexChange
</t>
        </r>
        <r>
          <rPr>
            <sz val="10"/>
            <color indexed="81"/>
            <rFont val="Tahoma"/>
            <family val="2"/>
          </rPr>
          <t xml:space="preserve">
FROM tblHysBalanceSheetMetrics </t>
        </r>
        <r>
          <rPr>
            <b/>
            <sz val="10"/>
            <color indexed="81"/>
            <rFont val="Tahoma"/>
            <family val="2"/>
          </rPr>
          <t>a</t>
        </r>
        <r>
          <rPr>
            <sz val="10"/>
            <color indexed="81"/>
            <rFont val="Tahoma"/>
            <family val="2"/>
          </rPr>
          <t xml:space="preserve"> INNER JOIN 
(SELECT ReportDate, tblHysBalanceSheetMetrics.TickerBond, </t>
        </r>
        <r>
          <rPr>
            <sz val="10"/>
            <color indexed="10"/>
            <rFont val="Tahoma"/>
            <family val="2"/>
          </rPr>
          <t>CAPEX</t>
        </r>
        <r>
          <rPr>
            <sz val="10"/>
            <color indexed="81"/>
            <rFont val="Tahoma"/>
            <family val="2"/>
          </rPr>
          <t xml:space="preserve">, ExcludeFromYOYCalcs, ExcludeFromPointInTimeCalcs
FROM tblHysBalanceSheetMetrics WHERE </t>
        </r>
        <r>
          <rPr>
            <sz val="10"/>
            <color indexed="10"/>
            <rFont val="Tahoma"/>
            <family val="2"/>
          </rPr>
          <t xml:space="preserve">CAPEX is not null </t>
        </r>
        <r>
          <rPr>
            <sz val="10"/>
            <color indexed="81"/>
            <rFont val="Tahoma"/>
            <family val="2"/>
          </rPr>
          <t xml:space="preserve">And ExcludeFromYOYCalcs=0
And TickerBond in (select distinct TickerBond from tblHysMapBondToEqtyTickers where EMDMFlag='EM')) </t>
        </r>
        <r>
          <rPr>
            <b/>
            <sz val="10"/>
            <color indexed="81"/>
            <rFont val="Tahoma"/>
            <family val="2"/>
          </rPr>
          <t>b</t>
        </r>
        <r>
          <rPr>
            <sz val="10"/>
            <color indexed="81"/>
            <rFont val="Tahoma"/>
            <family val="2"/>
          </rPr>
          <t xml:space="preserve"> 
ON a.TickerBond = b.TickerBond 
WHERE a.Tickerbond in (select distinct tickerbond from tblHysMapBondToEqtyTickers where EMDMFlag='EM')
AND a.ReportDate = (DATEADD(d, -DAY(DATEADD(m,1,DATEADD(yyyy, 1, b.ReportDate))),DATEADD(m,1,DATEADD(yyyy, 1, b.ReportDate))))
AND a.RatingMLAlphaNumeric IS NOT NULL 
</t>
        </r>
        <r>
          <rPr>
            <sz val="10"/>
            <color indexed="12"/>
            <rFont val="Tahoma"/>
            <family val="2"/>
          </rPr>
          <t>AND ((a.RatingMLAlphaNumeric Like 'C%') OR ((a.RatingMLAlphaNumeric Like 'B%') AND (a.RatingMLAlphaNumeric Not Like 'BBB%')))</t>
        </r>
        <r>
          <rPr>
            <sz val="10"/>
            <color indexed="81"/>
            <rFont val="Tahoma"/>
            <family val="2"/>
          </rPr>
          <t xml:space="preserve">
</t>
        </r>
        <r>
          <rPr>
            <sz val="10"/>
            <color indexed="10"/>
            <rFont val="Tahoma"/>
            <family val="2"/>
          </rPr>
          <t xml:space="preserve">AND a.CAPEX is not null </t>
        </r>
        <r>
          <rPr>
            <sz val="10"/>
            <color indexed="81"/>
            <rFont val="Tahoma"/>
            <family val="2"/>
          </rPr>
          <t xml:space="preserve">And a.ExcludeFromYOYCalcs=0
AND </t>
        </r>
        <r>
          <rPr>
            <sz val="10"/>
            <color indexed="12"/>
            <rFont val="Tahoma"/>
            <family val="2"/>
          </rPr>
          <t>a.ReportDate &gt;= '12/31/2005</t>
        </r>
        <r>
          <rPr>
            <sz val="10"/>
            <color indexed="81"/>
            <rFont val="Tahoma"/>
            <family val="2"/>
          </rPr>
          <t>'
GROUP BY a.reportdate order by a.reportdate</t>
        </r>
      </text>
    </comment>
    <comment ref="W5" authorId="0">
      <text>
        <r>
          <rPr>
            <b/>
            <sz val="10"/>
            <color indexed="57"/>
            <rFont val="Tahoma"/>
            <family val="2"/>
          </rPr>
          <t>SELECT (SUM(a.Ebitda) / SUM(b.Ebitda) - 1) * 100 as [YoY EBITDA % Change], (SUM(a.TotalDebt) / SUM(b.TotalDebt) - 1) * 100 as [YoY Total Debt % Change]</t>
        </r>
        <r>
          <rPr>
            <sz val="10"/>
            <color indexed="81"/>
            <rFont val="Tahoma"/>
            <family val="2"/>
          </rPr>
          <t xml:space="preserve">
FROM tblHysBalanceSheetMetrics </t>
        </r>
        <r>
          <rPr>
            <b/>
            <sz val="10"/>
            <color indexed="81"/>
            <rFont val="Tahoma"/>
            <family val="2"/>
          </rPr>
          <t>a</t>
        </r>
        <r>
          <rPr>
            <sz val="10"/>
            <color indexed="81"/>
            <rFont val="Tahoma"/>
            <family val="2"/>
          </rPr>
          <t xml:space="preserve"> INNER JOIN 
(SELECT ReportDate, TickerBond, </t>
        </r>
        <r>
          <rPr>
            <sz val="10"/>
            <color indexed="10"/>
            <rFont val="Tahoma"/>
            <family val="2"/>
          </rPr>
          <t>Ebitda, TotalDebt,</t>
        </r>
        <r>
          <rPr>
            <sz val="10"/>
            <color indexed="81"/>
            <rFont val="Tahoma"/>
            <family val="2"/>
          </rPr>
          <t xml:space="preserve"> ExcludeFromYOYCalcs, ExcludeFromPointInTimeCalcs
FROM tblHysBalanceSheetMetrics 
WHERE </t>
        </r>
        <r>
          <rPr>
            <sz val="10"/>
            <color indexed="10"/>
            <rFont val="Tahoma"/>
            <family val="2"/>
          </rPr>
          <t xml:space="preserve">EBITDA is not null AND TotalDebt is not null </t>
        </r>
        <r>
          <rPr>
            <sz val="10"/>
            <color indexed="81"/>
            <rFont val="Tahoma"/>
            <family val="2"/>
          </rPr>
          <t xml:space="preserve">And ExcludeFromYOYCalcs=0
AND (TickerBond IN (SELECT DISTINCT TickerBond FROM dbo.tblHysMapBondToEqtyTickers WHERE (EMDMFlag = 'EM') 
AND (CountryFullName IN (SELECT DISTINCT CountryFullName FROM dbo.tblHysMapCountries WHERE (Region = 'Latin America')))))
) </t>
        </r>
        <r>
          <rPr>
            <b/>
            <sz val="10"/>
            <color indexed="81"/>
            <rFont val="Tahoma"/>
            <family val="2"/>
          </rPr>
          <t>b</t>
        </r>
        <r>
          <rPr>
            <sz val="10"/>
            <color indexed="81"/>
            <rFont val="Tahoma"/>
            <family val="2"/>
          </rPr>
          <t xml:space="preserve"> 
ON a.TickerBond = b.TickerBond 
WHERE a.Tickerbond in (select distinct tickerbond from tblHysMapBondToEqtyTickers where EMDMFlag='EM')
AND a.ReportDate = (DATEADD(d, -DAY(DATEADD(m,1,DATEADD(yyyy, 1, b.ReportDate))),DATEADD(m,1,DATEADD(yyyy, 1, b.ReportDate))))
AND a.RatingMLAlphaNumeric IS NOT NULL </t>
        </r>
        <r>
          <rPr>
            <sz val="10"/>
            <color indexed="10"/>
            <rFont val="Tahoma"/>
            <family val="2"/>
          </rPr>
          <t>AND a.EBITDA is not null AND a.TotalDebt is not null</t>
        </r>
        <r>
          <rPr>
            <sz val="10"/>
            <color indexed="81"/>
            <rFont val="Tahoma"/>
            <family val="2"/>
          </rPr>
          <t xml:space="preserve"> And a.ExcludeFromYOYCalcs=0
AND </t>
        </r>
        <r>
          <rPr>
            <sz val="10"/>
            <color indexed="12"/>
            <rFont val="Tahoma"/>
            <family val="2"/>
          </rPr>
          <t>a.ReportDate &gt;= '12/31/2005</t>
        </r>
        <r>
          <rPr>
            <sz val="10"/>
            <color indexed="81"/>
            <rFont val="Tahoma"/>
            <family val="2"/>
          </rPr>
          <t>'
GROUP BY a.reportdate order by a.reportdate</t>
        </r>
      </text>
    </comment>
    <comment ref="Z5" authorId="0">
      <text>
        <r>
          <rPr>
            <b/>
            <sz val="10"/>
            <color indexed="57"/>
            <rFont val="Tahoma"/>
            <family val="2"/>
          </rPr>
          <t>SELECT (SUM(a.Ebitda) / SUM(b.Ebitda) - 1) * 100 as [YoY EBITDA % Change], (SUM(a.TotalDebt) / SUM(b.TotalDebt) - 1) * 100 as [YoY Total Debt % Change]</t>
        </r>
        <r>
          <rPr>
            <sz val="10"/>
            <color indexed="81"/>
            <rFont val="Tahoma"/>
            <family val="2"/>
          </rPr>
          <t xml:space="preserve">
FROM tblHysBalanceSheetMetrics </t>
        </r>
        <r>
          <rPr>
            <b/>
            <sz val="10"/>
            <color indexed="81"/>
            <rFont val="Tahoma"/>
            <family val="2"/>
          </rPr>
          <t>a</t>
        </r>
        <r>
          <rPr>
            <sz val="10"/>
            <color indexed="81"/>
            <rFont val="Tahoma"/>
            <family val="2"/>
          </rPr>
          <t xml:space="preserve"> INNER JOIN 
(SELECT ReportDate, TickerBond, </t>
        </r>
        <r>
          <rPr>
            <sz val="10"/>
            <color indexed="10"/>
            <rFont val="Tahoma"/>
            <family val="2"/>
          </rPr>
          <t>Ebitda, TotalDebt,</t>
        </r>
        <r>
          <rPr>
            <sz val="10"/>
            <color indexed="81"/>
            <rFont val="Tahoma"/>
            <family val="2"/>
          </rPr>
          <t xml:space="preserve"> ExcludeFromYOYCalcs, ExcludeFromPointInTimeCalcs
FROM tblHysBalanceSheetMetrics 
WHERE </t>
        </r>
        <r>
          <rPr>
            <sz val="10"/>
            <color indexed="10"/>
            <rFont val="Tahoma"/>
            <family val="2"/>
          </rPr>
          <t xml:space="preserve">EBITDA is not null AND TotalDebt is not null </t>
        </r>
        <r>
          <rPr>
            <sz val="10"/>
            <color indexed="81"/>
            <rFont val="Tahoma"/>
            <family val="2"/>
          </rPr>
          <t xml:space="preserve">And ExcludeFromYOYCalcs=0 And TickerBond &lt;&gt; 'PETBRA' And TickerBond &lt;&gt; 'VALEBZ'
AND (TickerBond IN (SELECT DISTINCT TickerBond FROM dbo.tblHysMapBondToEqtyTickers WHERE (EMDMFlag = 'EM') 
AND (CountryFullName IN (SELECT DISTINCT CountryFullName FROM dbo.tblHysMapCountries WHERE (Region = 'Latin America')))))
) </t>
        </r>
        <r>
          <rPr>
            <b/>
            <sz val="10"/>
            <color indexed="81"/>
            <rFont val="Tahoma"/>
            <family val="2"/>
          </rPr>
          <t>b</t>
        </r>
        <r>
          <rPr>
            <sz val="10"/>
            <color indexed="81"/>
            <rFont val="Tahoma"/>
            <family val="2"/>
          </rPr>
          <t xml:space="preserve"> 
ON a.TickerBond = b.TickerBond 
WHERE a.Tickerbond in (select distinct tickerbond from tblHysMapBondToEqtyTickers where EMDMFlag='EM')
AND a.ReportDate = (DATEADD(d, -DAY(DATEADD(m,1,DATEADD(yyyy, 1, b.ReportDate))),DATEADD(m,1,DATEADD(yyyy, 1, b.ReportDate))))
AND a.RatingMLAlphaNumeric IS NOT NULL </t>
        </r>
        <r>
          <rPr>
            <sz val="10"/>
            <color indexed="10"/>
            <rFont val="Tahoma"/>
            <family val="2"/>
          </rPr>
          <t>AND a.EBITDA is not null AND a.TotalDebt is not null</t>
        </r>
        <r>
          <rPr>
            <sz val="10"/>
            <color indexed="81"/>
            <rFont val="Tahoma"/>
            <family val="2"/>
          </rPr>
          <t xml:space="preserve"> And a.ExcludeFromYOYCalcs=0
AND </t>
        </r>
        <r>
          <rPr>
            <sz val="10"/>
            <color indexed="12"/>
            <rFont val="Tahoma"/>
            <family val="2"/>
          </rPr>
          <t>a.ReportDate &gt;= '12/31/2005</t>
        </r>
        <r>
          <rPr>
            <sz val="10"/>
            <color indexed="81"/>
            <rFont val="Tahoma"/>
            <family val="2"/>
          </rPr>
          <t>'
GROUP BY a.reportdate order by a.reportdate</t>
        </r>
      </text>
    </comment>
    <comment ref="AC5" authorId="0">
      <text>
        <r>
          <rPr>
            <b/>
            <sz val="10"/>
            <color indexed="57"/>
            <rFont val="Tahoma"/>
            <family val="2"/>
          </rPr>
          <t>SELECT (SUM(a.Ebitda) / SUM(b.Ebitda) - 1) * 100 as [YOY EM IG EBITDA % Change], (SUM(a.TotalDebt) / SUM(b.TotalDebt) - 1) * 100 as [YOY EM IG Total Debt % Change]</t>
        </r>
        <r>
          <rPr>
            <sz val="10"/>
            <color indexed="81"/>
            <rFont val="Tahoma"/>
            <family val="2"/>
          </rPr>
          <t xml:space="preserve">
FROM tblHysBalanceSheetMetrics </t>
        </r>
        <r>
          <rPr>
            <b/>
            <sz val="10"/>
            <color indexed="81"/>
            <rFont val="Tahoma"/>
            <family val="2"/>
          </rPr>
          <t>a</t>
        </r>
        <r>
          <rPr>
            <sz val="10"/>
            <color indexed="81"/>
            <rFont val="Tahoma"/>
            <family val="2"/>
          </rPr>
          <t xml:space="preserve"> INNER JOIN 
(SELECT ReportDate, tblHysBalanceSheetMetrics.TickerBond, </t>
        </r>
        <r>
          <rPr>
            <sz val="10"/>
            <color indexed="10"/>
            <rFont val="Tahoma"/>
            <family val="2"/>
          </rPr>
          <t>Ebitda, TotalDebt,</t>
        </r>
        <r>
          <rPr>
            <sz val="10"/>
            <color indexed="81"/>
            <rFont val="Tahoma"/>
            <family val="2"/>
          </rPr>
          <t xml:space="preserve"> ExcludeFromYOYCalcs, ExcludeFromPointInTimeCalcs
FROM tblHysBalanceSheetMetrics WHERE </t>
        </r>
        <r>
          <rPr>
            <sz val="10"/>
            <color indexed="10"/>
            <rFont val="Tahoma"/>
            <family val="2"/>
          </rPr>
          <t xml:space="preserve">EBITDA is not null AND TotalDebt is not null </t>
        </r>
        <r>
          <rPr>
            <sz val="10"/>
            <color indexed="81"/>
            <rFont val="Tahoma"/>
            <family val="2"/>
          </rPr>
          <t xml:space="preserve">And ExcludeFromYOYCalcs=0
AND (TickerBond IN (SELECT DISTINCT TickerBond FROM dbo.tblHysMapBondToEqtyTickers WHERE (EMDMFlag = 'EM') 
AND (CountryFullName IN (SELECT DISTINCT CountryFullName FROM dbo.tblHysMapCountries WHERE (Region = 'Latin America')))))) </t>
        </r>
        <r>
          <rPr>
            <b/>
            <sz val="10"/>
            <color indexed="81"/>
            <rFont val="Tahoma"/>
            <family val="2"/>
          </rPr>
          <t>b</t>
        </r>
        <r>
          <rPr>
            <sz val="10"/>
            <color indexed="81"/>
            <rFont val="Tahoma"/>
            <family val="2"/>
          </rPr>
          <t xml:space="preserve"> 
ON a.TickerBond = b.TickerBond 
WHERE a.Tickerbond in (select distinct tickerbond from tblHysMapBondToEqtyTickers where EMDMFlag='EM')
AND a.ReportDate = (DATEADD(d, -DAY(DATEADD(m,1,DATEADD(yyyy, 1, b.ReportDate))),DATEADD(m,1,DATEADD(yyyy, 1, b.ReportDate))))
AND a.RatingMLAlphaNumeric IS NOT NULL </t>
        </r>
        <r>
          <rPr>
            <sz val="10"/>
            <color indexed="12"/>
            <rFont val="Tahoma"/>
            <family val="2"/>
          </rPr>
          <t>AND ((a.RatingMLAlphaNumeric Like 'A%') OR (a.RatingMLAlphaNumeric Like 'BBB%'))</t>
        </r>
        <r>
          <rPr>
            <sz val="10"/>
            <color indexed="81"/>
            <rFont val="Tahoma"/>
            <family val="2"/>
          </rPr>
          <t xml:space="preserve">
</t>
        </r>
        <r>
          <rPr>
            <sz val="10"/>
            <color indexed="10"/>
            <rFont val="Tahoma"/>
            <family val="2"/>
          </rPr>
          <t>AND a.EBITDA is not null AND a.TotalDebt is not null</t>
        </r>
        <r>
          <rPr>
            <sz val="10"/>
            <color indexed="81"/>
            <rFont val="Tahoma"/>
            <family val="2"/>
          </rPr>
          <t xml:space="preserve"> And a.ExcludeFromYOYCalcs=0
AND </t>
        </r>
        <r>
          <rPr>
            <sz val="10"/>
            <color indexed="12"/>
            <rFont val="Tahoma"/>
            <family val="2"/>
          </rPr>
          <t>a.ReportDate &gt;= '12/31/2005</t>
        </r>
        <r>
          <rPr>
            <sz val="10"/>
            <color indexed="81"/>
            <rFont val="Tahoma"/>
            <family val="2"/>
          </rPr>
          <t>'
GROUP BY a.reportdate order by a.reportdate</t>
        </r>
      </text>
    </comment>
    <comment ref="AF5" authorId="0">
      <text>
        <r>
          <rPr>
            <b/>
            <sz val="10"/>
            <color indexed="57"/>
            <rFont val="Tahoma"/>
            <family val="2"/>
          </rPr>
          <t>SELECT (SUM(a.Ebitda) / SUM(b.Ebitda) - 1) * 100 as [YOY EM IG EBITDA % Change], (SUM(a.TotalDebt) / SUM(b.TotalDebt) - 1) * 100 as [YOY EM IG Total Debt % Change]</t>
        </r>
        <r>
          <rPr>
            <sz val="10"/>
            <color indexed="81"/>
            <rFont val="Tahoma"/>
            <family val="2"/>
          </rPr>
          <t xml:space="preserve">
FROM tblHysBalanceSheetMetrics </t>
        </r>
        <r>
          <rPr>
            <b/>
            <sz val="10"/>
            <color indexed="81"/>
            <rFont val="Tahoma"/>
            <family val="2"/>
          </rPr>
          <t>a</t>
        </r>
        <r>
          <rPr>
            <sz val="10"/>
            <color indexed="81"/>
            <rFont val="Tahoma"/>
            <family val="2"/>
          </rPr>
          <t xml:space="preserve"> INNER JOIN 
(SELECT ReportDate, tblHysBalanceSheetMetrics.TickerBond, </t>
        </r>
        <r>
          <rPr>
            <sz val="10"/>
            <color indexed="10"/>
            <rFont val="Tahoma"/>
            <family val="2"/>
          </rPr>
          <t>Ebitda, TotalDebt,</t>
        </r>
        <r>
          <rPr>
            <sz val="10"/>
            <color indexed="81"/>
            <rFont val="Tahoma"/>
            <family val="2"/>
          </rPr>
          <t xml:space="preserve"> ExcludeFromYOYCalcs, ExcludeFromPointInTimeCalcs
FROM tblHysBalanceSheetMetrics WHERE </t>
        </r>
        <r>
          <rPr>
            <sz val="10"/>
            <color indexed="10"/>
            <rFont val="Tahoma"/>
            <family val="2"/>
          </rPr>
          <t xml:space="preserve">EBITDA is not null AND TotalDebt is not null </t>
        </r>
        <r>
          <rPr>
            <sz val="10"/>
            <color indexed="81"/>
            <rFont val="Tahoma"/>
            <family val="2"/>
          </rPr>
          <t xml:space="preserve">And ExcludeFromYOYCalcs=0 And TickerBond &lt;&gt; 'PETBRA' And TickerBond &lt;&gt; 'VALEBZ'
AND (TickerBond IN (SELECT DISTINCT TickerBond FROM dbo.tblHysMapBondToEqtyTickers WHERE (EMDMFlag = 'EM') 
AND (CountryFullName IN (SELECT DISTINCT CountryFullName FROM dbo.tblHysMapCountries WHERE (Region = 'Latin America')))))) </t>
        </r>
        <r>
          <rPr>
            <b/>
            <sz val="10"/>
            <color indexed="81"/>
            <rFont val="Tahoma"/>
            <family val="2"/>
          </rPr>
          <t>b</t>
        </r>
        <r>
          <rPr>
            <sz val="10"/>
            <color indexed="81"/>
            <rFont val="Tahoma"/>
            <family val="2"/>
          </rPr>
          <t xml:space="preserve"> 
ON a.TickerBond = b.TickerBond 
WHERE a.Tickerbond in (select distinct tickerbond from tblHysMapBondToEqtyTickers where EMDMFlag='EM')
AND a.ReportDate = (DATEADD(d, -DAY(DATEADD(m,1,DATEADD(yyyy, 1, b.ReportDate))),DATEADD(m,1,DATEADD(yyyy, 1, b.ReportDate))))
AND a.RatingMLAlphaNumeric IS NOT NULL </t>
        </r>
        <r>
          <rPr>
            <sz val="10"/>
            <color indexed="12"/>
            <rFont val="Tahoma"/>
            <family val="2"/>
          </rPr>
          <t>AND ((a.RatingMLAlphaNumeric Like 'A%') OR (a.RatingMLAlphaNumeric Like 'BBB%'))</t>
        </r>
        <r>
          <rPr>
            <sz val="10"/>
            <color indexed="81"/>
            <rFont val="Tahoma"/>
            <family val="2"/>
          </rPr>
          <t xml:space="preserve">
</t>
        </r>
        <r>
          <rPr>
            <sz val="10"/>
            <color indexed="10"/>
            <rFont val="Tahoma"/>
            <family val="2"/>
          </rPr>
          <t>AND a.EBITDA is not null AND a.TotalDebt is not null</t>
        </r>
        <r>
          <rPr>
            <sz val="10"/>
            <color indexed="81"/>
            <rFont val="Tahoma"/>
            <family val="2"/>
          </rPr>
          <t xml:space="preserve"> And a.ExcludeFromYOYCalcs=0
AND </t>
        </r>
        <r>
          <rPr>
            <sz val="10"/>
            <color indexed="12"/>
            <rFont val="Tahoma"/>
            <family val="2"/>
          </rPr>
          <t>a.ReportDate &gt;= '12/31/2005</t>
        </r>
        <r>
          <rPr>
            <sz val="10"/>
            <color indexed="81"/>
            <rFont val="Tahoma"/>
            <family val="2"/>
          </rPr>
          <t>'
GROUP BY a.reportdate order by a.reportdate</t>
        </r>
      </text>
    </comment>
    <comment ref="AI5" authorId="0">
      <text>
        <r>
          <rPr>
            <b/>
            <sz val="10"/>
            <color indexed="57"/>
            <rFont val="Tahoma"/>
            <family val="2"/>
          </rPr>
          <t>SELECT (SUM(a.Ebitda) / SUM(b.Ebitda) - 1) * 100 as [YOY EM HY EBITDA % Change], (SUM(a.TotalDebt) / SUM(b.TotalDebt) - 1) * 100 as [YOY EM HY Total Debt % Change]</t>
        </r>
        <r>
          <rPr>
            <sz val="10"/>
            <color indexed="81"/>
            <rFont val="Tahoma"/>
            <family val="2"/>
          </rPr>
          <t xml:space="preserve">
FROM tblHysBalanceSheetMetrics </t>
        </r>
        <r>
          <rPr>
            <b/>
            <sz val="10"/>
            <color indexed="81"/>
            <rFont val="Tahoma"/>
            <family val="2"/>
          </rPr>
          <t>a</t>
        </r>
        <r>
          <rPr>
            <sz val="10"/>
            <color indexed="81"/>
            <rFont val="Tahoma"/>
            <family val="2"/>
          </rPr>
          <t xml:space="preserve"> INNER JOIN 
(SELECT ReportDate, tblHysBalanceSheetMetrics.TickerBond, </t>
        </r>
        <r>
          <rPr>
            <sz val="10"/>
            <color indexed="10"/>
            <rFont val="Tahoma"/>
            <family val="2"/>
          </rPr>
          <t>Ebitda, TotalDebt,</t>
        </r>
        <r>
          <rPr>
            <sz val="10"/>
            <color indexed="81"/>
            <rFont val="Tahoma"/>
            <family val="2"/>
          </rPr>
          <t xml:space="preserve"> ExcludeFromYOYCalcs, ExcludeFromPointInTimeCalcs
FROM tblHysBalanceSheetMetrics WHERE </t>
        </r>
        <r>
          <rPr>
            <sz val="10"/>
            <color indexed="10"/>
            <rFont val="Tahoma"/>
            <family val="2"/>
          </rPr>
          <t xml:space="preserve">EBITDA is not null AND TotalDebt is not null </t>
        </r>
        <r>
          <rPr>
            <sz val="10"/>
            <color indexed="81"/>
            <rFont val="Tahoma"/>
            <family val="2"/>
          </rPr>
          <t xml:space="preserve">And ExcludeFromYOYCalcs=0
AND (TickerBond IN (SELECT DISTINCT TickerBond FROM dbo.tblHysMapBondToEqtyTickers WHERE (EMDMFlag = 'EM') 
AND (CountryFullName IN (SELECT DISTINCT CountryFullName FROM dbo.tblHysMapCountries WHERE (Region = 'Latin America')))))) </t>
        </r>
        <r>
          <rPr>
            <b/>
            <sz val="10"/>
            <color indexed="81"/>
            <rFont val="Tahoma"/>
            <family val="2"/>
          </rPr>
          <t>b</t>
        </r>
        <r>
          <rPr>
            <sz val="10"/>
            <color indexed="81"/>
            <rFont val="Tahoma"/>
            <family val="2"/>
          </rPr>
          <t xml:space="preserve"> 
ON a.TickerBond = b.TickerBond 
WHERE a.Tickerbond in (select distinct tickerbond from tblHysMapBondToEqtyTickers where EMDMFlag='EM')
AND a.ReportDate = (DATEADD(d, -DAY(DATEADD(m,1,DATEADD(yyyy, 1, b.ReportDate))),DATEADD(m,1,DATEADD(yyyy, 1, b.ReportDate))))
AND a.RatingMLAlphaNumeric IS NOT NULL 
</t>
        </r>
        <r>
          <rPr>
            <sz val="10"/>
            <color indexed="12"/>
            <rFont val="Tahoma"/>
            <family val="2"/>
          </rPr>
          <t>AND ((a.RatingMLAlphaNumeric Like 'C%') OR ((a.RatingMLAlphaNumeric Like 'B%') AND (a.RatingMLAlphaNumeric Not Like 'BBB%')))</t>
        </r>
        <r>
          <rPr>
            <sz val="10"/>
            <color indexed="81"/>
            <rFont val="Tahoma"/>
            <family val="2"/>
          </rPr>
          <t xml:space="preserve">
</t>
        </r>
        <r>
          <rPr>
            <sz val="10"/>
            <color indexed="10"/>
            <rFont val="Tahoma"/>
            <family val="2"/>
          </rPr>
          <t>AND a.EBITDA is not null AND a.TotalDebt is not null</t>
        </r>
        <r>
          <rPr>
            <sz val="10"/>
            <color indexed="81"/>
            <rFont val="Tahoma"/>
            <family val="2"/>
          </rPr>
          <t xml:space="preserve"> And a.ExcludeFromYOYCalcs=0
AND </t>
        </r>
        <r>
          <rPr>
            <sz val="10"/>
            <color indexed="12"/>
            <rFont val="Tahoma"/>
            <family val="2"/>
          </rPr>
          <t>a.ReportDate &gt;= '12/31/2005</t>
        </r>
        <r>
          <rPr>
            <sz val="10"/>
            <color indexed="81"/>
            <rFont val="Tahoma"/>
            <family val="2"/>
          </rPr>
          <t>'
GROUP BY a.reportdate order by a.reportdate</t>
        </r>
      </text>
    </comment>
  </commentList>
</comments>
</file>

<file path=xl/comments6.xml><?xml version="1.0" encoding="utf-8"?>
<comments xmlns="http://schemas.openxmlformats.org/spreadsheetml/2006/main">
  <authors>
    <author>Christopher Hays</author>
  </authors>
  <commentList>
    <comment ref="B4" authorId="0">
      <text>
        <r>
          <rPr>
            <sz val="10"/>
            <color indexed="81"/>
            <rFont val="Tahoma"/>
            <family val="2"/>
          </rPr>
          <t xml:space="preserve">SELECT ReportDate, (SUM(TotalDebt) - SUM(CashEquivalents)) / SUM(LtmEbitda) AS A
FROM tblHysBalanceSheetMetrics 
INNER JOIN tblHysMapRatings on tblHysBalanceSheetMetrics.RatingMLAlphaNumeric = tblHysMapRatings.RatingMLAlphaNumeric
</t>
        </r>
        <r>
          <rPr>
            <sz val="10"/>
            <color indexed="10"/>
            <rFont val="Tahoma"/>
            <family val="2"/>
          </rPr>
          <t>WHERE RatingAlpha = 'A</t>
        </r>
        <r>
          <rPr>
            <sz val="10"/>
            <color indexed="81"/>
            <rFont val="Tahoma"/>
            <family val="2"/>
          </rPr>
          <t>' AND tblHysBalanceSheetMetrics.RatingMLAlphaNumeric Is not Null And ExcludeFromYOYCalcs=0 
AND TotalDebt Is Not Null And LtmEbitda Is Not Null And CashEquivalents Is Not Null</t>
        </r>
        <r>
          <rPr>
            <sz val="10"/>
            <color indexed="12"/>
            <rFont val="Tahoma"/>
            <family val="2"/>
          </rPr>
          <t xml:space="preserve"> 
</t>
        </r>
        <r>
          <rPr>
            <sz val="10"/>
            <color indexed="10"/>
            <rFont val="Tahoma"/>
            <family val="2"/>
          </rPr>
          <t>AND (TickerBond &lt;&gt; 'KORWAT') AND (TickerBond &lt;&gt; 'ALDAR')</t>
        </r>
        <r>
          <rPr>
            <sz val="10"/>
            <color indexed="81"/>
            <rFont val="Tahoma"/>
            <family val="2"/>
          </rPr>
          <t xml:space="preserve">
AND </t>
        </r>
        <r>
          <rPr>
            <sz val="10"/>
            <color indexed="12"/>
            <rFont val="Tahoma"/>
            <family val="2"/>
          </rPr>
          <t>ReportDate&gt;'12/31/2005'</t>
        </r>
        <r>
          <rPr>
            <sz val="10"/>
            <color indexed="81"/>
            <rFont val="Tahoma"/>
            <family val="2"/>
          </rPr>
          <t xml:space="preserve">
AND TickerBond in (select distinct TickerBond from tblHysMapBondToEqtyTickers where EMDMFlag='EM')
GROUP BY ReportDate 
ORDER BY ReportDate</t>
        </r>
      </text>
    </comment>
    <comment ref="C4" authorId="0">
      <text>
        <r>
          <rPr>
            <sz val="10"/>
            <color indexed="81"/>
            <rFont val="Tahoma"/>
            <family val="2"/>
          </rPr>
          <t xml:space="preserve">SELECT (SUM(TotalDebt) - SUM(CashEquivalents)) / SUM(LtmEbitda) AS A
FROM tblHysBalanceSheetMetrics 
INNER JOIN tblHysMapRatings on tblHysBalanceSheetMetrics.RatingMLAlphaNumeric = tblHysMapRatings.RatingMLAlphaNumeric
</t>
        </r>
        <r>
          <rPr>
            <sz val="10"/>
            <color indexed="10"/>
            <rFont val="Tahoma"/>
            <family val="2"/>
          </rPr>
          <t>WHERE RatingAlpha = 'BBB</t>
        </r>
        <r>
          <rPr>
            <sz val="10"/>
            <color indexed="81"/>
            <rFont val="Tahoma"/>
            <family val="2"/>
          </rPr>
          <t>' AND tblHysBalanceSheetMetrics.RatingMLAlphaNumeric Is not Null And ExcludeFromYOYCalcs=0 
AND TotalDebt Is Not Null And LtmEbitda Is Not Null And CashEquivalents Is Not Null</t>
        </r>
        <r>
          <rPr>
            <sz val="10"/>
            <color indexed="12"/>
            <rFont val="Tahoma"/>
            <family val="2"/>
          </rPr>
          <t xml:space="preserve"> 
</t>
        </r>
        <r>
          <rPr>
            <sz val="10"/>
            <color indexed="10"/>
            <rFont val="Tahoma"/>
            <family val="2"/>
          </rPr>
          <t>AND (TickerBond &lt;&gt; 'PEMEX')</t>
        </r>
        <r>
          <rPr>
            <sz val="10"/>
            <color indexed="12"/>
            <rFont val="Tahoma"/>
            <family val="2"/>
          </rPr>
          <t xml:space="preserve"> </t>
        </r>
        <r>
          <rPr>
            <sz val="10"/>
            <color indexed="10"/>
            <rFont val="Tahoma"/>
            <family val="2"/>
          </rPr>
          <t>AND (TickerBond &lt;&gt; 'GAZPRU') AND (TickerBond &lt;&gt; 'ALDAR')</t>
        </r>
        <r>
          <rPr>
            <sz val="10"/>
            <color indexed="81"/>
            <rFont val="Tahoma"/>
            <family val="2"/>
          </rPr>
          <t xml:space="preserve">
AND </t>
        </r>
        <r>
          <rPr>
            <sz val="10"/>
            <color indexed="12"/>
            <rFont val="Tahoma"/>
            <family val="2"/>
          </rPr>
          <t>ReportDate&gt;'12/31/2005'</t>
        </r>
        <r>
          <rPr>
            <sz val="10"/>
            <color indexed="81"/>
            <rFont val="Tahoma"/>
            <family val="2"/>
          </rPr>
          <t xml:space="preserve">
AND TickerBond in (select distinct TickerBond from tblHysMapBondToEqtyTickers where EMDMFlag='EM')
GROUP BY ReportDate 
ORDER BY ReportDate</t>
        </r>
      </text>
    </comment>
    <comment ref="D4" authorId="0">
      <text>
        <r>
          <rPr>
            <sz val="10"/>
            <color indexed="81"/>
            <rFont val="Tahoma"/>
            <family val="2"/>
          </rPr>
          <t xml:space="preserve">SELECT (SUM(TotalDebt) - SUM(CashEquivalents)) / SUM(LtmEbitda) AS A
FROM tblHysBalanceSheetMetrics 
INNER JOIN tblHysMapRatings on tblHysBalanceSheetMetrics.RatingMLAlphaNumeric = tblHysMapRatings.RatingMLAlphaNumeric
</t>
        </r>
        <r>
          <rPr>
            <sz val="10"/>
            <color indexed="10"/>
            <rFont val="Tahoma"/>
            <family val="2"/>
          </rPr>
          <t>WHERE RatingAlpha = 'BB</t>
        </r>
        <r>
          <rPr>
            <sz val="10"/>
            <color indexed="81"/>
            <rFont val="Tahoma"/>
            <family val="2"/>
          </rPr>
          <t>' AND tblHysBalanceSheetMetrics.RatingMLAlphaNumeric Is not Null And ExcludeFromYOYCalcs=0 
AND TotalDebt Is Not Null And LtmEbitda Is Not Null And CashEquivalents Is Not Null</t>
        </r>
        <r>
          <rPr>
            <sz val="10"/>
            <color indexed="12"/>
            <rFont val="Tahoma"/>
            <family val="2"/>
          </rPr>
          <t xml:space="preserve"> 
</t>
        </r>
        <r>
          <rPr>
            <sz val="10"/>
            <color indexed="10"/>
            <rFont val="Tahoma"/>
            <family val="2"/>
          </rPr>
          <t xml:space="preserve">AND (TickerBond &lt;&gt; 'TMENRU')
</t>
        </r>
        <r>
          <rPr>
            <sz val="10"/>
            <color indexed="81"/>
            <rFont val="Tahoma"/>
            <family val="2"/>
          </rPr>
          <t xml:space="preserve">
AND </t>
        </r>
        <r>
          <rPr>
            <sz val="10"/>
            <color indexed="12"/>
            <rFont val="Tahoma"/>
            <family val="2"/>
          </rPr>
          <t>ReportDate&gt;'12/31/2005'</t>
        </r>
        <r>
          <rPr>
            <sz val="10"/>
            <color indexed="81"/>
            <rFont val="Tahoma"/>
            <family val="2"/>
          </rPr>
          <t xml:space="preserve">
AND TickerBond in (select distinct TickerBond from tblHysMapBondToEqtyTickers where EMDMFlag='EM')
GROUP BY ReportDate 
ORDER BY ReportDate</t>
        </r>
      </text>
    </comment>
    <comment ref="E4" authorId="0">
      <text>
        <r>
          <rPr>
            <sz val="10"/>
            <color indexed="81"/>
            <rFont val="Tahoma"/>
            <family val="2"/>
          </rPr>
          <t xml:space="preserve">SELECT (SUM(TotalDebt) - SUM(CashEquivalents)) / SUM(LtmEbitda) AS A
FROM tblHysBalanceSheetMetrics 
INNER JOIN tblHysMapRatings on tblHysBalanceSheetMetrics.RatingMLAlphaNumeric = tblHysMapRatings.RatingMLAlphaNumeric
</t>
        </r>
        <r>
          <rPr>
            <sz val="10"/>
            <color indexed="10"/>
            <rFont val="Tahoma"/>
            <family val="2"/>
          </rPr>
          <t>WHERE RatingAlpha = 'B</t>
        </r>
        <r>
          <rPr>
            <sz val="10"/>
            <color indexed="81"/>
            <rFont val="Tahoma"/>
            <family val="2"/>
          </rPr>
          <t>' AND tblHysBalanceSheetMetrics.RatingMLAlphaNumeric Is not Null And ExcludeFromYOYCalcs=0 
AND TotalDebt Is Not Null And LtmEbitda Is Not Null And CashEquivalents Is Not Null</t>
        </r>
        <r>
          <rPr>
            <sz val="10"/>
            <color indexed="12"/>
            <rFont val="Tahoma"/>
            <family val="2"/>
          </rPr>
          <t xml:space="preserve"> 
</t>
        </r>
        <r>
          <rPr>
            <sz val="10"/>
            <color indexed="10"/>
            <rFont val="Tahoma"/>
            <family val="2"/>
          </rPr>
          <t xml:space="preserve">AND (TickerBond &lt;&gt; 'ALDAR') </t>
        </r>
        <r>
          <rPr>
            <sz val="10"/>
            <color indexed="10"/>
            <rFont val="Tahoma"/>
            <family val="2"/>
          </rPr>
          <t>AND (TickerBond &lt;&gt; 'CHMFRU')</t>
        </r>
        <r>
          <rPr>
            <sz val="10"/>
            <color indexed="81"/>
            <rFont val="Tahoma"/>
            <family val="2"/>
          </rPr>
          <t xml:space="preserve">
AND </t>
        </r>
        <r>
          <rPr>
            <sz val="10"/>
            <color indexed="12"/>
            <rFont val="Tahoma"/>
            <family val="2"/>
          </rPr>
          <t>ReportDate&gt;'12/31/2005'</t>
        </r>
        <r>
          <rPr>
            <sz val="10"/>
            <color indexed="81"/>
            <rFont val="Tahoma"/>
            <family val="2"/>
          </rPr>
          <t xml:space="preserve">
AND TickerBond in (select distinct TickerBond from tblHysMapBondToEqtyTickers where EMDMFlag='EM')
GROUP BY ReportDate 
ORDER BY ReportDate</t>
        </r>
      </text>
    </comment>
    <comment ref="G4" authorId="0">
      <text>
        <r>
          <rPr>
            <sz val="10"/>
            <color indexed="81"/>
            <rFont val="Tahoma"/>
            <family val="2"/>
          </rPr>
          <t xml:space="preserve">SELECT SUM(a.OAS * a.FullMarketValueUSD)/ SUM(a.FullMarketValueUSD) AS A
FROM dbo.tblHysIndexMLMemberlistNew a 
INNER JOIN 
(SELECT ReportDate, TickerBond  FROM dbo.tblHysBalanceSheetMetrics
</t>
        </r>
        <r>
          <rPr>
            <sz val="10"/>
            <color indexed="12"/>
            <rFont val="Tahoma"/>
            <family val="2"/>
          </rPr>
          <t>WHERE Not (RatingMLAlphaNumeric Is Null)
And Not (TotalDebt Is Null) And Not (CashEquivalents Is Null) And Not (LtmEbitda Is Null) 
And (ExcludeFromPointInTimeCalcs=0) 
And (TickerBond in (select distinct TickerBond from tblHysMapBondToEqtyTickers where EMDMFlag='EM')))</t>
        </r>
        <r>
          <rPr>
            <sz val="10"/>
            <color indexed="81"/>
            <rFont val="Tahoma"/>
            <family val="2"/>
          </rPr>
          <t>b 
ON a.TickerBond = b.TickerBond and a.reportdate=b.reportdate
INNER JOIN dbo.tblHysMapRatings c ON a.Rating=c.RatingMLAlphaNumeric
WHERE (a.TickerIndex = 'EMCB') AND (c.RatingAlpha = 'A')
AND (a.ReportDate &gt; '12/31/2005')
AND (DATEPART(mm, a.ReportDate) = 3 OR DATEPART(mm, a.ReportDate) = 6 
OR DATEPART(mm, a.ReportDate) = 9 OR DATEPART(mm, a.ReportDate) = 12) 
GROUP BY a.ReportDate
ORDER BY a.ReportDate</t>
        </r>
      </text>
    </comment>
    <comment ref="H4" authorId="0">
      <text>
        <r>
          <rPr>
            <sz val="10"/>
            <color indexed="81"/>
            <rFont val="Tahoma"/>
            <family val="2"/>
          </rPr>
          <t xml:space="preserve">SELECT SUM(a.OAS * a.FullMarketValueUSD)/ SUM(a.FullMarketValueUSD) AS A
FROM dbo.tblHysIndexMLMemberlistNew a 
INNER JOIN 
(SELECT ReportDate, TickerBond  FROM dbo.tblHysBalanceSheetMetrics
</t>
        </r>
        <r>
          <rPr>
            <sz val="10"/>
            <color indexed="12"/>
            <rFont val="Tahoma"/>
            <family val="2"/>
          </rPr>
          <t>WHERE Not (RatingMLAlphaNumeric Is Null)
And Not (TotalDebt Is Null) And Not (CashEquivalents Is Null) And Not (LtmEbitda Is Null) 
And (ExcludeFromPointInTimeCalcs=0) 
And (TickerBond in (select distinct TickerBond from tblHysMapBondToEqtyTickers where EMDMFlag='EM')))</t>
        </r>
        <r>
          <rPr>
            <sz val="10"/>
            <color indexed="81"/>
            <rFont val="Tahoma"/>
            <family val="2"/>
          </rPr>
          <t>b 
ON a.TickerBond = b.TickerBond and a.reportdate=b.reportdate
INNER JOIN dbo.tblHysMapRatings c ON a.Rating=c.RatingMLAlphaNumeric
WHERE (a.TickerIndex = 'EMCB') AND (c.RatingAlpha = 'BBB')
AND (a.ReportDate &gt; '12/31/2005')
AND (DATEPART(mm, a.ReportDate) = 3 OR DATEPART(mm, a.ReportDate) = 6 
OR DATEPART(mm, a.ReportDate) = 9 OR DATEPART(mm, a.ReportDate) = 12) 
GROUP BY a.ReportDate
ORDER BY a.ReportDate</t>
        </r>
      </text>
    </comment>
    <comment ref="I4" authorId="0">
      <text>
        <r>
          <rPr>
            <sz val="10"/>
            <color indexed="81"/>
            <rFont val="Tahoma"/>
            <family val="2"/>
          </rPr>
          <t xml:space="preserve">SELECT SUM(a.OAS * a.FullMarketValueUSD)/ SUM(a.FullMarketValueUSD) AS A
FROM dbo.tblHysIndexMLMemberlistNew a 
INNER JOIN 
(SELECT ReportDate, TickerBond  FROM dbo.tblHysBalanceSheetMetrics
</t>
        </r>
        <r>
          <rPr>
            <sz val="10"/>
            <color indexed="12"/>
            <rFont val="Tahoma"/>
            <family val="2"/>
          </rPr>
          <t>WHERE Not (RatingMLAlphaNumeric Is Null)
And Not (TotalDebt Is Null) And Not (CashEquivalents Is Null) And Not (LtmEbitda Is Null) 
And (ExcludeFromPointInTimeCalcs=0) 
And (TickerBond in (select distinct TickerBond from tblHysMapBondToEqtyTickers where EMDMFlag='EM')))</t>
        </r>
        <r>
          <rPr>
            <sz val="10"/>
            <color indexed="81"/>
            <rFont val="Tahoma"/>
            <family val="2"/>
          </rPr>
          <t>b 
ON a.TickerBond = b.TickerBond and a.reportdate=b.reportdate
INNER JOIN dbo.tblHysMapRatings c ON a.Rating=c.RatingMLAlphaNumeric
WHERE (a.TickerIndex = 'EMCB') AND (c.RatingAlpha = 'BB')
AND (a.ReportDate &gt; '12/31/2005')
AND (DATEPART(mm, a.ReportDate) = 3 OR DATEPART(mm, a.ReportDate) = 6 
OR DATEPART(mm, a.ReportDate) = 9 OR DATEPART(mm, a.ReportDate) = 12) 
GROUP BY a.ReportDate
ORDER BY a.ReportDate</t>
        </r>
      </text>
    </comment>
    <comment ref="J4" authorId="0">
      <text>
        <r>
          <rPr>
            <sz val="10"/>
            <color indexed="81"/>
            <rFont val="Tahoma"/>
            <family val="2"/>
          </rPr>
          <t xml:space="preserve">SELECT SUM(a.OAS * a.FullMarketValueUSD)/ SUM(a.FullMarketValueUSD) AS A
FROM dbo.tblHysIndexMLMemberlistNew a 
INNER JOIN 
(SELECT ReportDate, TickerBond  FROM dbo.tblHysBalanceSheetMetrics
</t>
        </r>
        <r>
          <rPr>
            <sz val="10"/>
            <color indexed="12"/>
            <rFont val="Tahoma"/>
            <family val="2"/>
          </rPr>
          <t>WHERE Not (RatingMLAlphaNumeric Is Null)
And Not (TotalDebt Is Null) And Not (CashEquivalents Is Null) And Not (LtmEbitda Is Null) 
And (ExcludeFromPointInTimeCalcs=0) 
And (TickerBond in (select distinct TickerBond from tblHysMapBondToEqtyTickers where EMDMFlag='EM')))</t>
        </r>
        <r>
          <rPr>
            <sz val="10"/>
            <color indexed="81"/>
            <rFont val="Tahoma"/>
            <family val="2"/>
          </rPr>
          <t>b 
ON a.TickerBond = b.TickerBond and a.reportdate=b.reportdate
INNER JOIN dbo.tblHysMapRatings c ON a.Rating=c.RatingMLAlphaNumeric
WHERE (a.TickerIndex = 'EMCB') AND (c.RatingAlpha = 'B')
AND (a.ReportDate &gt; '12/31/2005')
AND (DATEPART(mm, a.ReportDate) = 3 OR DATEPART(mm, a.ReportDate) = 6 
OR DATEPART(mm, a.ReportDate) = 9 OR DATEPART(mm, a.ReportDate) = 12) 
GROUP BY a.ReportDate
ORDER BY a.ReportDate</t>
        </r>
      </text>
    </comment>
    <comment ref="Q4" authorId="0">
      <text>
        <r>
          <rPr>
            <sz val="10"/>
            <color indexed="81"/>
            <rFont val="Tahoma"/>
            <family val="2"/>
          </rPr>
          <t xml:space="preserve">SELECT SUM(TotalDebt) / SUM(LtmEbitda) AS A
FROM tblHysBalanceSheetMetrics 
INNER JOIN tblHysMapRatings on tblHysBalanceSheetMetrics.RatingMLAlphaNumeric = tblHysMapRatings.RatingMLAlphaNumeric
</t>
        </r>
        <r>
          <rPr>
            <sz val="10"/>
            <color indexed="10"/>
            <rFont val="Tahoma"/>
            <family val="2"/>
          </rPr>
          <t>WHERE RatingAlpha = 'A</t>
        </r>
        <r>
          <rPr>
            <sz val="10"/>
            <color indexed="81"/>
            <rFont val="Tahoma"/>
            <family val="2"/>
          </rPr>
          <t>' AND tblHysBalanceSheetMetrics.RatingMLAlphaNumeric Is not Null And ExcludeFromYOYCalcs=0 
AND TotalDebt Is Not Null And LtmEbitda Is Not Null And CashEquivalents Is Not Null</t>
        </r>
        <r>
          <rPr>
            <sz val="10"/>
            <color indexed="12"/>
            <rFont val="Tahoma"/>
            <family val="2"/>
          </rPr>
          <t xml:space="preserve"> 
</t>
        </r>
        <r>
          <rPr>
            <sz val="10"/>
            <color indexed="10"/>
            <rFont val="Tahoma"/>
            <family val="2"/>
          </rPr>
          <t>AND (TickerBond &lt;&gt; 'KORWAT') AND (TickerBond &lt;&gt; 'ALDAR')</t>
        </r>
        <r>
          <rPr>
            <sz val="10"/>
            <color indexed="81"/>
            <rFont val="Tahoma"/>
            <family val="2"/>
          </rPr>
          <t xml:space="preserve">
AND </t>
        </r>
        <r>
          <rPr>
            <sz val="10"/>
            <color indexed="12"/>
            <rFont val="Tahoma"/>
            <family val="2"/>
          </rPr>
          <t>ReportDate&gt;'12/31/2005'</t>
        </r>
        <r>
          <rPr>
            <sz val="10"/>
            <color indexed="81"/>
            <rFont val="Tahoma"/>
            <family val="2"/>
          </rPr>
          <t xml:space="preserve">
AND TickerBond in (select distinct TickerBond from tblHysMapBondToEqtyTickers where EMDMFlag='EM')
GROUP BY ReportDate 
ORDER BY ReportDate</t>
        </r>
      </text>
    </comment>
    <comment ref="R4" authorId="0">
      <text>
        <r>
          <rPr>
            <sz val="10"/>
            <color indexed="81"/>
            <rFont val="Tahoma"/>
            <family val="2"/>
          </rPr>
          <t xml:space="preserve">SELECT SUM(TotalDebt) / SUM(LtmEbitda) AS A
FROM tblHysBalanceSheetMetrics 
INNER JOIN tblHysMapRatings on tblHysBalanceSheetMetrics.RatingMLAlphaNumeric = tblHysMapRatings.RatingMLAlphaNumeric
</t>
        </r>
        <r>
          <rPr>
            <sz val="10"/>
            <color indexed="10"/>
            <rFont val="Tahoma"/>
            <family val="2"/>
          </rPr>
          <t>WHERE RatingAlpha = 'BBB</t>
        </r>
        <r>
          <rPr>
            <sz val="10"/>
            <color indexed="81"/>
            <rFont val="Tahoma"/>
            <family val="2"/>
          </rPr>
          <t>' AND tblHysBalanceSheetMetrics.RatingMLAlphaNumeric Is not Null And ExcludeFromYOYCalcs=0 
AND TotalDebt Is Not Null And LtmEbitda Is Not Null And CashEquivalents Is Not Null</t>
        </r>
        <r>
          <rPr>
            <sz val="10"/>
            <color indexed="12"/>
            <rFont val="Tahoma"/>
            <family val="2"/>
          </rPr>
          <t xml:space="preserve"> 
</t>
        </r>
        <r>
          <rPr>
            <sz val="10"/>
            <color indexed="10"/>
            <rFont val="Tahoma"/>
            <family val="2"/>
          </rPr>
          <t>AND (TickerBond &lt;&gt; 'PEMEX') AND (TickerBond &lt;&gt; 'GAZPRU') AND (TickerBond &lt;&gt; 'ALDAR')</t>
        </r>
        <r>
          <rPr>
            <sz val="10"/>
            <color indexed="81"/>
            <rFont val="Tahoma"/>
            <family val="2"/>
          </rPr>
          <t xml:space="preserve">
AND </t>
        </r>
        <r>
          <rPr>
            <sz val="10"/>
            <color indexed="12"/>
            <rFont val="Tahoma"/>
            <family val="2"/>
          </rPr>
          <t>ReportDate&gt;'12/31/2005'</t>
        </r>
        <r>
          <rPr>
            <sz val="10"/>
            <color indexed="81"/>
            <rFont val="Tahoma"/>
            <family val="2"/>
          </rPr>
          <t xml:space="preserve">
AND TickerBond in (select distinct TickerBond from tblHysMapBondToEqtyTickers where EMDMFlag='EM')
GROUP BY ReportDate 
ORDER BY ReportDate</t>
        </r>
      </text>
    </comment>
    <comment ref="S4" authorId="0">
      <text>
        <r>
          <rPr>
            <sz val="10"/>
            <color indexed="81"/>
            <rFont val="Tahoma"/>
            <family val="2"/>
          </rPr>
          <t xml:space="preserve">SELECT SUM(TotalDebt) / SUM(LtmEbitda) AS A
FROM tblHysBalanceSheetMetrics 
INNER JOIN tblHysMapRatings on tblHysBalanceSheetMetrics.RatingMLAlphaNumeric = tblHysMapRatings.RatingMLAlphaNumeric
</t>
        </r>
        <r>
          <rPr>
            <sz val="10"/>
            <color indexed="10"/>
            <rFont val="Tahoma"/>
            <family val="2"/>
          </rPr>
          <t>WHERE RatingAlpha = 'BB</t>
        </r>
        <r>
          <rPr>
            <sz val="10"/>
            <color indexed="81"/>
            <rFont val="Tahoma"/>
            <family val="2"/>
          </rPr>
          <t>' AND tblHysBalanceSheetMetrics.RatingMLAlphaNumeric Is not Null And ExcludeFromYOYCalcs=0 
AND TotalDebt Is Not Null And LtmEbitda Is Not Null And CashEquivalents Is Not Null</t>
        </r>
        <r>
          <rPr>
            <sz val="10"/>
            <color indexed="12"/>
            <rFont val="Tahoma"/>
            <family val="2"/>
          </rPr>
          <t xml:space="preserve"> 
</t>
        </r>
        <r>
          <rPr>
            <sz val="10"/>
            <color indexed="10"/>
            <rFont val="Tahoma"/>
            <family val="2"/>
          </rPr>
          <t xml:space="preserve">AND (TickerBond &lt;&gt; 'GRUMA') AND (TickerBond &lt;&gt; 'TMENRU')
</t>
        </r>
        <r>
          <rPr>
            <sz val="10"/>
            <color indexed="81"/>
            <rFont val="Tahoma"/>
            <family val="2"/>
          </rPr>
          <t xml:space="preserve">
AND </t>
        </r>
        <r>
          <rPr>
            <sz val="10"/>
            <color indexed="12"/>
            <rFont val="Tahoma"/>
            <family val="2"/>
          </rPr>
          <t>ReportDate&gt;'12/31/2005'</t>
        </r>
        <r>
          <rPr>
            <sz val="10"/>
            <color indexed="81"/>
            <rFont val="Tahoma"/>
            <family val="2"/>
          </rPr>
          <t xml:space="preserve">
AND TickerBond in (select distinct TickerBond from tblHysMapBondToEqtyTickers where EMDMFlag='EM')
GROUP BY ReportDate 
ORDER BY ReportDate</t>
        </r>
      </text>
    </comment>
    <comment ref="T4" authorId="0">
      <text>
        <r>
          <rPr>
            <sz val="10"/>
            <color indexed="81"/>
            <rFont val="Tahoma"/>
            <family val="2"/>
          </rPr>
          <t xml:space="preserve">SELECT SUM(TotalDebt) / SUM(LtmEbitda) AS A
FROM tblHysBalanceSheetMetrics 
INNER JOIN tblHysMapRatings on tblHysBalanceSheetMetrics.RatingMLAlphaNumeric = tblHysMapRatings.RatingMLAlphaNumeric
</t>
        </r>
        <r>
          <rPr>
            <sz val="10"/>
            <color indexed="10"/>
            <rFont val="Tahoma"/>
            <family val="2"/>
          </rPr>
          <t>WHERE RatingAlpha = 'B</t>
        </r>
        <r>
          <rPr>
            <sz val="10"/>
            <color indexed="81"/>
            <rFont val="Tahoma"/>
            <family val="2"/>
          </rPr>
          <t>' AND tblHysBalanceSheetMetrics.RatingMLAlphaNumeric Is not Null And ExcludeFromYOYCalcs=0 
AND TotalDebt Is Not Null And LtmEbitda Is Not Null And CashEquivalents Is Not Null</t>
        </r>
        <r>
          <rPr>
            <sz val="10"/>
            <color indexed="12"/>
            <rFont val="Tahoma"/>
            <family val="2"/>
          </rPr>
          <t xml:space="preserve"> 
</t>
        </r>
        <r>
          <rPr>
            <sz val="10"/>
            <color indexed="10"/>
            <rFont val="Tahoma"/>
            <family val="2"/>
          </rPr>
          <t>AND (TickerBond &lt;&gt; 'CEMEX') AND (TickerBond &lt;&gt; 'HYUELE') AND (TickerBond &lt;&gt; 'ALDAR') AND (TickerBond &lt;&gt; 'EVRAZ') AND (TickerBond &lt;&gt; 'CHMFRU')</t>
        </r>
        <r>
          <rPr>
            <sz val="10"/>
            <color indexed="81"/>
            <rFont val="Tahoma"/>
            <family val="2"/>
          </rPr>
          <t xml:space="preserve">
AND </t>
        </r>
        <r>
          <rPr>
            <sz val="10"/>
            <color indexed="12"/>
            <rFont val="Tahoma"/>
            <family val="2"/>
          </rPr>
          <t>ReportDate&gt;'12/31/2005'</t>
        </r>
        <r>
          <rPr>
            <sz val="10"/>
            <color indexed="81"/>
            <rFont val="Tahoma"/>
            <family val="2"/>
          </rPr>
          <t xml:space="preserve">
AND TickerBond in (select distinct TickerBond from tblHysMapBondToEqtyTickers where EMDMFlag='EM')
GROUP BY ReportDate 
ORDER BY ReportDate</t>
        </r>
      </text>
    </comment>
    <comment ref="V4" authorId="0">
      <text>
        <r>
          <rPr>
            <b/>
            <sz val="10"/>
            <color indexed="81"/>
            <rFont val="Tahoma"/>
            <family val="2"/>
          </rPr>
          <t xml:space="preserve">US #s as of: </t>
        </r>
        <r>
          <rPr>
            <sz val="10"/>
            <color indexed="81"/>
            <rFont val="Tahoma"/>
            <family val="2"/>
          </rPr>
          <t>2Q12</t>
        </r>
      </text>
    </comment>
    <comment ref="Z4" authorId="0">
      <text>
        <r>
          <rPr>
            <b/>
            <sz val="10"/>
            <color indexed="81"/>
            <rFont val="Tahoma"/>
            <family val="2"/>
          </rPr>
          <t xml:space="preserve">All Spreads as of: </t>
        </r>
        <r>
          <rPr>
            <sz val="10"/>
            <color indexed="81"/>
            <rFont val="Tahoma"/>
            <family val="2"/>
          </rPr>
          <t>8/29/2012</t>
        </r>
      </text>
    </comment>
    <comment ref="V10" authorId="0">
      <text>
        <r>
          <rPr>
            <sz val="10"/>
            <color indexed="81"/>
            <rFont val="Tahoma"/>
            <family val="2"/>
          </rPr>
          <t xml:space="preserve">SELECT RatingAlpha AS </t>
        </r>
        <r>
          <rPr>
            <sz val="10"/>
            <color indexed="12"/>
            <rFont val="Tahoma"/>
            <family val="2"/>
          </rPr>
          <t>LATAM</t>
        </r>
        <r>
          <rPr>
            <sz val="10"/>
            <color indexed="81"/>
            <rFont val="Tahoma"/>
            <family val="2"/>
          </rPr>
          <t>, COUNT(TickerBond) AS NumIssuers, (SUM(TotalDebt) - SUM(CashEquivalents)) / SUM(LtmEbitda) AS NetLeverage, 
SUM(TotalDebt) / SUM(LtmEbitda) AS Leverage 
FROM tblHysBalanceSheetMetrics 
INNER JOIN tblHysMapRatings 
ON tblHysBalanceSheetMetrics.RatingMLAlphaNumeric = tblHysMapRatings.RatingMLAlphaNumeric
WHERE (</t>
        </r>
        <r>
          <rPr>
            <sz val="10"/>
            <color indexed="10"/>
            <rFont val="Tahoma"/>
            <family val="2"/>
          </rPr>
          <t>RatingAlpha &lt;&gt; 'DDD' AND  RatingAlpha &lt;&gt; 'CCC'</t>
        </r>
        <r>
          <rPr>
            <sz val="10"/>
            <color indexed="81"/>
            <rFont val="Tahoma"/>
            <family val="2"/>
          </rPr>
          <t>) AND tblHysBalanceSheetMetrics.RatingMLAlphaNumeric Is not Null And ExcludeFromYOYCalcs=0 
AND TotalDebt Is Not Null And LtmEbitda Is Not Null And CashEquivalents Is Not Null AND (</t>
        </r>
        <r>
          <rPr>
            <sz val="10"/>
            <color indexed="10"/>
            <rFont val="Tahoma"/>
            <family val="2"/>
          </rPr>
          <t>TickerBond &lt;&gt; 'XX'</t>
        </r>
        <r>
          <rPr>
            <sz val="10"/>
            <color indexed="81"/>
            <rFont val="Tahoma"/>
            <family val="2"/>
          </rPr>
          <t>)
AND ReportDate=</t>
        </r>
        <r>
          <rPr>
            <sz val="10"/>
            <color indexed="10"/>
            <rFont val="Tahoma"/>
            <family val="2"/>
          </rPr>
          <t>'6/30/2012'</t>
        </r>
        <r>
          <rPr>
            <sz val="10"/>
            <color indexed="81"/>
            <rFont val="Tahoma"/>
            <family val="2"/>
          </rPr>
          <t xml:space="preserve">
AND (TickerBond IN (SELECT DISTINCT TickerBond FROM dbo.tblHysMapBondToEqtyTickers WHERE (EMDMFlag = 'EM') 
AND (CountryFullName IN (SELECT DISTINCT CountryFullName FROM dbo.tblHysMapCountries WHERE (Region = '</t>
        </r>
        <r>
          <rPr>
            <sz val="10"/>
            <color indexed="12"/>
            <rFont val="Tahoma"/>
            <family val="2"/>
          </rPr>
          <t>Latin America</t>
        </r>
        <r>
          <rPr>
            <sz val="10"/>
            <color indexed="81"/>
            <rFont val="Tahoma"/>
            <family val="2"/>
          </rPr>
          <t>')))))
GROUP BY RatingAlpha
ORDER BY (CASE WHEN RatingAlpha='A' THEN 1 WHEN RatingAlpha='BBB' THEN 2 WHEN RatingAlpha='BB' THEN 3 WHEN RatingAlpha='B' THEN 4 END)</t>
        </r>
      </text>
    </comment>
    <comment ref="Z10" authorId="0">
      <text>
        <r>
          <rPr>
            <sz val="10"/>
            <color indexed="81"/>
            <rFont val="Tahoma"/>
            <family val="2"/>
          </rPr>
          <t xml:space="preserve">SELECT SUM(a.OAS * a.FullMarketValueUSD)/ SUM(a.FullMarketValueUSD) AS OAS
FROM dbo.tblHysIndexMLMemberlistNew a
INNER JOIN 
(
SELECT ReportDate, TickerBond  FROM dbo.tblHysBalanceSheetMetrics
</t>
        </r>
        <r>
          <rPr>
            <sz val="10"/>
            <color indexed="12"/>
            <rFont val="Tahoma"/>
            <family val="2"/>
          </rPr>
          <t xml:space="preserve">WHERE Not (RatingMLAlphaNumeric Is Null) And Not (RatingMLAlphaNumeric LIKE 'D%') 
And Not (TotalDebt Is Null) And Not (CashEquivalents Is Null) And Not (LtmEbitda Is Null) 
And ExcludeFromPointInTimeCalcs=0 
AND (TickerBond IN (SELECT DISTINCT TickerBond FROM dbo.tblHysMapBondToEqtyTickers WHERE (EMDMFlag = 'EM') 
AND (CountryFullName IN (SELECT DISTINCT CountryFullName FROM dbo.tblHysMapCountries WHERE (Region = 'Latin America')))))
</t>
        </r>
        <r>
          <rPr>
            <sz val="10"/>
            <color indexed="81"/>
            <rFont val="Tahoma"/>
            <family val="2"/>
          </rPr>
          <t>)b 
ON a.TickerBond = b.TickerBond and a.reportdate=b.reportdate
INNER JOIN dbo.tblHysMapRatings c ON a.Rating=c.RatingMLAlphaNumeric
WHERE (a.TickerIndex = 'EMCB') AND (</t>
        </r>
        <r>
          <rPr>
            <sz val="10"/>
            <color indexed="10"/>
            <rFont val="Tahoma"/>
            <family val="2"/>
          </rPr>
          <t>c.RatingAlpha &lt;&gt; 'DDD' AND c.RatingAlpha &lt;&gt; 'CCC'</t>
        </r>
        <r>
          <rPr>
            <sz val="10"/>
            <color indexed="81"/>
            <rFont val="Tahoma"/>
            <family val="2"/>
          </rPr>
          <t>)
AND (a.ReportDate = '</t>
        </r>
        <r>
          <rPr>
            <sz val="10"/>
            <color indexed="10"/>
            <rFont val="Tahoma"/>
            <family val="2"/>
          </rPr>
          <t>6/30/2012</t>
        </r>
        <r>
          <rPr>
            <sz val="10"/>
            <color indexed="81"/>
            <rFont val="Tahoma"/>
            <family val="2"/>
          </rPr>
          <t>')
GROUP BY c.RatingAlpha
ORDER BY 
(CASE WHEN c.RatingAlpha='A' THEN 1 WHEN c.RatingAlpha='BBB' THEN 2 
WHEN c.RatingAlpha='BB' THEN 3 WHEN c.RatingAlpha='B' THEN 4 END)</t>
        </r>
      </text>
    </comment>
    <comment ref="V16" authorId="0">
      <text>
        <r>
          <rPr>
            <sz val="10"/>
            <color indexed="81"/>
            <rFont val="Tahoma"/>
            <family val="2"/>
          </rPr>
          <t xml:space="preserve">SELECT RatingAlpha AS </t>
        </r>
        <r>
          <rPr>
            <sz val="10"/>
            <color indexed="12"/>
            <rFont val="Tahoma"/>
            <family val="2"/>
          </rPr>
          <t>EEMEA</t>
        </r>
        <r>
          <rPr>
            <sz val="10"/>
            <color indexed="81"/>
            <rFont val="Tahoma"/>
            <family val="2"/>
          </rPr>
          <t>, COUNT(TickerBond) AS NumIssuers, (SUM(TotalDebt) - SUM(CashEquivalents)) / SUM(LtmEbitda) AS NetLeverage, 
SUM(TotalDebt) / SUM(LtmEbitda) AS Leverage 
FROM tblHysBalanceSheetMetrics 
INNER JOIN tblHysMapRatings on tblHysBalanceSheetMetrics.RatingMLAlphaNumeric = tblHysMapRatings.RatingMLAlphaNumeric
WHERE (</t>
        </r>
        <r>
          <rPr>
            <sz val="10"/>
            <color indexed="10"/>
            <rFont val="Tahoma"/>
            <family val="2"/>
          </rPr>
          <t>RatingAlpha &lt;&gt; 'DDD' AND  RatingAlpha &lt;&gt; 'CCC'</t>
        </r>
        <r>
          <rPr>
            <sz val="10"/>
            <color indexed="81"/>
            <rFont val="Tahoma"/>
            <family val="2"/>
          </rPr>
          <t>) AND tblHysBalanceSheetMetrics.RatingMLAlphaNumeric Is not Null And ExcludeFromYOYCalcs=0 
AND TotalDebt Is Not Null And LtmEbitda Is Not Null And CashEquivalents Is Not Null AND (</t>
        </r>
        <r>
          <rPr>
            <sz val="10"/>
            <color indexed="10"/>
            <rFont val="Tahoma"/>
            <family val="2"/>
          </rPr>
          <t>TickerBond &lt;&gt; 'XX'</t>
        </r>
        <r>
          <rPr>
            <sz val="10"/>
            <color indexed="81"/>
            <rFont val="Tahoma"/>
            <family val="2"/>
          </rPr>
          <t>)
AND ReportDate=</t>
        </r>
        <r>
          <rPr>
            <sz val="10"/>
            <color indexed="10"/>
            <rFont val="Tahoma"/>
            <family val="2"/>
          </rPr>
          <t>'6/30/2012'</t>
        </r>
        <r>
          <rPr>
            <sz val="10"/>
            <color indexed="81"/>
            <rFont val="Tahoma"/>
            <family val="2"/>
          </rPr>
          <t xml:space="preserve">
AND (TickerBond IN (SELECT DISTINCT TickerBond FROM dbo.tblHysMapBondToEqtyTickers WHERE (EMDMFlag = 'EM') 
AND (CountryFullName IN (SELECT DISTINCT CountryFullName FROM dbo.tblHysMapCountries WHERE (Region = '</t>
        </r>
        <r>
          <rPr>
            <sz val="10"/>
            <color indexed="12"/>
            <rFont val="Tahoma"/>
            <family val="2"/>
          </rPr>
          <t>EMEA</t>
        </r>
        <r>
          <rPr>
            <sz val="10"/>
            <color indexed="81"/>
            <rFont val="Tahoma"/>
            <family val="2"/>
          </rPr>
          <t>')))))
GROUP BY RatingAlpha
ORDER BY (CASE WHEN RatingAlpha='A' THEN 1 WHEN RatingAlpha='BBB' THEN 2 WHEN RatingAlpha='BB' THEN 3 WHEN RatingAlpha='B' THEN 4 END)</t>
        </r>
      </text>
    </comment>
    <comment ref="Z16" authorId="0">
      <text>
        <r>
          <rPr>
            <sz val="10"/>
            <color indexed="81"/>
            <rFont val="Tahoma"/>
            <family val="2"/>
          </rPr>
          <t xml:space="preserve">SELECT SUM(a.OAS * a.FullMarketValueUSD)/ SUM(a.FullMarketValueUSD) AS OAS
FROM dbo.tblHysIndexMLMemberlistNew a
INNER JOIN 
(
SELECT ReportDate, TickerBond  FROM dbo.tblHysBalanceSheetMetrics
</t>
        </r>
        <r>
          <rPr>
            <sz val="10"/>
            <color indexed="12"/>
            <rFont val="Tahoma"/>
            <family val="2"/>
          </rPr>
          <t xml:space="preserve">WHERE Not (RatingMLAlphaNumeric Is Null) And Not (RatingMLAlphaNumeric LIKE 'D%') 
And Not (TotalDebt Is Null) And Not (CashEquivalents Is Null) And Not (LtmEbitda Is Null) 
And ExcludeFromPointInTimeCalcs=0 
AND (TickerBond IN (SELECT DISTINCT TickerBond FROM dbo.tblHysMapBondToEqtyTickers WHERE (EMDMFlag = 'EM') 
AND (CountryFullName IN (SELECT DISTINCT CountryFullName FROM dbo.tblHysMapCountries WHERE (Region = 'EMEA')))))
</t>
        </r>
        <r>
          <rPr>
            <sz val="10"/>
            <color indexed="81"/>
            <rFont val="Tahoma"/>
            <family val="2"/>
          </rPr>
          <t>)b 
ON a.TickerBond = b.TickerBond and a.reportdate=b.reportdate
INNER JOIN dbo.tblHysMapRatings c ON a.Rating=c.RatingMLAlphaNumeric
WHERE (a.TickerIndex = 'EMCB') AND (</t>
        </r>
        <r>
          <rPr>
            <sz val="10"/>
            <color indexed="10"/>
            <rFont val="Tahoma"/>
            <family val="2"/>
          </rPr>
          <t>c.RatingAlpha &lt;&gt; 'DDD' AND c.RatingAlpha &lt;&gt; 'CCC'</t>
        </r>
        <r>
          <rPr>
            <sz val="10"/>
            <color indexed="81"/>
            <rFont val="Tahoma"/>
            <family val="2"/>
          </rPr>
          <t>)
AND (a.ReportDate = '</t>
        </r>
        <r>
          <rPr>
            <sz val="10"/>
            <color indexed="10"/>
            <rFont val="Tahoma"/>
            <family val="2"/>
          </rPr>
          <t>6/30/2012</t>
        </r>
        <r>
          <rPr>
            <sz val="10"/>
            <color indexed="81"/>
            <rFont val="Tahoma"/>
            <family val="2"/>
          </rPr>
          <t>')
GROUP BY c.RatingAlpha
ORDER BY 
(CASE WHEN c.RatingAlpha='A' THEN 1 WHEN c.RatingAlpha='BBB' THEN 2 
WHEN c.RatingAlpha='BB' THEN 3 WHEN c.RatingAlpha='B' THEN 4 END)</t>
        </r>
      </text>
    </comment>
    <comment ref="V23" authorId="0">
      <text>
        <r>
          <rPr>
            <sz val="10"/>
            <color indexed="81"/>
            <rFont val="Tahoma"/>
            <family val="2"/>
          </rPr>
          <t xml:space="preserve">SELECT RatingAlpha AS </t>
        </r>
        <r>
          <rPr>
            <sz val="10"/>
            <color indexed="12"/>
            <rFont val="Tahoma"/>
            <family val="2"/>
          </rPr>
          <t>ASIA</t>
        </r>
        <r>
          <rPr>
            <sz val="10"/>
            <color indexed="81"/>
            <rFont val="Tahoma"/>
            <family val="2"/>
          </rPr>
          <t>, COUNT(TickerBond) AS NumIssuers, (SUM(TotalDebt) - SUM(CashEquivalents)) / SUM(LtmEbitda) AS NetLeverage, 
SUM(TotalDebt) / SUM(LtmEbitda) AS Leverage 
FROM tblHysBalanceSheetMetrics 
INNER JOIN tblHysMapRatings on tblHysBalanceSheetMetrics.RatingMLAlphaNumeric = tblHysMapRatings.RatingMLAlphaNumeric
WHERE (</t>
        </r>
        <r>
          <rPr>
            <sz val="10"/>
            <color indexed="10"/>
            <rFont val="Tahoma"/>
            <family val="2"/>
          </rPr>
          <t>RatingAlpha &lt;&gt; 'DDD' AND  RatingAlpha &lt;&gt; 'AAA' AND  RatingAlpha &lt;&gt; 'CCC'</t>
        </r>
        <r>
          <rPr>
            <sz val="10"/>
            <color indexed="81"/>
            <rFont val="Tahoma"/>
            <family val="2"/>
          </rPr>
          <t>) AND tblHysBalanceSheetMetrics.RatingMLAlphaNumeric Is not Null And ExcludeFromYOYCalcs=0 
AND TotalDebt Is Not Null And LtmEbitda Is Not Null And CashEquivalents Is Not Null AND (</t>
        </r>
        <r>
          <rPr>
            <sz val="10"/>
            <color indexed="10"/>
            <rFont val="Tahoma"/>
            <family val="2"/>
          </rPr>
          <t>TickerBond &lt;&gt; 'XX'</t>
        </r>
        <r>
          <rPr>
            <sz val="10"/>
            <color indexed="81"/>
            <rFont val="Tahoma"/>
            <family val="2"/>
          </rPr>
          <t>)
AND ReportDate=</t>
        </r>
        <r>
          <rPr>
            <sz val="10"/>
            <color indexed="10"/>
            <rFont val="Tahoma"/>
            <family val="2"/>
          </rPr>
          <t>'6/30/2012'</t>
        </r>
        <r>
          <rPr>
            <sz val="10"/>
            <color indexed="81"/>
            <rFont val="Tahoma"/>
            <family val="2"/>
          </rPr>
          <t xml:space="preserve">
AND (TickerBond IN (SELECT DISTINCT TickerBond FROM dbo.tblHysMapBondToEqtyTickers WHERE (EMDMFlag = 'EM') 
AND (CountryFullName IN (SELECT DISTINCT CountryFullName FROM dbo.tblHysMapCountries WHERE (Region = '</t>
        </r>
        <r>
          <rPr>
            <sz val="10"/>
            <color indexed="12"/>
            <rFont val="Tahoma"/>
            <family val="2"/>
          </rPr>
          <t>Asia/Pacific</t>
        </r>
        <r>
          <rPr>
            <sz val="10"/>
            <color indexed="81"/>
            <rFont val="Tahoma"/>
            <family val="2"/>
          </rPr>
          <t>')))))
GROUP BY RatingAlpha
ORDER BY (CASE WHEN RatingAlpha='A' THEN 1 WHEN RatingAlpha='BBB' THEN 2 WHEN RatingAlpha='BB' THEN 3 WHEN RatingAlpha='B' THEN 4 END)</t>
        </r>
      </text>
    </comment>
    <comment ref="Z23" authorId="0">
      <text>
        <r>
          <rPr>
            <sz val="10"/>
            <color indexed="81"/>
            <rFont val="Tahoma"/>
            <family val="2"/>
          </rPr>
          <t xml:space="preserve">SELECT SUM(a.OAS * a.FullMarketValueUSD)/ SUM(a.FullMarketValueUSD) AS OAS
FROM dbo.tblHysIndexMLMemberlistNew a
INNER JOIN 
(
SELECT ReportDate, TickerBond  FROM dbo.tblHysBalanceSheetMetrics
</t>
        </r>
        <r>
          <rPr>
            <sz val="10"/>
            <color indexed="12"/>
            <rFont val="Tahoma"/>
            <family val="2"/>
          </rPr>
          <t xml:space="preserve">WHERE Not (RatingMLAlphaNumeric Is Null) And Not (RatingMLAlphaNumeric LIKE 'D%') 
And Not (TotalDebt Is Null) And Not (CashEquivalents Is Null) And Not (LtmEbitda Is Null) 
And ExcludeFromPointInTimeCalcs=0 
AND (TickerBond IN (SELECT DISTINCT TickerBond FROM dbo.tblHysMapBondToEqtyTickers WHERE (EMDMFlag = 'EM') 
AND (CountryFullName IN (SELECT DISTINCT CountryFullName FROM dbo.tblHysMapCountries WHERE (Region = 'Asia/Pacific')))))
</t>
        </r>
        <r>
          <rPr>
            <sz val="10"/>
            <color indexed="81"/>
            <rFont val="Tahoma"/>
            <family val="2"/>
          </rPr>
          <t>)b 
ON a.TickerBond = b.TickerBond and a.reportdate=b.reportdate
INNER JOIN dbo.tblHysMapRatings c ON a.Rating=c.RatingMLAlphaNumeric
WHERE (a.TickerIndex = 'EMCB') AND (</t>
        </r>
        <r>
          <rPr>
            <sz val="10"/>
            <color indexed="10"/>
            <rFont val="Tahoma"/>
            <family val="2"/>
          </rPr>
          <t>c.RatingAlpha &lt;&gt; 'DDD' AND c.RatingAlpha &lt;&gt; 'CCC' AND c.RatingAlpha &lt;&gt; 'AAA'</t>
        </r>
        <r>
          <rPr>
            <sz val="10"/>
            <color indexed="81"/>
            <rFont val="Tahoma"/>
            <family val="2"/>
          </rPr>
          <t>)
AND (a.ReportDate = '</t>
        </r>
        <r>
          <rPr>
            <sz val="10"/>
            <color indexed="10"/>
            <rFont val="Tahoma"/>
            <family val="2"/>
          </rPr>
          <t>6/30/2012</t>
        </r>
        <r>
          <rPr>
            <sz val="10"/>
            <color indexed="81"/>
            <rFont val="Tahoma"/>
            <family val="2"/>
          </rPr>
          <t>')
GROUP BY c.RatingAlpha
ORDER BY 
(CASE WHEN c.RatingAlpha='A' THEN 1 WHEN c.RatingAlpha='BBB' THEN 2 
WHEN c.RatingAlpha='BB' THEN 3 WHEN c.RatingAlpha='B' THEN 4 END)</t>
        </r>
      </text>
    </comment>
  </commentList>
</comments>
</file>

<file path=xl/sharedStrings.xml><?xml version="1.0" encoding="utf-8"?>
<sst xmlns="http://schemas.openxmlformats.org/spreadsheetml/2006/main" count="1108" uniqueCount="346">
  <si>
    <t>ReportDate</t>
  </si>
  <si>
    <t>IssuerCount</t>
  </si>
  <si>
    <t>TotalDebt</t>
  </si>
  <si>
    <t>LtmEbitda</t>
  </si>
  <si>
    <t>TotalCash</t>
  </si>
  <si>
    <t>NetLeverage</t>
  </si>
  <si>
    <t>CoverageRatio</t>
  </si>
  <si>
    <t>OAS</t>
  </si>
  <si>
    <t>EM Corporates</t>
  </si>
  <si>
    <t>EM IG Corporates</t>
  </si>
  <si>
    <t>EM HY Corporates</t>
  </si>
  <si>
    <t>US IG Net Leverage</t>
  </si>
  <si>
    <t>US HY Net Leverage</t>
  </si>
  <si>
    <t>C0A0</t>
  </si>
  <si>
    <t>H0A0</t>
  </si>
  <si>
    <t>US IG Spread per Turn of Leverage</t>
  </si>
  <si>
    <t>US HY Spread per Turn of Leverage</t>
  </si>
  <si>
    <t>US IG Coverage</t>
  </si>
  <si>
    <t>US HY Coverage</t>
  </si>
  <si>
    <t>Manual Update</t>
  </si>
  <si>
    <t>STdebt</t>
  </si>
  <si>
    <t>CashTotalDebt</t>
  </si>
  <si>
    <t>CashSTDebt</t>
  </si>
  <si>
    <t>STdebtTotaldebt</t>
  </si>
  <si>
    <t>LtmInterest</t>
  </si>
  <si>
    <t>US Corporates</t>
  </si>
  <si>
    <t>US IG Corporates</t>
  </si>
  <si>
    <t>US HY Corporates</t>
  </si>
  <si>
    <t>EM selection:</t>
  </si>
  <si>
    <t>Select Region &gt;&gt;</t>
  </si>
  <si>
    <t>ST debt</t>
  </si>
  <si>
    <t>Cash</t>
  </si>
  <si>
    <t>LTM ebitda</t>
  </si>
  <si>
    <t>LTM interest</t>
  </si>
  <si>
    <t>US Net Leverage</t>
  </si>
  <si>
    <t>US Coverage</t>
  </si>
  <si>
    <t>US Spread per Turn of Leverage</t>
  </si>
  <si>
    <t>BBB3</t>
  </si>
  <si>
    <t>BBB2</t>
  </si>
  <si>
    <t>BBB1</t>
  </si>
  <si>
    <t>RatingMLAlphaNumeric</t>
  </si>
  <si>
    <t>NetDebt</t>
  </si>
  <si>
    <t>CAPEX</t>
  </si>
  <si>
    <t>Leverage</t>
  </si>
  <si>
    <t>Asia</t>
  </si>
  <si>
    <t>Q</t>
  </si>
  <si>
    <t>U</t>
  </si>
  <si>
    <t>W</t>
  </si>
  <si>
    <t>R</t>
  </si>
  <si>
    <t>Q-P</t>
  </si>
  <si>
    <t>BB</t>
  </si>
  <si>
    <t>US</t>
  </si>
  <si>
    <t>B</t>
  </si>
  <si>
    <t>A</t>
  </si>
  <si>
    <t>BBB</t>
  </si>
  <si>
    <t>LatAm Corporates</t>
  </si>
  <si>
    <t>Asia Corporates</t>
  </si>
  <si>
    <t>US HY Gross Leverage</t>
  </si>
  <si>
    <t>US IG Gross Leverage</t>
  </si>
  <si>
    <t>LatAm</t>
  </si>
  <si>
    <t>QTELQD</t>
  </si>
  <si>
    <t>ALDAR</t>
  </si>
  <si>
    <t>VOSTOK</t>
  </si>
  <si>
    <t>MOLHB</t>
  </si>
  <si>
    <t>NOTKRM</t>
  </si>
  <si>
    <t>TNEFT</t>
  </si>
  <si>
    <t>TickerBond</t>
  </si>
  <si>
    <t>AMBEV</t>
  </si>
  <si>
    <t>KOF</t>
  </si>
  <si>
    <t>AMXLMM</t>
  </si>
  <si>
    <t>TFONY</t>
  </si>
  <si>
    <t>HKLAND</t>
  </si>
  <si>
    <t>MNCNIJ</t>
  </si>
  <si>
    <t>BERAUC</t>
  </si>
  <si>
    <t>LPKRIJ</t>
  </si>
  <si>
    <t>BRPTIJ</t>
  </si>
  <si>
    <t>HYUELE</t>
  </si>
  <si>
    <t>MAGNES</t>
  </si>
  <si>
    <t>MPEL</t>
  </si>
  <si>
    <t>TRAGAS</t>
  </si>
  <si>
    <t>TRANAR</t>
  </si>
  <si>
    <t>COPEIN</t>
  </si>
  <si>
    <t>GJTLIJ</t>
  </si>
  <si>
    <t>SATMEX</t>
  </si>
  <si>
    <t>AXTEL</t>
  </si>
  <si>
    <t>IRSAAR</t>
  </si>
  <si>
    <t>TRUETB</t>
  </si>
  <si>
    <t>FASWIJ</t>
  </si>
  <si>
    <t>MINERV</t>
  </si>
  <si>
    <t>BTELIJ</t>
  </si>
  <si>
    <t>POSADA</t>
  </si>
  <si>
    <t>MARFRI</t>
  </si>
  <si>
    <t>TPWRIN</t>
  </si>
  <si>
    <t>GOL</t>
  </si>
  <si>
    <t>CEMEX</t>
  </si>
  <si>
    <t>LAIFNG</t>
  </si>
  <si>
    <t>INDYIJ</t>
  </si>
  <si>
    <t>PRECN</t>
  </si>
  <si>
    <t>PESAAR</t>
  </si>
  <si>
    <t>YPFDAR</t>
  </si>
  <si>
    <t>NETBZ</t>
  </si>
  <si>
    <t>CESPBZ</t>
  </si>
  <si>
    <t>MXCHF</t>
  </si>
  <si>
    <t>URBIMM</t>
  </si>
  <si>
    <t>DESCA</t>
  </si>
  <si>
    <t>SABESP</t>
  </si>
  <si>
    <t>CFGSP</t>
  </si>
  <si>
    <t>ISATIJ</t>
  </si>
  <si>
    <t>CORGEO</t>
  </si>
  <si>
    <t>HOMEX</t>
  </si>
  <si>
    <t>ENGIBZ</t>
  </si>
  <si>
    <t>BRFSBZ</t>
  </si>
  <si>
    <t>VEDLN</t>
  </si>
  <si>
    <t>BRMLBZ</t>
  </si>
  <si>
    <t>DOIDIJ</t>
  </si>
  <si>
    <t>HYPER</t>
  </si>
  <si>
    <t>SUZANO</t>
  </si>
  <si>
    <t>FIBRBZ</t>
  </si>
  <si>
    <t>JBSSBZ</t>
  </si>
  <si>
    <t>GSHPBR</t>
  </si>
  <si>
    <t>YLLG</t>
  </si>
  <si>
    <t>EMBRA</t>
  </si>
  <si>
    <t>ECOPET</t>
  </si>
  <si>
    <t>SCCO</t>
  </si>
  <si>
    <t>VALEBZ</t>
  </si>
  <si>
    <t>TOPTB</t>
  </si>
  <si>
    <t>TELVIS</t>
  </si>
  <si>
    <t>ENRSIS</t>
  </si>
  <si>
    <t>PETBRA</t>
  </si>
  <si>
    <t>PTTTB</t>
  </si>
  <si>
    <t>CSNABZ</t>
  </si>
  <si>
    <t>BIMBO</t>
  </si>
  <si>
    <t>ENDESA</t>
  </si>
  <si>
    <t>GGBRBZ</t>
  </si>
  <si>
    <t>ECLCI</t>
  </si>
  <si>
    <t>INVERS</t>
  </si>
  <si>
    <t>USIM</t>
  </si>
  <si>
    <t>BRASKM</t>
  </si>
  <si>
    <t>ELEBRA</t>
  </si>
  <si>
    <t>NOBLSP</t>
  </si>
  <si>
    <t>COLBUN</t>
  </si>
  <si>
    <t>B1</t>
  </si>
  <si>
    <t>APOLIJ</t>
  </si>
  <si>
    <t>B3</t>
  </si>
  <si>
    <t>B2</t>
  </si>
  <si>
    <t>AFRLN</t>
  </si>
  <si>
    <t>PAPPEL</t>
  </si>
  <si>
    <t>TZA</t>
  </si>
  <si>
    <t>BB3</t>
  </si>
  <si>
    <t>A1</t>
  </si>
  <si>
    <t>CCC1</t>
  </si>
  <si>
    <t>BB1</t>
  </si>
  <si>
    <t>BB2</t>
  </si>
  <si>
    <t>GRUMA</t>
  </si>
  <si>
    <t>A3</t>
  </si>
  <si>
    <t>A2</t>
  </si>
  <si>
    <t>CCC2</t>
  </si>
  <si>
    <t>D</t>
  </si>
  <si>
    <t>EMAAR</t>
  </si>
  <si>
    <t>BCAPS</t>
  </si>
  <si>
    <t>COMMEX</t>
  </si>
  <si>
    <t>DARALA</t>
  </si>
  <si>
    <t>GMEXIB</t>
  </si>
  <si>
    <t>EM Corporate Liquidity &amp; Leverage</t>
  </si>
  <si>
    <t>EM Corporate Fundamentals, YoY % Change</t>
  </si>
  <si>
    <t>EM Corporate Fundamentals by Rating</t>
  </si>
  <si>
    <t>LatAm IG Corporates</t>
  </si>
  <si>
    <t>LatAm HY Corporates</t>
  </si>
  <si>
    <t>Asia IG Corporates</t>
  </si>
  <si>
    <t>Asia HY Corporates</t>
  </si>
  <si>
    <t>CEEMEA Corporates</t>
  </si>
  <si>
    <t>CEEMEA IG Corporates</t>
  </si>
  <si>
    <t>CEEMEA HY Corporates</t>
  </si>
  <si>
    <t>LiquidityTickerCount</t>
  </si>
  <si>
    <t>LeverageTickerCount</t>
  </si>
  <si>
    <t>CoverageTickerCount</t>
  </si>
  <si>
    <t>CashSTdebt</t>
  </si>
  <si>
    <t>STtoTotalDebt</t>
  </si>
  <si>
    <t>LiquiditySample</t>
  </si>
  <si>
    <t>CoverageSample</t>
  </si>
  <si>
    <t>LeverageSample</t>
  </si>
  <si>
    <t>CountryLevelSQL</t>
  </si>
  <si>
    <t>EM</t>
  </si>
  <si>
    <t>EM IG</t>
  </si>
  <si>
    <t>EM HY</t>
  </si>
  <si>
    <t>IsManualEntry</t>
  </si>
  <si>
    <t>POHANG</t>
  </si>
  <si>
    <t>SKM</t>
  </si>
  <si>
    <t>BUMIIJ</t>
  </si>
  <si>
    <t>REDEM</t>
  </si>
  <si>
    <t>C</t>
  </si>
  <si>
    <t>EUCHEM</t>
  </si>
  <si>
    <t>TELPM</t>
  </si>
  <si>
    <t>GENER</t>
  </si>
  <si>
    <t>SKENER</t>
  </si>
  <si>
    <t>EDNAR</t>
  </si>
  <si>
    <t>DELSOL</t>
  </si>
  <si>
    <t>MBPSFN</t>
  </si>
  <si>
    <t>Energy - Exploration &amp; Production</t>
  </si>
  <si>
    <t>Beverage</t>
  </si>
  <si>
    <t>Telecom - Wireless</t>
  </si>
  <si>
    <t>Telecom - Integrated/Services</t>
  </si>
  <si>
    <t>Steel Producers/Products</t>
  </si>
  <si>
    <t>Metals/Mining Excluding Steel</t>
  </si>
  <si>
    <t>Food - Wholesale</t>
  </si>
  <si>
    <t>Chemicals</t>
  </si>
  <si>
    <t>RealEstate Dev &amp; Mgt</t>
  </si>
  <si>
    <t>Electric-Integrated</t>
  </si>
  <si>
    <t>Building Materials</t>
  </si>
  <si>
    <t>Electric-Generation</t>
  </si>
  <si>
    <t>Retail-Hypermarkets</t>
  </si>
  <si>
    <t>Building &amp; Construction</t>
  </si>
  <si>
    <t>Support-Services</t>
  </si>
  <si>
    <t>Diversified Capital Goods</t>
  </si>
  <si>
    <t>Integrated Energy</t>
  </si>
  <si>
    <t>Electric-Distr/Trans</t>
  </si>
  <si>
    <t>Aerospace/Defense</t>
  </si>
  <si>
    <t>Forestry/Paper</t>
  </si>
  <si>
    <t>Auto Parts &amp; Equipment</t>
  </si>
  <si>
    <t>Airlines</t>
  </si>
  <si>
    <t>Consumer-Products</t>
  </si>
  <si>
    <t>Electronics</t>
  </si>
  <si>
    <t>Oil Field Equipment &amp; Services</t>
  </si>
  <si>
    <t>Media - Diversified</t>
  </si>
  <si>
    <t>Gaming</t>
  </si>
  <si>
    <t>Media-Cable</t>
  </si>
  <si>
    <t>Paper&amp;Related Products</t>
  </si>
  <si>
    <t>Hotels</t>
  </si>
  <si>
    <t>Non-Electric Utilities</t>
  </si>
  <si>
    <t>Oil Refining &amp; Marketing</t>
  </si>
  <si>
    <t>Media - Broadcast</t>
  </si>
  <si>
    <t>Gas Distribution</t>
  </si>
  <si>
    <t>reportdate</t>
  </si>
  <si>
    <t>tickerbond</t>
  </si>
  <si>
    <t>SectorMLILevel4</t>
  </si>
  <si>
    <t>newTD</t>
  </si>
  <si>
    <t>newEbitda</t>
  </si>
  <si>
    <t>oldEbitda</t>
  </si>
  <si>
    <t>oldTD</t>
  </si>
  <si>
    <t>newLeverage</t>
  </si>
  <si>
    <t>ALROSA</t>
  </si>
  <si>
    <t>BCENC</t>
  </si>
  <si>
    <t>CDEL</t>
  </si>
  <si>
    <t>CHIVOR</t>
  </si>
  <si>
    <t>CHMFRU</t>
  </si>
  <si>
    <t>EEBCB</t>
  </si>
  <si>
    <t>ICASA</t>
  </si>
  <si>
    <t>LUPA</t>
  </si>
  <si>
    <t>MHPSA</t>
  </si>
  <si>
    <t>MOBTEL</t>
  </si>
  <si>
    <t>NPNSJ</t>
  </si>
  <si>
    <t>ODBR</t>
  </si>
  <si>
    <t>PEMEX</t>
  </si>
  <si>
    <t>SCFRU</t>
  </si>
  <si>
    <t>SQM</t>
  </si>
  <si>
    <t>STESP</t>
  </si>
  <si>
    <t>TRUBRU</t>
  </si>
  <si>
    <t>ZHAIKM</t>
  </si>
  <si>
    <t>newLtmEbitda</t>
  </si>
  <si>
    <t>oldLtmEbitda</t>
  </si>
  <si>
    <t>OldLeverage</t>
  </si>
  <si>
    <t>LUKOIL</t>
  </si>
  <si>
    <t>KOREAT</t>
  </si>
  <si>
    <t>TMENRU</t>
  </si>
  <si>
    <t>TELMAL</t>
  </si>
  <si>
    <t>ADROIJ</t>
  </si>
  <si>
    <t>AAA</t>
  </si>
  <si>
    <t>UNSPIJ</t>
  </si>
  <si>
    <t>KAZATO</t>
  </si>
  <si>
    <t>PRKSON</t>
  </si>
  <si>
    <t>GRAIL</t>
  </si>
  <si>
    <t>CCC</t>
  </si>
  <si>
    <t>Directions:</t>
  </si>
  <si>
    <t>newAnalystData</t>
  </si>
  <si>
    <t>oldAnalystData</t>
  </si>
  <si>
    <t>2Q12</t>
  </si>
  <si>
    <t>1Q12</t>
  </si>
  <si>
    <t>2Q11</t>
  </si>
  <si>
    <t>newEBITDA</t>
  </si>
  <si>
    <t>YoY</t>
  </si>
  <si>
    <t>QoQ</t>
  </si>
  <si>
    <t>SQLs not in use as of now (keep for later use):</t>
  </si>
  <si>
    <t>Asia IG</t>
  </si>
  <si>
    <t>Asia HY</t>
  </si>
  <si>
    <t>CEEMEA</t>
  </si>
  <si>
    <t>CEEMEA IG</t>
  </si>
  <si>
    <t>CEEMEA HY</t>
  </si>
  <si>
    <t>LatAm IG</t>
  </si>
  <si>
    <t>LatAm HY</t>
  </si>
  <si>
    <t>*Add back into Range above once all regional #s are checked</t>
  </si>
  <si>
    <t>Median Values (Yuriy's Method)</t>
  </si>
  <si>
    <t>YoYCOGSChange</t>
  </si>
  <si>
    <t>YoYRevenueChange</t>
  </si>
  <si>
    <t>YoYCapexChange</t>
  </si>
  <si>
    <t>Check</t>
  </si>
  <si>
    <t>NumIssuers</t>
  </si>
  <si>
    <t>LATAM</t>
  </si>
  <si>
    <t>EEMEA</t>
  </si>
  <si>
    <t>Spread Per Turn</t>
  </si>
  <si>
    <t>ASIA</t>
  </si>
  <si>
    <t>GAZPRU</t>
  </si>
  <si>
    <t>VOTORA</t>
  </si>
  <si>
    <t>NOVORO</t>
  </si>
  <si>
    <t>ARCO</t>
  </si>
  <si>
    <t>ALESTR</t>
  </si>
  <si>
    <t>CIMTUP</t>
  </si>
  <si>
    <t>EMEA</t>
  </si>
  <si>
    <t>EMEA IG</t>
  </si>
  <si>
    <t>EMEA HY</t>
  </si>
  <si>
    <t>YoY EBITDA % Change</t>
  </si>
  <si>
    <t>YoY Total Debt % Change</t>
  </si>
  <si>
    <t>YOY COGS % Change</t>
  </si>
  <si>
    <t>YOY Revenue % Change</t>
  </si>
  <si>
    <t>Gross Profit Margin</t>
  </si>
  <si>
    <t>YOY Capex % Change</t>
  </si>
  <si>
    <t>YOY EM IG EBITDA % Change</t>
  </si>
  <si>
    <t>YOY EM IG Total Debt % Change</t>
  </si>
  <si>
    <t>YOY EM HY EBITDA % Change</t>
  </si>
  <si>
    <t>EM IG Gross Profit Margin</t>
  </si>
  <si>
    <t>EM HY Gross Profit Margin</t>
  </si>
  <si>
    <t>Food &amp; Drug Retailers</t>
  </si>
  <si>
    <t>YOY EM HY Total Debt % Change</t>
  </si>
  <si>
    <t>Spread Ratios, Differentials</t>
  </si>
  <si>
    <t>OAS broad</t>
  </si>
  <si>
    <t>Market Spread</t>
  </si>
  <si>
    <t>Difference</t>
  </si>
  <si>
    <t>Index Spread</t>
  </si>
  <si>
    <t>Differential, bps</t>
  </si>
  <si>
    <t>Temp</t>
  </si>
  <si>
    <t>EM vs. US spread per turn of leverage ratio</t>
  </si>
  <si>
    <t>LatAm vs. US</t>
  </si>
  <si>
    <t>LatAm IG vs. US</t>
  </si>
  <si>
    <t>LatAm HY vs. US</t>
  </si>
  <si>
    <t>EMEA vs. US</t>
  </si>
  <si>
    <t>EMEA IG vs. US</t>
  </si>
  <si>
    <t>EMEA HY vs. US</t>
  </si>
  <si>
    <t>Asia vs. US</t>
  </si>
  <si>
    <t>Asia IG vs. US</t>
  </si>
  <si>
    <t>Asia HY vs. US</t>
  </si>
  <si>
    <t>EM IG vs. US</t>
  </si>
  <si>
    <t>EM HY vs. US</t>
  </si>
  <si>
    <t>LatAm YoY EBITDA % Change</t>
  </si>
  <si>
    <t>LatAm ex-PETBRA, VALE</t>
  </si>
  <si>
    <t>LatAm ex-PETBRA / VALE</t>
  </si>
  <si>
    <t>LatAm IG ex-PETBRA / VALE</t>
  </si>
  <si>
    <t>LatAm IG ex-PETBRA, VALE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</si>
</sst>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mm/dd/yyyy"/>
    <numFmt numFmtId="165" formatCode="[$$-409]#,##0_);\([$$-409]#,##0\);[$$-409]#,##0_);@_)"/>
    <numFmt numFmtId="167" formatCode="0.0"/>
    <numFmt numFmtId="176" formatCode="mmmm\ d\,\ yyyy"/>
    <numFmt numFmtId="177" formatCode="#,##0.0"/>
  </numFmts>
  <fonts count="27" x14ac:knownFonts="1">
    <font>
      <sz val="10"/>
      <name val="Arial"/>
    </font>
    <font>
      <sz val="10"/>
      <name val="Arial"/>
    </font>
    <font>
      <sz val="8"/>
      <color indexed="81"/>
      <name val="Tahoma"/>
      <family val="2"/>
    </font>
    <font>
      <sz val="10"/>
      <color indexed="9"/>
      <name val="Arial"/>
      <family val="2"/>
    </font>
    <font>
      <b/>
      <sz val="10"/>
      <name val="Arial"/>
      <family val="2"/>
    </font>
    <font>
      <sz val="8"/>
      <name val="Arial"/>
      <family val="2"/>
    </font>
    <font>
      <sz val="10"/>
      <color indexed="12"/>
      <name val="Tahoma"/>
      <family val="2"/>
    </font>
    <font>
      <sz val="10"/>
      <color indexed="10"/>
      <name val="Arial"/>
      <family val="2"/>
    </font>
    <font>
      <sz val="10"/>
      <color indexed="81"/>
      <name val="Tahoma"/>
      <family val="2"/>
    </font>
    <font>
      <b/>
      <sz val="10"/>
      <color indexed="81"/>
      <name val="Tahoma"/>
      <family val="2"/>
    </font>
    <font>
      <sz val="10"/>
      <color indexed="10"/>
      <name val="Tahoma"/>
      <family val="2"/>
    </font>
    <font>
      <sz val="10"/>
      <color indexed="48"/>
      <name val="Tahoma"/>
      <family val="2"/>
    </font>
    <font>
      <b/>
      <sz val="14"/>
      <name val="Verdana"/>
      <family val="2"/>
    </font>
    <font>
      <b/>
      <sz val="10"/>
      <color indexed="9"/>
      <name val="Arial"/>
      <family val="2"/>
    </font>
    <font>
      <sz val="10"/>
      <name val="Arial"/>
      <family val="2"/>
    </font>
    <font>
      <sz val="10"/>
      <name val="Helv"/>
    </font>
    <font>
      <sz val="10"/>
      <color indexed="57"/>
      <name val="Tahoma"/>
      <family val="2"/>
    </font>
    <font>
      <sz val="10"/>
      <color indexed="57"/>
      <name val="Arial"/>
      <family val="2"/>
    </font>
    <font>
      <sz val="10"/>
      <color indexed="17"/>
      <name val="Tahoma"/>
      <family val="2"/>
    </font>
    <font>
      <b/>
      <sz val="10"/>
      <color indexed="57"/>
      <name val="Tahoma"/>
      <family val="2"/>
    </font>
    <font>
      <sz val="10"/>
      <color indexed="17"/>
      <name val="Arial"/>
      <family val="2"/>
    </font>
    <font>
      <sz val="10"/>
      <color indexed="56"/>
      <name val="Arial"/>
      <family val="2"/>
    </font>
    <font>
      <sz val="10"/>
      <color indexed="61"/>
      <name val="Arial"/>
      <family val="2"/>
    </font>
    <font>
      <b/>
      <sz val="10"/>
      <color indexed="56"/>
      <name val="Arial"/>
      <family val="2"/>
    </font>
    <font>
      <b/>
      <sz val="10"/>
      <color indexed="10"/>
      <name val="Arial"/>
      <family val="2"/>
    </font>
    <font>
      <sz val="10"/>
      <color indexed="8"/>
      <name val="Arial"/>
      <family val="2"/>
    </font>
    <font>
      <sz val="10"/>
      <color indexed="12"/>
      <name val="Arial"/>
      <family val="2"/>
    </font>
  </fonts>
  <fills count="9">
    <fill>
      <patternFill patternType="none"/>
    </fill>
    <fill>
      <patternFill patternType="gray125"/>
    </fill>
    <fill>
      <patternFill patternType="solid">
        <fgColor indexed="56"/>
        <bgColor indexed="64"/>
      </patternFill>
    </fill>
    <fill>
      <patternFill patternType="solid">
        <fgColor indexed="46"/>
        <bgColor indexed="64"/>
      </patternFill>
    </fill>
    <fill>
      <patternFill patternType="solid">
        <fgColor indexed="22"/>
        <bgColor indexed="64"/>
      </patternFill>
    </fill>
    <fill>
      <patternFill patternType="solid">
        <fgColor indexed="57"/>
        <bgColor indexed="64"/>
      </patternFill>
    </fill>
    <fill>
      <patternFill patternType="solid">
        <fgColor indexed="61"/>
        <bgColor indexed="64"/>
      </patternFill>
    </fill>
    <fill>
      <patternFill patternType="solid">
        <fgColor indexed="43"/>
        <bgColor indexed="64"/>
      </patternFill>
    </fill>
    <fill>
      <patternFill patternType="solid">
        <fgColor indexed="10"/>
        <bgColor indexed="64"/>
      </patternFill>
    </fill>
  </fills>
  <borders count="3">
    <border>
      <left/>
      <right/>
      <top/>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5" fillId="0" borderId="0"/>
    <xf numFmtId="0" fontId="1" fillId="0" borderId="0"/>
  </cellStyleXfs>
  <cellXfs count="95">
    <xf numFmtId="0" fontId="0" fillId="0" borderId="0" xfId="0"/>
    <xf numFmtId="164" fontId="0" fillId="0" borderId="0" xfId="0" applyNumberFormat="1"/>
    <xf numFmtId="164" fontId="3" fillId="2" borderId="0" xfId="0" applyNumberFormat="1" applyFont="1" applyFill="1"/>
    <xf numFmtId="3" fontId="0" fillId="0" borderId="0" xfId="0" applyNumberFormat="1"/>
    <xf numFmtId="2" fontId="0" fillId="0" borderId="0" xfId="0" applyNumberFormat="1"/>
    <xf numFmtId="0" fontId="3" fillId="2" borderId="0" xfId="0" applyFont="1" applyFill="1" applyAlignment="1">
      <alignment horizontal="left"/>
    </xf>
    <xf numFmtId="165" fontId="0" fillId="0" borderId="0" xfId="0" applyNumberFormat="1"/>
    <xf numFmtId="0" fontId="7" fillId="0" borderId="0" xfId="0" applyFont="1"/>
    <xf numFmtId="164" fontId="7" fillId="0" borderId="0" xfId="0" applyNumberFormat="1" applyFont="1"/>
    <xf numFmtId="0" fontId="0" fillId="3" borderId="0" xfId="0" applyFill="1"/>
    <xf numFmtId="167" fontId="0" fillId="0" borderId="0" xfId="0" applyNumberFormat="1"/>
    <xf numFmtId="1" fontId="0" fillId="0" borderId="0" xfId="0" applyNumberFormat="1"/>
    <xf numFmtId="0" fontId="4" fillId="0" borderId="0" xfId="0" applyFont="1"/>
    <xf numFmtId="0" fontId="3" fillId="2" borderId="0" xfId="0" applyFont="1" applyFill="1" applyAlignment="1">
      <alignment horizontal="right"/>
    </xf>
    <xf numFmtId="0" fontId="3" fillId="2" borderId="0" xfId="0" applyFont="1" applyFill="1" applyAlignment="1">
      <alignment horizontal="center"/>
    </xf>
    <xf numFmtId="0" fontId="0" fillId="0" borderId="0" xfId="0" applyAlignment="1">
      <alignment horizontal="center"/>
    </xf>
    <xf numFmtId="164" fontId="3" fillId="2" borderId="0" xfId="0" applyNumberFormat="1" applyFont="1" applyFill="1" applyAlignment="1">
      <alignment horizontal="center"/>
    </xf>
    <xf numFmtId="164" fontId="0" fillId="0" borderId="0" xfId="0" applyNumberFormat="1" applyAlignment="1">
      <alignment horizontal="center"/>
    </xf>
    <xf numFmtId="0" fontId="1" fillId="0" borderId="0" xfId="0" applyFont="1" applyFill="1" applyAlignment="1">
      <alignment horizontal="left"/>
    </xf>
    <xf numFmtId="164" fontId="4" fillId="0" borderId="1" xfId="0" applyNumberFormat="1" applyFont="1" applyBorder="1"/>
    <xf numFmtId="0" fontId="0" fillId="0" borderId="1" xfId="0" applyBorder="1"/>
    <xf numFmtId="0" fontId="0" fillId="0" borderId="2" xfId="0" applyBorder="1"/>
    <xf numFmtId="3" fontId="0" fillId="0" borderId="0" xfId="0" applyNumberFormat="1" applyFill="1"/>
    <xf numFmtId="0" fontId="0" fillId="0" borderId="0" xfId="0" applyFill="1"/>
    <xf numFmtId="4" fontId="0" fillId="0" borderId="0" xfId="0" applyNumberFormat="1"/>
    <xf numFmtId="2" fontId="0" fillId="0" borderId="0" xfId="0" applyNumberFormat="1" applyAlignment="1">
      <alignment horizontal="center"/>
    </xf>
    <xf numFmtId="0" fontId="3" fillId="0" borderId="0" xfId="0" applyFont="1"/>
    <xf numFmtId="164" fontId="0" fillId="0" borderId="0" xfId="0" applyNumberFormat="1" applyFill="1"/>
    <xf numFmtId="2" fontId="0" fillId="0" borderId="0" xfId="0" applyNumberFormat="1" applyFill="1"/>
    <xf numFmtId="167" fontId="0" fillId="0" borderId="0" xfId="0" applyNumberFormat="1" applyFill="1"/>
    <xf numFmtId="14" fontId="0" fillId="0" borderId="0" xfId="0" applyNumberFormat="1"/>
    <xf numFmtId="2" fontId="7" fillId="0" borderId="0" xfId="0" applyNumberFormat="1" applyFont="1"/>
    <xf numFmtId="167" fontId="7" fillId="0" borderId="0" xfId="0" applyNumberFormat="1" applyFont="1"/>
    <xf numFmtId="164" fontId="12" fillId="0" borderId="0" xfId="2" applyNumberFormat="1" applyFont="1"/>
    <xf numFmtId="0" fontId="0" fillId="0" borderId="0" xfId="0" applyAlignment="1">
      <alignment horizontal="left"/>
    </xf>
    <xf numFmtId="0" fontId="0" fillId="0" borderId="0" xfId="0" applyAlignment="1">
      <alignment horizontal="right"/>
    </xf>
    <xf numFmtId="164" fontId="0" fillId="0" borderId="0" xfId="0" applyNumberFormat="1" applyAlignment="1">
      <alignment horizontal="left"/>
    </xf>
    <xf numFmtId="3" fontId="0" fillId="0" borderId="0" xfId="0" applyNumberFormat="1" applyAlignment="1">
      <alignment horizontal="left"/>
    </xf>
    <xf numFmtId="2" fontId="0" fillId="0" borderId="0" xfId="0" applyNumberFormat="1" applyAlignment="1">
      <alignment horizontal="left"/>
    </xf>
    <xf numFmtId="1" fontId="0" fillId="0" borderId="0" xfId="0" applyNumberFormat="1" applyAlignment="1">
      <alignment horizontal="left"/>
    </xf>
    <xf numFmtId="164" fontId="0" fillId="4" borderId="0" xfId="0" applyNumberFormat="1" applyFill="1"/>
    <xf numFmtId="0" fontId="0" fillId="4" borderId="0" xfId="0" applyFill="1" applyAlignment="1">
      <alignment horizontal="left"/>
    </xf>
    <xf numFmtId="0" fontId="17" fillId="0" borderId="0" xfId="0" applyFont="1"/>
    <xf numFmtId="0" fontId="0" fillId="4" borderId="0" xfId="0" applyFill="1" applyAlignment="1">
      <alignment horizontal="right"/>
    </xf>
    <xf numFmtId="3" fontId="0" fillId="0" borderId="0" xfId="0" applyNumberFormat="1" applyAlignment="1">
      <alignment horizontal="right"/>
    </xf>
    <xf numFmtId="3" fontId="3" fillId="5" borderId="0" xfId="0" applyNumberFormat="1" applyFont="1" applyFill="1" applyAlignment="1">
      <alignment horizontal="left"/>
    </xf>
    <xf numFmtId="3" fontId="3" fillId="2" borderId="0" xfId="0" applyNumberFormat="1" applyFont="1" applyFill="1" applyAlignment="1">
      <alignment horizontal="left"/>
    </xf>
    <xf numFmtId="164" fontId="3" fillId="2" borderId="0" xfId="0" applyNumberFormat="1" applyFont="1" applyFill="1" applyAlignment="1">
      <alignment horizontal="left"/>
    </xf>
    <xf numFmtId="3" fontId="3" fillId="2" borderId="0" xfId="0" applyNumberFormat="1" applyFont="1" applyFill="1" applyAlignment="1">
      <alignment horizontal="right"/>
    </xf>
    <xf numFmtId="3" fontId="3" fillId="5" borderId="0" xfId="0" applyNumberFormat="1" applyFont="1" applyFill="1" applyAlignment="1">
      <alignment horizontal="right"/>
    </xf>
    <xf numFmtId="2" fontId="3" fillId="5" borderId="0" xfId="0" applyNumberFormat="1" applyFont="1" applyFill="1" applyAlignment="1">
      <alignment horizontal="right"/>
    </xf>
    <xf numFmtId="164" fontId="20" fillId="0" borderId="0" xfId="0" applyNumberFormat="1" applyFont="1" applyAlignment="1">
      <alignment horizontal="left"/>
    </xf>
    <xf numFmtId="2" fontId="3" fillId="2" borderId="0" xfId="0" applyNumberFormat="1" applyFont="1" applyFill="1" applyAlignment="1">
      <alignment horizontal="right"/>
    </xf>
    <xf numFmtId="2" fontId="0" fillId="0" borderId="0" xfId="0" applyNumberFormat="1" applyAlignment="1">
      <alignment horizontal="right"/>
    </xf>
    <xf numFmtId="4" fontId="3" fillId="6" borderId="0" xfId="0" applyNumberFormat="1" applyFont="1" applyFill="1" applyAlignment="1">
      <alignment horizontal="left"/>
    </xf>
    <xf numFmtId="3" fontId="3" fillId="6" borderId="0" xfId="0" applyNumberFormat="1" applyFont="1" applyFill="1" applyAlignment="1">
      <alignment horizontal="right"/>
    </xf>
    <xf numFmtId="2" fontId="3" fillId="6" borderId="0" xfId="0" applyNumberFormat="1" applyFont="1" applyFill="1" applyAlignment="1">
      <alignment horizontal="right"/>
    </xf>
    <xf numFmtId="4" fontId="21" fillId="0" borderId="0" xfId="0" applyNumberFormat="1" applyFont="1" applyFill="1" applyAlignment="1">
      <alignment horizontal="left"/>
    </xf>
    <xf numFmtId="4" fontId="17" fillId="0" borderId="0" xfId="0" applyNumberFormat="1" applyFont="1" applyAlignment="1">
      <alignment horizontal="left"/>
    </xf>
    <xf numFmtId="2" fontId="22" fillId="0" borderId="0" xfId="0" applyNumberFormat="1" applyFont="1" applyAlignment="1">
      <alignment horizontal="right"/>
    </xf>
    <xf numFmtId="3" fontId="23" fillId="0" borderId="2" xfId="0" applyNumberFormat="1" applyFont="1" applyFill="1" applyBorder="1" applyAlignment="1">
      <alignment horizontal="right"/>
    </xf>
    <xf numFmtId="4" fontId="24" fillId="0" borderId="2" xfId="0" applyNumberFormat="1" applyFont="1" applyFill="1" applyBorder="1" applyAlignment="1">
      <alignment horizontal="right"/>
    </xf>
    <xf numFmtId="167" fontId="24" fillId="0" borderId="0" xfId="0" applyNumberFormat="1" applyFont="1" applyFill="1" applyAlignment="1">
      <alignment horizontal="center"/>
    </xf>
    <xf numFmtId="0" fontId="4" fillId="7" borderId="0" xfId="0" applyFont="1" applyFill="1"/>
    <xf numFmtId="2" fontId="22" fillId="0" borderId="0" xfId="0" applyNumberFormat="1" applyFont="1" applyAlignment="1">
      <alignment horizontal="center"/>
    </xf>
    <xf numFmtId="0" fontId="25" fillId="8" borderId="0" xfId="0" applyFont="1" applyFill="1" applyAlignment="1">
      <alignment horizontal="center"/>
    </xf>
    <xf numFmtId="0" fontId="7" fillId="0" borderId="0" xfId="0" applyFont="1" applyAlignment="1">
      <alignment horizontal="left"/>
    </xf>
    <xf numFmtId="0" fontId="4" fillId="7" borderId="0" xfId="0" applyFont="1" applyFill="1" applyAlignment="1">
      <alignment horizontal="center"/>
    </xf>
    <xf numFmtId="0" fontId="7" fillId="0" borderId="2" xfId="0" applyFont="1" applyBorder="1"/>
    <xf numFmtId="167" fontId="0" fillId="8" borderId="0" xfId="0" applyNumberFormat="1" applyFill="1"/>
    <xf numFmtId="1" fontId="0" fillId="8" borderId="0" xfId="0" applyNumberFormat="1" applyFill="1"/>
    <xf numFmtId="3" fontId="22" fillId="0" borderId="0" xfId="0" applyNumberFormat="1" applyFont="1" applyAlignment="1">
      <alignment horizontal="right"/>
    </xf>
    <xf numFmtId="3" fontId="13" fillId="8" borderId="0" xfId="0" applyNumberFormat="1" applyFont="1" applyFill="1" applyAlignment="1">
      <alignment horizontal="right"/>
    </xf>
    <xf numFmtId="164" fontId="14" fillId="0" borderId="0" xfId="1" applyNumberFormat="1" applyFont="1" applyAlignment="1">
      <alignment horizontal="right"/>
    </xf>
    <xf numFmtId="0" fontId="0" fillId="0" borderId="0" xfId="0" applyFill="1" applyAlignment="1">
      <alignment horizontal="center"/>
    </xf>
    <xf numFmtId="164" fontId="0" fillId="0" borderId="0" xfId="0" applyNumberFormat="1" applyAlignment="1">
      <alignment horizontal="right"/>
    </xf>
    <xf numFmtId="167" fontId="0" fillId="0" borderId="0" xfId="0" applyNumberFormat="1" applyAlignment="1">
      <alignment horizontal="right"/>
    </xf>
    <xf numFmtId="0" fontId="0" fillId="0" borderId="0" xfId="0" applyFill="1" applyAlignment="1">
      <alignment horizontal="right"/>
    </xf>
    <xf numFmtId="164" fontId="0" fillId="0" borderId="0" xfId="0" applyNumberFormat="1" applyFill="1" applyAlignment="1">
      <alignment horizontal="right"/>
    </xf>
    <xf numFmtId="164" fontId="3" fillId="5" borderId="0" xfId="0" applyNumberFormat="1" applyFont="1" applyFill="1" applyAlignment="1">
      <alignment horizontal="left"/>
    </xf>
    <xf numFmtId="0" fontId="7" fillId="0" borderId="0" xfId="0" applyFont="1" applyFill="1" applyAlignment="1">
      <alignment horizontal="left"/>
    </xf>
    <xf numFmtId="3" fontId="0" fillId="0" borderId="0" xfId="0" applyNumberFormat="1" applyFill="1" applyAlignment="1">
      <alignment horizontal="right"/>
    </xf>
    <xf numFmtId="0" fontId="26" fillId="0" borderId="0" xfId="0" applyFont="1" applyAlignment="1">
      <alignment horizontal="right"/>
    </xf>
    <xf numFmtId="3" fontId="0" fillId="4" borderId="0" xfId="0" applyNumberFormat="1" applyFill="1" applyAlignment="1">
      <alignment horizontal="right"/>
    </xf>
    <xf numFmtId="3" fontId="4" fillId="0" borderId="0" xfId="0" applyNumberFormat="1" applyFont="1" applyAlignment="1">
      <alignment horizontal="right"/>
    </xf>
    <xf numFmtId="0" fontId="7" fillId="0" borderId="0" xfId="0" applyFont="1" applyAlignment="1">
      <alignment horizontal="right"/>
    </xf>
    <xf numFmtId="177" fontId="0" fillId="0" borderId="0" xfId="0" applyNumberFormat="1"/>
    <xf numFmtId="3" fontId="0" fillId="0" borderId="0" xfId="0" applyNumberFormat="1" applyAlignment="1">
      <alignment horizontal="center"/>
    </xf>
    <xf numFmtId="0" fontId="7" fillId="0" borderId="0" xfId="0" applyFont="1" applyAlignment="1">
      <alignment horizontal="center"/>
    </xf>
    <xf numFmtId="164" fontId="4" fillId="7" borderId="0" xfId="0" applyNumberFormat="1" applyFont="1" applyFill="1" applyBorder="1" applyAlignment="1">
      <alignment horizontal="center"/>
    </xf>
    <xf numFmtId="0" fontId="4" fillId="7" borderId="0" xfId="0" applyFont="1" applyFill="1" applyBorder="1" applyAlignment="1">
      <alignment horizontal="center"/>
    </xf>
    <xf numFmtId="176" fontId="0" fillId="0" borderId="0" xfId="0" applyNumberFormat="1" applyAlignment="1">
      <alignment horizontal="left"/>
    </xf>
    <xf numFmtId="0" fontId="0" fillId="0" borderId="0" xfId="0" applyAlignment="1">
      <alignment horizontal="left"/>
    </xf>
    <xf numFmtId="164" fontId="13" fillId="2" borderId="0" xfId="0" applyNumberFormat="1" applyFont="1" applyFill="1" applyAlignment="1">
      <alignment horizontal="center"/>
    </xf>
    <xf numFmtId="0" fontId="13" fillId="2" borderId="0" xfId="0" applyFont="1" applyFill="1" applyAlignment="1">
      <alignment horizontal="center"/>
    </xf>
  </cellXfs>
  <cellStyles count="3">
    <cellStyle name="Normal" xfId="0" builtinId="0"/>
    <cellStyle name="Normal_DowngradesUpgrades" xfId="1"/>
    <cellStyle name="Normal_d-u rating transitions"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500021972692014"/>
          <c:y val="4.7500057983469221E-2"/>
          <c:w val="0.8316680202930018"/>
          <c:h val="0.73250089416613062"/>
        </c:manualLayout>
      </c:layout>
      <c:lineChart>
        <c:grouping val="standard"/>
        <c:varyColors val="0"/>
        <c:ser>
          <c:idx val="0"/>
          <c:order val="0"/>
          <c:tx>
            <c:strRef>
              <c:f>D.EM!$AF$3</c:f>
              <c:strCache>
                <c:ptCount val="1"/>
                <c:pt idx="0">
                  <c:v>EM vs. US spread per turn of leverage ratio</c:v>
                </c:pt>
              </c:strCache>
            </c:strRef>
          </c:tx>
          <c:spPr>
            <a:ln w="25400">
              <a:solidFill>
                <a:srgbClr val="003366"/>
              </a:solidFill>
              <a:prstDash val="solid"/>
            </a:ln>
          </c:spPr>
          <c:marker>
            <c:symbol val="diamond"/>
            <c:size val="7"/>
            <c:spPr>
              <a:solidFill>
                <a:srgbClr val="000080"/>
              </a:solidFill>
              <a:ln>
                <a:solidFill>
                  <a:srgbClr val="000080"/>
                </a:solidFill>
                <a:prstDash val="solid"/>
              </a:ln>
            </c:spPr>
          </c:marker>
          <c:cat>
            <c:numRef>
              <c:f>D.EM!$AE$4:$AE$29</c:f>
              <c:numCache>
                <c:formatCode>mm/dd/yyyy</c:formatCode>
                <c:ptCount val="26"/>
                <c:pt idx="0">
                  <c:v>38807</c:v>
                </c:pt>
                <c:pt idx="1">
                  <c:v>38898</c:v>
                </c:pt>
                <c:pt idx="2">
                  <c:v>38990</c:v>
                </c:pt>
                <c:pt idx="3">
                  <c:v>39082</c:v>
                </c:pt>
                <c:pt idx="4">
                  <c:v>39172</c:v>
                </c:pt>
                <c:pt idx="5">
                  <c:v>39263</c:v>
                </c:pt>
                <c:pt idx="6">
                  <c:v>39355</c:v>
                </c:pt>
                <c:pt idx="7">
                  <c:v>39447</c:v>
                </c:pt>
                <c:pt idx="8">
                  <c:v>39538</c:v>
                </c:pt>
                <c:pt idx="9">
                  <c:v>39629</c:v>
                </c:pt>
                <c:pt idx="10">
                  <c:v>39721</c:v>
                </c:pt>
                <c:pt idx="11">
                  <c:v>39813</c:v>
                </c:pt>
                <c:pt idx="12">
                  <c:v>39903</c:v>
                </c:pt>
                <c:pt idx="13">
                  <c:v>39994</c:v>
                </c:pt>
                <c:pt idx="14">
                  <c:v>40086</c:v>
                </c:pt>
                <c:pt idx="15">
                  <c:v>40178</c:v>
                </c:pt>
                <c:pt idx="16">
                  <c:v>40268</c:v>
                </c:pt>
                <c:pt idx="17">
                  <c:v>40359</c:v>
                </c:pt>
                <c:pt idx="18">
                  <c:v>40451</c:v>
                </c:pt>
                <c:pt idx="19">
                  <c:v>40543</c:v>
                </c:pt>
                <c:pt idx="20">
                  <c:v>40633</c:v>
                </c:pt>
                <c:pt idx="21">
                  <c:v>40724</c:v>
                </c:pt>
                <c:pt idx="22">
                  <c:v>40816</c:v>
                </c:pt>
                <c:pt idx="23">
                  <c:v>40908</c:v>
                </c:pt>
                <c:pt idx="24">
                  <c:v>40999</c:v>
                </c:pt>
                <c:pt idx="25">
                  <c:v>41090</c:v>
                </c:pt>
              </c:numCache>
            </c:numRef>
          </c:cat>
          <c:val>
            <c:numRef>
              <c:f>D.EM!$AF$4:$AF$29</c:f>
              <c:numCache>
                <c:formatCode>#,##0.0</c:formatCode>
                <c:ptCount val="26"/>
                <c:pt idx="0">
                  <c:v>2.2174228484609921</c:v>
                </c:pt>
                <c:pt idx="1">
                  <c:v>2.611576123571226</c:v>
                </c:pt>
                <c:pt idx="2">
                  <c:v>2.3321067241370232</c:v>
                </c:pt>
                <c:pt idx="3">
                  <c:v>2.183816112894303</c:v>
                </c:pt>
                <c:pt idx="4">
                  <c:v>2.2870482559499692</c:v>
                </c:pt>
                <c:pt idx="5">
                  <c:v>2.1700263503983104</c:v>
                </c:pt>
                <c:pt idx="6">
                  <c:v>2.0943763671845814</c:v>
                </c:pt>
                <c:pt idx="7">
                  <c:v>2.0772109005875223</c:v>
                </c:pt>
                <c:pt idx="8">
                  <c:v>2.2610475971854469</c:v>
                </c:pt>
                <c:pt idx="9">
                  <c:v>2.3777100830971341</c:v>
                </c:pt>
                <c:pt idx="10">
                  <c:v>2.7663571665344495</c:v>
                </c:pt>
                <c:pt idx="11">
                  <c:v>3.2490831986833695</c:v>
                </c:pt>
                <c:pt idx="12">
                  <c:v>2.2874989114558781</c:v>
                </c:pt>
                <c:pt idx="13">
                  <c:v>1.9557199964701384</c:v>
                </c:pt>
                <c:pt idx="14">
                  <c:v>1.5539298251943381</c:v>
                </c:pt>
                <c:pt idx="15">
                  <c:v>1.6255669097732452</c:v>
                </c:pt>
                <c:pt idx="16">
                  <c:v>1.669763615060629</c:v>
                </c:pt>
                <c:pt idx="17">
                  <c:v>1.9740953374925718</c:v>
                </c:pt>
                <c:pt idx="18">
                  <c:v>2.0032949162623996</c:v>
                </c:pt>
                <c:pt idx="19">
                  <c:v>1.7007222791035261</c:v>
                </c:pt>
                <c:pt idx="20">
                  <c:v>1.9157315347897996</c:v>
                </c:pt>
                <c:pt idx="21">
                  <c:v>1.9520632471638468</c:v>
                </c:pt>
                <c:pt idx="22">
                  <c:v>2.2343336397071538</c:v>
                </c:pt>
                <c:pt idx="23">
                  <c:v>2.1223514167728474</c:v>
                </c:pt>
                <c:pt idx="24">
                  <c:v>1.9782450627687456</c:v>
                </c:pt>
                <c:pt idx="25">
                  <c:v>1.873127963447704</c:v>
                </c:pt>
              </c:numCache>
            </c:numRef>
          </c:val>
          <c:smooth val="0"/>
        </c:ser>
        <c:ser>
          <c:idx val="1"/>
          <c:order val="1"/>
          <c:tx>
            <c:strRef>
              <c:f>D.EM!$AG$3</c:f>
              <c:strCache>
                <c:ptCount val="1"/>
                <c:pt idx="0">
                  <c:v>EM IG vs. US</c:v>
                </c:pt>
              </c:strCache>
            </c:strRef>
          </c:tx>
          <c:spPr>
            <a:ln w="25400">
              <a:solidFill>
                <a:srgbClr val="008080"/>
              </a:solidFill>
              <a:prstDash val="solid"/>
            </a:ln>
          </c:spPr>
          <c:marker>
            <c:symbol val="triangle"/>
            <c:size val="7"/>
            <c:spPr>
              <a:solidFill>
                <a:srgbClr val="008080"/>
              </a:solidFill>
              <a:ln>
                <a:solidFill>
                  <a:srgbClr val="008080"/>
                </a:solidFill>
                <a:prstDash val="solid"/>
              </a:ln>
            </c:spPr>
          </c:marker>
          <c:cat>
            <c:numRef>
              <c:f>D.EM!$AE$4:$AE$29</c:f>
              <c:numCache>
                <c:formatCode>mm/dd/yyyy</c:formatCode>
                <c:ptCount val="26"/>
                <c:pt idx="0">
                  <c:v>38807</c:v>
                </c:pt>
                <c:pt idx="1">
                  <c:v>38898</c:v>
                </c:pt>
                <c:pt idx="2">
                  <c:v>38990</c:v>
                </c:pt>
                <c:pt idx="3">
                  <c:v>39082</c:v>
                </c:pt>
                <c:pt idx="4">
                  <c:v>39172</c:v>
                </c:pt>
                <c:pt idx="5">
                  <c:v>39263</c:v>
                </c:pt>
                <c:pt idx="6">
                  <c:v>39355</c:v>
                </c:pt>
                <c:pt idx="7">
                  <c:v>39447</c:v>
                </c:pt>
                <c:pt idx="8">
                  <c:v>39538</c:v>
                </c:pt>
                <c:pt idx="9">
                  <c:v>39629</c:v>
                </c:pt>
                <c:pt idx="10">
                  <c:v>39721</c:v>
                </c:pt>
                <c:pt idx="11">
                  <c:v>39813</c:v>
                </c:pt>
                <c:pt idx="12">
                  <c:v>39903</c:v>
                </c:pt>
                <c:pt idx="13">
                  <c:v>39994</c:v>
                </c:pt>
                <c:pt idx="14">
                  <c:v>40086</c:v>
                </c:pt>
                <c:pt idx="15">
                  <c:v>40178</c:v>
                </c:pt>
                <c:pt idx="16">
                  <c:v>40268</c:v>
                </c:pt>
                <c:pt idx="17">
                  <c:v>40359</c:v>
                </c:pt>
                <c:pt idx="18">
                  <c:v>40451</c:v>
                </c:pt>
                <c:pt idx="19">
                  <c:v>40543</c:v>
                </c:pt>
                <c:pt idx="20">
                  <c:v>40633</c:v>
                </c:pt>
                <c:pt idx="21">
                  <c:v>40724</c:v>
                </c:pt>
                <c:pt idx="22">
                  <c:v>40816</c:v>
                </c:pt>
                <c:pt idx="23">
                  <c:v>40908</c:v>
                </c:pt>
                <c:pt idx="24">
                  <c:v>40999</c:v>
                </c:pt>
                <c:pt idx="25">
                  <c:v>41090</c:v>
                </c:pt>
              </c:numCache>
            </c:numRef>
          </c:cat>
          <c:val>
            <c:numRef>
              <c:f>D.EM!$AG$4:$AG$29</c:f>
              <c:numCache>
                <c:formatCode>#,##0.0</c:formatCode>
                <c:ptCount val="26"/>
                <c:pt idx="0">
                  <c:v>2.928407953499824</c:v>
                </c:pt>
                <c:pt idx="1">
                  <c:v>3.3605753730472427</c:v>
                </c:pt>
                <c:pt idx="2">
                  <c:v>3.0035697087326785</c:v>
                </c:pt>
                <c:pt idx="3">
                  <c:v>2.6732159799580697</c:v>
                </c:pt>
                <c:pt idx="4">
                  <c:v>2.6743128146084656</c:v>
                </c:pt>
                <c:pt idx="5">
                  <c:v>2.4234055387483493</c:v>
                </c:pt>
                <c:pt idx="6">
                  <c:v>2.3236146706907346</c:v>
                </c:pt>
                <c:pt idx="7">
                  <c:v>2.3482503868201574</c:v>
                </c:pt>
                <c:pt idx="8">
                  <c:v>2.4430704714200746</c:v>
                </c:pt>
                <c:pt idx="9">
                  <c:v>2.4287305378235735</c:v>
                </c:pt>
                <c:pt idx="10">
                  <c:v>2.58597697618828</c:v>
                </c:pt>
                <c:pt idx="11">
                  <c:v>3.2898688500411666</c:v>
                </c:pt>
                <c:pt idx="12">
                  <c:v>2.070129063755612</c:v>
                </c:pt>
                <c:pt idx="13">
                  <c:v>1.8774561698128625</c:v>
                </c:pt>
                <c:pt idx="14">
                  <c:v>1.5999981093438478</c:v>
                </c:pt>
                <c:pt idx="15">
                  <c:v>1.5998265356769881</c:v>
                </c:pt>
                <c:pt idx="16">
                  <c:v>1.7839988940141593</c:v>
                </c:pt>
                <c:pt idx="17">
                  <c:v>2.1852868129458143</c:v>
                </c:pt>
                <c:pt idx="18">
                  <c:v>2.1923437297765491</c:v>
                </c:pt>
                <c:pt idx="19">
                  <c:v>1.7476967540268209</c:v>
                </c:pt>
                <c:pt idx="20">
                  <c:v>1.8753036823590636</c:v>
                </c:pt>
                <c:pt idx="21">
                  <c:v>1.9168573318196351</c:v>
                </c:pt>
                <c:pt idx="22">
                  <c:v>2.1377661783244788</c:v>
                </c:pt>
                <c:pt idx="23">
                  <c:v>1.8864664208724193</c:v>
                </c:pt>
                <c:pt idx="24">
                  <c:v>2.0019299051732453</c:v>
                </c:pt>
                <c:pt idx="25">
                  <c:v>1.7252084512333719</c:v>
                </c:pt>
              </c:numCache>
            </c:numRef>
          </c:val>
          <c:smooth val="0"/>
        </c:ser>
        <c:ser>
          <c:idx val="2"/>
          <c:order val="2"/>
          <c:tx>
            <c:strRef>
              <c:f>D.EM!$AH$3</c:f>
              <c:strCache>
                <c:ptCount val="1"/>
                <c:pt idx="0">
                  <c:v>EM HY vs. US</c:v>
                </c:pt>
              </c:strCache>
            </c:strRef>
          </c:tx>
          <c:spPr>
            <a:ln w="25400">
              <a:solidFill>
                <a:srgbClr val="FF6600"/>
              </a:solidFill>
              <a:prstDash val="solid"/>
            </a:ln>
          </c:spPr>
          <c:marker>
            <c:symbol val="square"/>
            <c:size val="7"/>
            <c:spPr>
              <a:solidFill>
                <a:srgbClr val="FF6600"/>
              </a:solidFill>
              <a:ln>
                <a:solidFill>
                  <a:srgbClr val="FF6600"/>
                </a:solidFill>
                <a:prstDash val="solid"/>
              </a:ln>
            </c:spPr>
          </c:marker>
          <c:cat>
            <c:numRef>
              <c:f>D.EM!$AE$4:$AE$29</c:f>
              <c:numCache>
                <c:formatCode>mm/dd/yyyy</c:formatCode>
                <c:ptCount val="26"/>
                <c:pt idx="0">
                  <c:v>38807</c:v>
                </c:pt>
                <c:pt idx="1">
                  <c:v>38898</c:v>
                </c:pt>
                <c:pt idx="2">
                  <c:v>38990</c:v>
                </c:pt>
                <c:pt idx="3">
                  <c:v>39082</c:v>
                </c:pt>
                <c:pt idx="4">
                  <c:v>39172</c:v>
                </c:pt>
                <c:pt idx="5">
                  <c:v>39263</c:v>
                </c:pt>
                <c:pt idx="6">
                  <c:v>39355</c:v>
                </c:pt>
                <c:pt idx="7">
                  <c:v>39447</c:v>
                </c:pt>
                <c:pt idx="8">
                  <c:v>39538</c:v>
                </c:pt>
                <c:pt idx="9">
                  <c:v>39629</c:v>
                </c:pt>
                <c:pt idx="10">
                  <c:v>39721</c:v>
                </c:pt>
                <c:pt idx="11">
                  <c:v>39813</c:v>
                </c:pt>
                <c:pt idx="12">
                  <c:v>39903</c:v>
                </c:pt>
                <c:pt idx="13">
                  <c:v>39994</c:v>
                </c:pt>
                <c:pt idx="14">
                  <c:v>40086</c:v>
                </c:pt>
                <c:pt idx="15">
                  <c:v>40178</c:v>
                </c:pt>
                <c:pt idx="16">
                  <c:v>40268</c:v>
                </c:pt>
                <c:pt idx="17">
                  <c:v>40359</c:v>
                </c:pt>
                <c:pt idx="18">
                  <c:v>40451</c:v>
                </c:pt>
                <c:pt idx="19">
                  <c:v>40543</c:v>
                </c:pt>
                <c:pt idx="20">
                  <c:v>40633</c:v>
                </c:pt>
                <c:pt idx="21">
                  <c:v>40724</c:v>
                </c:pt>
                <c:pt idx="22">
                  <c:v>40816</c:v>
                </c:pt>
                <c:pt idx="23">
                  <c:v>40908</c:v>
                </c:pt>
                <c:pt idx="24">
                  <c:v>40999</c:v>
                </c:pt>
                <c:pt idx="25">
                  <c:v>41090</c:v>
                </c:pt>
              </c:numCache>
            </c:numRef>
          </c:cat>
          <c:val>
            <c:numRef>
              <c:f>D.EM!$AH$4:$AH$29</c:f>
              <c:numCache>
                <c:formatCode>#,##0.0</c:formatCode>
                <c:ptCount val="26"/>
                <c:pt idx="0">
                  <c:v>1.7701704289962086</c:v>
                </c:pt>
                <c:pt idx="1">
                  <c:v>2.1313471873295802</c:v>
                </c:pt>
                <c:pt idx="2">
                  <c:v>1.6801516044690421</c:v>
                </c:pt>
                <c:pt idx="3">
                  <c:v>1.6540077878637351</c:v>
                </c:pt>
                <c:pt idx="4">
                  <c:v>1.8647240212915861</c:v>
                </c:pt>
                <c:pt idx="5">
                  <c:v>1.7536849354197059</c:v>
                </c:pt>
                <c:pt idx="6">
                  <c:v>1.6541877028665217</c:v>
                </c:pt>
                <c:pt idx="7">
                  <c:v>1.5819088093865725</c:v>
                </c:pt>
                <c:pt idx="8">
                  <c:v>1.6905917615437844</c:v>
                </c:pt>
                <c:pt idx="9">
                  <c:v>1.8827043482523282</c:v>
                </c:pt>
                <c:pt idx="10">
                  <c:v>2.3563779623982954</c:v>
                </c:pt>
                <c:pt idx="11">
                  <c:v>2.3631573747380643</c:v>
                </c:pt>
                <c:pt idx="12">
                  <c:v>1.9571728878661045</c:v>
                </c:pt>
                <c:pt idx="13">
                  <c:v>1.6625227477066966</c:v>
                </c:pt>
                <c:pt idx="14">
                  <c:v>1.2603237296597141</c:v>
                </c:pt>
                <c:pt idx="15">
                  <c:v>1.4011398231445515</c:v>
                </c:pt>
                <c:pt idx="16">
                  <c:v>1.2059823129354481</c:v>
                </c:pt>
                <c:pt idx="17">
                  <c:v>1.3458793778282154</c:v>
                </c:pt>
                <c:pt idx="18">
                  <c:v>1.316586607661413</c:v>
                </c:pt>
                <c:pt idx="19">
                  <c:v>1.3396559629939093</c:v>
                </c:pt>
                <c:pt idx="20">
                  <c:v>1.5335190542987573</c:v>
                </c:pt>
                <c:pt idx="21">
                  <c:v>1.5179021944918716</c:v>
                </c:pt>
                <c:pt idx="22">
                  <c:v>1.7307753571126312</c:v>
                </c:pt>
                <c:pt idx="23">
                  <c:v>1.9400098544268221</c:v>
                </c:pt>
                <c:pt idx="24">
                  <c:v>1.539888172365941</c:v>
                </c:pt>
                <c:pt idx="25">
                  <c:v>1.8952257572300737</c:v>
                </c:pt>
              </c:numCache>
            </c:numRef>
          </c:val>
          <c:smooth val="0"/>
        </c:ser>
        <c:dLbls>
          <c:showLegendKey val="0"/>
          <c:showVal val="0"/>
          <c:showCatName val="0"/>
          <c:showSerName val="0"/>
          <c:showPercent val="0"/>
          <c:showBubbleSize val="0"/>
        </c:dLbls>
        <c:marker val="1"/>
        <c:smooth val="0"/>
        <c:axId val="896861696"/>
        <c:axId val="896913792"/>
      </c:lineChart>
      <c:dateAx>
        <c:axId val="896861696"/>
        <c:scaling>
          <c:orientation val="minMax"/>
        </c:scaling>
        <c:delete val="0"/>
        <c:axPos val="b"/>
        <c:numFmt formatCode="yyyy"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Narrow"/>
                <a:ea typeface="Arial Narrow"/>
                <a:cs typeface="Arial Narrow"/>
              </a:defRPr>
            </a:pPr>
            <a:endParaRPr lang="en-US"/>
          </a:p>
        </c:txPr>
        <c:crossAx val="896913792"/>
        <c:crosses val="autoZero"/>
        <c:auto val="1"/>
        <c:lblOffset val="100"/>
        <c:baseTimeUnit val="months"/>
        <c:majorUnit val="1"/>
        <c:majorTimeUnit val="years"/>
        <c:minorUnit val="6"/>
        <c:minorTimeUnit val="months"/>
      </c:dateAx>
      <c:valAx>
        <c:axId val="896913792"/>
        <c:scaling>
          <c:orientation val="minMax"/>
          <c:min val="1"/>
        </c:scaling>
        <c:delete val="0"/>
        <c:axPos val="l"/>
        <c:majorGridlines>
          <c:spPr>
            <a:ln w="3175">
              <a:solidFill>
                <a:srgbClr val="969696"/>
              </a:solidFill>
              <a:prstDash val="solid"/>
            </a:ln>
          </c:spPr>
        </c:majorGridlines>
        <c:title>
          <c:tx>
            <c:rich>
              <a:bodyPr/>
              <a:lstStyle/>
              <a:p>
                <a:pPr>
                  <a:defRPr sz="1200" b="0" i="0" u="none" strike="noStrike" baseline="0">
                    <a:solidFill>
                      <a:srgbClr val="000000"/>
                    </a:solidFill>
                    <a:latin typeface="Arial Narrow"/>
                    <a:ea typeface="Arial Narrow"/>
                    <a:cs typeface="Arial Narrow"/>
                  </a:defRPr>
                </a:pPr>
                <a:r>
                  <a:rPr lang="en-US"/>
                  <a:t>Spread per turn of leverage ratio vs US, x</a:t>
                </a:r>
              </a:p>
            </c:rich>
          </c:tx>
          <c:layout>
            <c:manualLayout>
              <c:xMode val="edge"/>
              <c:yMode val="edge"/>
              <c:x val="3.3333387586893859E-2"/>
              <c:y val="9.7500119018699968E-2"/>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Narrow"/>
                <a:ea typeface="Arial Narrow"/>
                <a:cs typeface="Arial Narrow"/>
              </a:defRPr>
            </a:pPr>
            <a:endParaRPr lang="en-US"/>
          </a:p>
        </c:txPr>
        <c:crossAx val="896861696"/>
        <c:crosses val="autoZero"/>
        <c:crossBetween val="between"/>
      </c:valAx>
      <c:spPr>
        <a:solidFill>
          <a:srgbClr val="FFFFFF"/>
        </a:solidFill>
        <a:ln w="3175">
          <a:solidFill>
            <a:srgbClr val="000000"/>
          </a:solidFill>
          <a:prstDash val="solid"/>
        </a:ln>
      </c:spPr>
    </c:plotArea>
    <c:legend>
      <c:legendPos val="b"/>
      <c:layout>
        <c:manualLayout>
          <c:xMode val="edge"/>
          <c:yMode val="edge"/>
          <c:x val="8.3333468967234647E-3"/>
          <c:y val="0.88500108032358438"/>
          <c:w val="0.98000159505467943"/>
          <c:h val="6.5000079345799988E-2"/>
        </c:manualLayout>
      </c:layout>
      <c:overlay val="0"/>
      <c:spPr>
        <a:solidFill>
          <a:srgbClr val="FFFFFF"/>
        </a:solidFill>
        <a:ln w="25400">
          <a:noFill/>
        </a:ln>
      </c:spPr>
      <c:txPr>
        <a:bodyPr/>
        <a:lstStyle/>
        <a:p>
          <a:pPr>
            <a:defRPr sz="1100" b="0" i="0" u="none" strike="noStrike" baseline="0">
              <a:solidFill>
                <a:srgbClr val="000000"/>
              </a:solidFill>
              <a:latin typeface="Arial Narrow"/>
              <a:ea typeface="Arial Narrow"/>
              <a:cs typeface="Arial Narrow"/>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333350151937096"/>
          <c:y val="4.7500057983469221E-2"/>
          <c:w val="0.86000139974186152"/>
          <c:h val="0.75750092468374597"/>
        </c:manualLayout>
      </c:layout>
      <c:barChart>
        <c:barDir val="col"/>
        <c:grouping val="clustered"/>
        <c:varyColors val="0"/>
        <c:ser>
          <c:idx val="0"/>
          <c:order val="0"/>
          <c:tx>
            <c:strRef>
              <c:f>'Leverage &amp; Liquidity'!$K$6</c:f>
              <c:strCache>
                <c:ptCount val="1"/>
                <c:pt idx="0">
                  <c:v>LatAm Cash as a Pct of total debt</c:v>
                </c:pt>
              </c:strCache>
            </c:strRef>
          </c:tx>
          <c:spPr>
            <a:solidFill>
              <a:srgbClr val="FF6600"/>
            </a:solidFill>
            <a:ln w="12700">
              <a:solidFill>
                <a:srgbClr val="808080"/>
              </a:solidFill>
              <a:prstDash val="solid"/>
            </a:ln>
          </c:spPr>
          <c:invertIfNegative val="0"/>
          <c:cat>
            <c:numRef>
              <c:f>'Leverage &amp; Liquidity'!$B$7:$B$32</c:f>
              <c:numCache>
                <c:formatCode>mm/dd/yyyy</c:formatCode>
                <c:ptCount val="26"/>
                <c:pt idx="0">
                  <c:v>38807</c:v>
                </c:pt>
                <c:pt idx="1">
                  <c:v>38898</c:v>
                </c:pt>
                <c:pt idx="2">
                  <c:v>38990</c:v>
                </c:pt>
                <c:pt idx="3">
                  <c:v>39082</c:v>
                </c:pt>
                <c:pt idx="4">
                  <c:v>39172</c:v>
                </c:pt>
                <c:pt idx="5">
                  <c:v>39263</c:v>
                </c:pt>
                <c:pt idx="6">
                  <c:v>39355</c:v>
                </c:pt>
                <c:pt idx="7">
                  <c:v>39447</c:v>
                </c:pt>
                <c:pt idx="8">
                  <c:v>39538</c:v>
                </c:pt>
                <c:pt idx="9">
                  <c:v>39629</c:v>
                </c:pt>
                <c:pt idx="10">
                  <c:v>39721</c:v>
                </c:pt>
                <c:pt idx="11">
                  <c:v>39813</c:v>
                </c:pt>
                <c:pt idx="12">
                  <c:v>39903</c:v>
                </c:pt>
                <c:pt idx="13">
                  <c:v>39994</c:v>
                </c:pt>
                <c:pt idx="14">
                  <c:v>40086</c:v>
                </c:pt>
                <c:pt idx="15">
                  <c:v>40178</c:v>
                </c:pt>
                <c:pt idx="16">
                  <c:v>40268</c:v>
                </c:pt>
                <c:pt idx="17">
                  <c:v>40359</c:v>
                </c:pt>
                <c:pt idx="18">
                  <c:v>40451</c:v>
                </c:pt>
                <c:pt idx="19">
                  <c:v>40543</c:v>
                </c:pt>
                <c:pt idx="20">
                  <c:v>40633</c:v>
                </c:pt>
                <c:pt idx="21">
                  <c:v>40724</c:v>
                </c:pt>
                <c:pt idx="22">
                  <c:v>40816</c:v>
                </c:pt>
                <c:pt idx="23">
                  <c:v>40908</c:v>
                </c:pt>
                <c:pt idx="24">
                  <c:v>40999</c:v>
                </c:pt>
                <c:pt idx="25">
                  <c:v>41090</c:v>
                </c:pt>
              </c:numCache>
            </c:numRef>
          </c:cat>
          <c:val>
            <c:numRef>
              <c:f>'Leverage &amp; Liquidity'!$K$7:$K$32</c:f>
              <c:numCache>
                <c:formatCode>#,##0</c:formatCode>
                <c:ptCount val="26"/>
                <c:pt idx="0">
                  <c:v>12.228479184248775</c:v>
                </c:pt>
                <c:pt idx="1">
                  <c:v>12.843699509926477</c:v>
                </c:pt>
                <c:pt idx="2">
                  <c:v>12.395311988920591</c:v>
                </c:pt>
                <c:pt idx="3">
                  <c:v>16.304730309699622</c:v>
                </c:pt>
                <c:pt idx="4">
                  <c:v>9.3892928082434235</c:v>
                </c:pt>
                <c:pt idx="5">
                  <c:v>12.049242513011347</c:v>
                </c:pt>
                <c:pt idx="6">
                  <c:v>12.876547251805428</c:v>
                </c:pt>
                <c:pt idx="7">
                  <c:v>15.166094320559361</c:v>
                </c:pt>
                <c:pt idx="8">
                  <c:v>37.702030753691901</c:v>
                </c:pt>
                <c:pt idx="9">
                  <c:v>41.476917762406096</c:v>
                </c:pt>
                <c:pt idx="10">
                  <c:v>37.086951550505802</c:v>
                </c:pt>
                <c:pt idx="11">
                  <c:v>26.90210803143918</c:v>
                </c:pt>
                <c:pt idx="12">
                  <c:v>18.214726970988622</c:v>
                </c:pt>
                <c:pt idx="13">
                  <c:v>16.829267205092904</c:v>
                </c:pt>
                <c:pt idx="14">
                  <c:v>19.854782719328355</c:v>
                </c:pt>
                <c:pt idx="15">
                  <c:v>25.44113372238132</c:v>
                </c:pt>
                <c:pt idx="16">
                  <c:v>28.91432057769061</c:v>
                </c:pt>
                <c:pt idx="17">
                  <c:v>28.410740290589604</c:v>
                </c:pt>
                <c:pt idx="18">
                  <c:v>31.769582029514819</c:v>
                </c:pt>
                <c:pt idx="19">
                  <c:v>24.67782489876512</c:v>
                </c:pt>
                <c:pt idx="20">
                  <c:v>21.852233011209911</c:v>
                </c:pt>
                <c:pt idx="21">
                  <c:v>25.468554290882643</c:v>
                </c:pt>
                <c:pt idx="22">
                  <c:v>23.721428470934356</c:v>
                </c:pt>
                <c:pt idx="23">
                  <c:v>23.845218349447201</c:v>
                </c:pt>
                <c:pt idx="24">
                  <c:v>20.528150796104459</c:v>
                </c:pt>
                <c:pt idx="25">
                  <c:v>19.502700307025659</c:v>
                </c:pt>
              </c:numCache>
            </c:numRef>
          </c:val>
        </c:ser>
        <c:ser>
          <c:idx val="1"/>
          <c:order val="1"/>
          <c:tx>
            <c:strRef>
              <c:f>'Leverage &amp; Liquidity'!$Z$6</c:f>
              <c:strCache>
                <c:ptCount val="1"/>
                <c:pt idx="0">
                  <c:v>US HY Cash as a Pct of total debt</c:v>
                </c:pt>
              </c:strCache>
            </c:strRef>
          </c:tx>
          <c:spPr>
            <a:solidFill>
              <a:srgbClr val="003366"/>
            </a:solidFill>
            <a:ln w="12700">
              <a:solidFill>
                <a:srgbClr val="808080"/>
              </a:solidFill>
              <a:prstDash val="solid"/>
            </a:ln>
          </c:spPr>
          <c:invertIfNegative val="0"/>
          <c:cat>
            <c:numRef>
              <c:f>'Leverage &amp; Liquidity'!$B$7:$B$32</c:f>
              <c:numCache>
                <c:formatCode>mm/dd/yyyy</c:formatCode>
                <c:ptCount val="26"/>
                <c:pt idx="0">
                  <c:v>38807</c:v>
                </c:pt>
                <c:pt idx="1">
                  <c:v>38898</c:v>
                </c:pt>
                <c:pt idx="2">
                  <c:v>38990</c:v>
                </c:pt>
                <c:pt idx="3">
                  <c:v>39082</c:v>
                </c:pt>
                <c:pt idx="4">
                  <c:v>39172</c:v>
                </c:pt>
                <c:pt idx="5">
                  <c:v>39263</c:v>
                </c:pt>
                <c:pt idx="6">
                  <c:v>39355</c:v>
                </c:pt>
                <c:pt idx="7">
                  <c:v>39447</c:v>
                </c:pt>
                <c:pt idx="8">
                  <c:v>39538</c:v>
                </c:pt>
                <c:pt idx="9">
                  <c:v>39629</c:v>
                </c:pt>
                <c:pt idx="10">
                  <c:v>39721</c:v>
                </c:pt>
                <c:pt idx="11">
                  <c:v>39813</c:v>
                </c:pt>
                <c:pt idx="12">
                  <c:v>39903</c:v>
                </c:pt>
                <c:pt idx="13">
                  <c:v>39994</c:v>
                </c:pt>
                <c:pt idx="14">
                  <c:v>40086</c:v>
                </c:pt>
                <c:pt idx="15">
                  <c:v>40178</c:v>
                </c:pt>
                <c:pt idx="16">
                  <c:v>40268</c:v>
                </c:pt>
                <c:pt idx="17">
                  <c:v>40359</c:v>
                </c:pt>
                <c:pt idx="18">
                  <c:v>40451</c:v>
                </c:pt>
                <c:pt idx="19">
                  <c:v>40543</c:v>
                </c:pt>
                <c:pt idx="20">
                  <c:v>40633</c:v>
                </c:pt>
                <c:pt idx="21">
                  <c:v>40724</c:v>
                </c:pt>
                <c:pt idx="22">
                  <c:v>40816</c:v>
                </c:pt>
                <c:pt idx="23">
                  <c:v>40908</c:v>
                </c:pt>
                <c:pt idx="24">
                  <c:v>40999</c:v>
                </c:pt>
                <c:pt idx="25">
                  <c:v>41090</c:v>
                </c:pt>
              </c:numCache>
            </c:numRef>
          </c:cat>
          <c:val>
            <c:numRef>
              <c:f>'Leverage &amp; Liquidity'!$Z$7:$Z$32</c:f>
              <c:numCache>
                <c:formatCode>0.0</c:formatCode>
                <c:ptCount val="26"/>
                <c:pt idx="0">
                  <c:v>15.446396319285682</c:v>
                </c:pt>
                <c:pt idx="1">
                  <c:v>14.540263741805266</c:v>
                </c:pt>
                <c:pt idx="2">
                  <c:v>14.264442569580273</c:v>
                </c:pt>
                <c:pt idx="3">
                  <c:v>15.255297326976633</c:v>
                </c:pt>
                <c:pt idx="4">
                  <c:v>13.308034856797013</c:v>
                </c:pt>
                <c:pt idx="5">
                  <c:v>13.512406692506051</c:v>
                </c:pt>
                <c:pt idx="6">
                  <c:v>14.326837224694005</c:v>
                </c:pt>
                <c:pt idx="7">
                  <c:v>13.894380751783544</c:v>
                </c:pt>
                <c:pt idx="8">
                  <c:v>12.232436613751926</c:v>
                </c:pt>
                <c:pt idx="9">
                  <c:v>13.510229512093245</c:v>
                </c:pt>
                <c:pt idx="10">
                  <c:v>11.848108682332672</c:v>
                </c:pt>
                <c:pt idx="11">
                  <c:v>12.826183484661094</c:v>
                </c:pt>
                <c:pt idx="12">
                  <c:v>12.141366753138815</c:v>
                </c:pt>
                <c:pt idx="13">
                  <c:v>13.923792654192058</c:v>
                </c:pt>
                <c:pt idx="14">
                  <c:v>15.600856424331019</c:v>
                </c:pt>
                <c:pt idx="15">
                  <c:v>16.597666936915509</c:v>
                </c:pt>
                <c:pt idx="16">
                  <c:v>15.81754682151136</c:v>
                </c:pt>
                <c:pt idx="17">
                  <c:v>14.729895125503809</c:v>
                </c:pt>
                <c:pt idx="18">
                  <c:v>15.510622172019673</c:v>
                </c:pt>
                <c:pt idx="19">
                  <c:v>14.508676190463095</c:v>
                </c:pt>
                <c:pt idx="20">
                  <c:v>14.590072070210802</c:v>
                </c:pt>
                <c:pt idx="21">
                  <c:v>13.828415093843208</c:v>
                </c:pt>
                <c:pt idx="22">
                  <c:v>13.079975972953278</c:v>
                </c:pt>
                <c:pt idx="23">
                  <c:v>13.373596013120354</c:v>
                </c:pt>
                <c:pt idx="24">
                  <c:v>12.772510027030961</c:v>
                </c:pt>
                <c:pt idx="25">
                  <c:v>12.801172950131734</c:v>
                </c:pt>
              </c:numCache>
            </c:numRef>
          </c:val>
        </c:ser>
        <c:dLbls>
          <c:showLegendKey val="0"/>
          <c:showVal val="0"/>
          <c:showCatName val="0"/>
          <c:showSerName val="0"/>
          <c:showPercent val="0"/>
          <c:showBubbleSize val="0"/>
        </c:dLbls>
        <c:gapWidth val="25"/>
        <c:axId val="578996864"/>
        <c:axId val="579006848"/>
      </c:barChart>
      <c:catAx>
        <c:axId val="578996864"/>
        <c:scaling>
          <c:orientation val="minMax"/>
        </c:scaling>
        <c:delete val="0"/>
        <c:axPos val="b"/>
        <c:numFmt formatCode="yyyy"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Narrow"/>
                <a:ea typeface="Arial Narrow"/>
                <a:cs typeface="Arial Narrow"/>
              </a:defRPr>
            </a:pPr>
            <a:endParaRPr lang="en-US"/>
          </a:p>
        </c:txPr>
        <c:crossAx val="579006848"/>
        <c:crosses val="autoZero"/>
        <c:auto val="0"/>
        <c:lblAlgn val="ctr"/>
        <c:lblOffset val="100"/>
        <c:tickLblSkip val="4"/>
        <c:tickMarkSkip val="4"/>
        <c:noMultiLvlLbl val="0"/>
      </c:catAx>
      <c:valAx>
        <c:axId val="579006848"/>
        <c:scaling>
          <c:orientation val="minMax"/>
        </c:scaling>
        <c:delete val="0"/>
        <c:axPos val="l"/>
        <c:majorGridlines>
          <c:spPr>
            <a:ln w="12700">
              <a:solidFill>
                <a:srgbClr val="969696"/>
              </a:solidFill>
              <a:prstDash val="solid"/>
            </a:ln>
          </c:spPr>
        </c:majorGridlines>
        <c:title>
          <c:tx>
            <c:rich>
              <a:bodyPr/>
              <a:lstStyle/>
              <a:p>
                <a:pPr>
                  <a:defRPr sz="1200" b="0" i="0" u="none" strike="noStrike" baseline="0">
                    <a:solidFill>
                      <a:srgbClr val="000000"/>
                    </a:solidFill>
                    <a:latin typeface="Arial Narrow"/>
                    <a:ea typeface="Arial Narrow"/>
                    <a:cs typeface="Arial Narrow"/>
                  </a:defRPr>
                </a:pPr>
                <a:r>
                  <a:rPr lang="en-US"/>
                  <a:t>Cash to Total Debt, %</a:t>
                </a:r>
              </a:p>
            </c:rich>
          </c:tx>
          <c:layout>
            <c:manualLayout>
              <c:xMode val="edge"/>
              <c:yMode val="edge"/>
              <c:x val="8.3333468967234647E-3"/>
              <c:y val="0.260000317383199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Narrow"/>
                <a:ea typeface="Arial Narrow"/>
                <a:cs typeface="Arial Narrow"/>
              </a:defRPr>
            </a:pPr>
            <a:endParaRPr lang="en-US"/>
          </a:p>
        </c:txPr>
        <c:crossAx val="578996864"/>
        <c:crosses val="autoZero"/>
        <c:crossBetween val="between"/>
      </c:valAx>
      <c:spPr>
        <a:noFill/>
        <a:ln w="12700">
          <a:solidFill>
            <a:srgbClr val="808080"/>
          </a:solidFill>
          <a:prstDash val="solid"/>
        </a:ln>
      </c:spPr>
    </c:plotArea>
    <c:legend>
      <c:legendPos val="r"/>
      <c:layout>
        <c:manualLayout>
          <c:xMode val="edge"/>
          <c:yMode val="edge"/>
          <c:x val="0.18500030110726093"/>
          <c:y val="0.90000109863415356"/>
          <c:w val="0.78500127767135042"/>
          <c:h val="6.2500076294038448E-2"/>
        </c:manualLayout>
      </c:layout>
      <c:overlay val="0"/>
      <c:spPr>
        <a:solidFill>
          <a:srgbClr val="FFFFFF"/>
        </a:solidFill>
        <a:ln w="25400">
          <a:noFill/>
        </a:ln>
      </c:spPr>
      <c:txPr>
        <a:bodyPr/>
        <a:lstStyle/>
        <a:p>
          <a:pPr>
            <a:defRPr sz="1100" b="0" i="0" u="none" strike="noStrike" baseline="0">
              <a:solidFill>
                <a:srgbClr val="000000"/>
              </a:solidFill>
              <a:latin typeface="Arial Narrow"/>
              <a:ea typeface="Arial Narrow"/>
              <a:cs typeface="Arial Narrow"/>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000019531281789"/>
          <c:y val="5.0000061035230754E-2"/>
          <c:w val="0.85666806098317216"/>
          <c:h val="0.74500090942493824"/>
        </c:manualLayout>
      </c:layout>
      <c:barChart>
        <c:barDir val="col"/>
        <c:grouping val="clustered"/>
        <c:varyColors val="0"/>
        <c:ser>
          <c:idx val="0"/>
          <c:order val="0"/>
          <c:tx>
            <c:strRef>
              <c:f>'Leverage &amp; Liquidity'!$M$6</c:f>
              <c:strCache>
                <c:ptCount val="1"/>
                <c:pt idx="0">
                  <c:v>LatAm ST debt as a Pct of total</c:v>
                </c:pt>
              </c:strCache>
            </c:strRef>
          </c:tx>
          <c:spPr>
            <a:solidFill>
              <a:srgbClr val="FF6600"/>
            </a:solidFill>
            <a:ln w="12700">
              <a:solidFill>
                <a:srgbClr val="808080"/>
              </a:solidFill>
              <a:prstDash val="solid"/>
            </a:ln>
          </c:spPr>
          <c:invertIfNegative val="0"/>
          <c:cat>
            <c:numRef>
              <c:f>'Leverage &amp; Liquidity'!$B$7:$B$32</c:f>
              <c:numCache>
                <c:formatCode>mm/dd/yyyy</c:formatCode>
                <c:ptCount val="26"/>
                <c:pt idx="0">
                  <c:v>38807</c:v>
                </c:pt>
                <c:pt idx="1">
                  <c:v>38898</c:v>
                </c:pt>
                <c:pt idx="2">
                  <c:v>38990</c:v>
                </c:pt>
                <c:pt idx="3">
                  <c:v>39082</c:v>
                </c:pt>
                <c:pt idx="4">
                  <c:v>39172</c:v>
                </c:pt>
                <c:pt idx="5">
                  <c:v>39263</c:v>
                </c:pt>
                <c:pt idx="6">
                  <c:v>39355</c:v>
                </c:pt>
                <c:pt idx="7">
                  <c:v>39447</c:v>
                </c:pt>
                <c:pt idx="8">
                  <c:v>39538</c:v>
                </c:pt>
                <c:pt idx="9">
                  <c:v>39629</c:v>
                </c:pt>
                <c:pt idx="10">
                  <c:v>39721</c:v>
                </c:pt>
                <c:pt idx="11">
                  <c:v>39813</c:v>
                </c:pt>
                <c:pt idx="12">
                  <c:v>39903</c:v>
                </c:pt>
                <c:pt idx="13">
                  <c:v>39994</c:v>
                </c:pt>
                <c:pt idx="14">
                  <c:v>40086</c:v>
                </c:pt>
                <c:pt idx="15">
                  <c:v>40178</c:v>
                </c:pt>
                <c:pt idx="16">
                  <c:v>40268</c:v>
                </c:pt>
                <c:pt idx="17">
                  <c:v>40359</c:v>
                </c:pt>
                <c:pt idx="18">
                  <c:v>40451</c:v>
                </c:pt>
                <c:pt idx="19">
                  <c:v>40543</c:v>
                </c:pt>
                <c:pt idx="20">
                  <c:v>40633</c:v>
                </c:pt>
                <c:pt idx="21">
                  <c:v>40724</c:v>
                </c:pt>
                <c:pt idx="22">
                  <c:v>40816</c:v>
                </c:pt>
                <c:pt idx="23">
                  <c:v>40908</c:v>
                </c:pt>
                <c:pt idx="24">
                  <c:v>40999</c:v>
                </c:pt>
                <c:pt idx="25">
                  <c:v>41090</c:v>
                </c:pt>
              </c:numCache>
            </c:numRef>
          </c:cat>
          <c:val>
            <c:numRef>
              <c:f>'Leverage &amp; Liquidity'!$M$7:$M$32</c:f>
              <c:numCache>
                <c:formatCode>#,##0</c:formatCode>
                <c:ptCount val="26"/>
                <c:pt idx="0">
                  <c:v>19.916619896995993</c:v>
                </c:pt>
                <c:pt idx="1">
                  <c:v>21.087804311718372</c:v>
                </c:pt>
                <c:pt idx="2">
                  <c:v>21.866893095171179</c:v>
                </c:pt>
                <c:pt idx="3">
                  <c:v>17.823613047317608</c:v>
                </c:pt>
                <c:pt idx="4">
                  <c:v>18.019185309966719</c:v>
                </c:pt>
                <c:pt idx="5">
                  <c:v>16.640092578080036</c:v>
                </c:pt>
                <c:pt idx="6">
                  <c:v>18.028987488249825</c:v>
                </c:pt>
                <c:pt idx="7">
                  <c:v>17.820102202984121</c:v>
                </c:pt>
                <c:pt idx="8">
                  <c:v>16.477165995177081</c:v>
                </c:pt>
                <c:pt idx="9">
                  <c:v>18.797704037896981</c:v>
                </c:pt>
                <c:pt idx="10">
                  <c:v>19.329496690842745</c:v>
                </c:pt>
                <c:pt idx="11">
                  <c:v>24.226182509589361</c:v>
                </c:pt>
                <c:pt idx="12">
                  <c:v>20.903794352492579</c:v>
                </c:pt>
                <c:pt idx="13">
                  <c:v>22.731682978102587</c:v>
                </c:pt>
                <c:pt idx="14">
                  <c:v>16.46423872880673</c:v>
                </c:pt>
                <c:pt idx="15">
                  <c:v>15.223612747324234</c:v>
                </c:pt>
                <c:pt idx="16">
                  <c:v>16.359613718730497</c:v>
                </c:pt>
                <c:pt idx="17">
                  <c:v>16.929778564565392</c:v>
                </c:pt>
                <c:pt idx="18">
                  <c:v>17.171412446166574</c:v>
                </c:pt>
                <c:pt idx="19">
                  <c:v>16.710036015297195</c:v>
                </c:pt>
                <c:pt idx="20">
                  <c:v>16.304920104971227</c:v>
                </c:pt>
                <c:pt idx="21">
                  <c:v>16.183472440285641</c:v>
                </c:pt>
                <c:pt idx="22">
                  <c:v>16.055308014838644</c:v>
                </c:pt>
                <c:pt idx="23">
                  <c:v>19.252786104892088</c:v>
                </c:pt>
                <c:pt idx="24">
                  <c:v>17.947874379530287</c:v>
                </c:pt>
                <c:pt idx="25">
                  <c:v>16.132405315514031</c:v>
                </c:pt>
              </c:numCache>
            </c:numRef>
          </c:val>
        </c:ser>
        <c:ser>
          <c:idx val="1"/>
          <c:order val="1"/>
          <c:tx>
            <c:strRef>
              <c:f>'Leverage &amp; Liquidity'!$AA$6</c:f>
              <c:strCache>
                <c:ptCount val="1"/>
                <c:pt idx="0">
                  <c:v>US HY ST debt as a Pct of total</c:v>
                </c:pt>
              </c:strCache>
            </c:strRef>
          </c:tx>
          <c:spPr>
            <a:solidFill>
              <a:srgbClr val="003366"/>
            </a:solidFill>
            <a:ln w="12700">
              <a:solidFill>
                <a:srgbClr val="808080"/>
              </a:solidFill>
              <a:prstDash val="solid"/>
            </a:ln>
          </c:spPr>
          <c:invertIfNegative val="0"/>
          <c:cat>
            <c:numRef>
              <c:f>'Leverage &amp; Liquidity'!$B$7:$B$32</c:f>
              <c:numCache>
                <c:formatCode>mm/dd/yyyy</c:formatCode>
                <c:ptCount val="26"/>
                <c:pt idx="0">
                  <c:v>38807</c:v>
                </c:pt>
                <c:pt idx="1">
                  <c:v>38898</c:v>
                </c:pt>
                <c:pt idx="2">
                  <c:v>38990</c:v>
                </c:pt>
                <c:pt idx="3">
                  <c:v>39082</c:v>
                </c:pt>
                <c:pt idx="4">
                  <c:v>39172</c:v>
                </c:pt>
                <c:pt idx="5">
                  <c:v>39263</c:v>
                </c:pt>
                <c:pt idx="6">
                  <c:v>39355</c:v>
                </c:pt>
                <c:pt idx="7">
                  <c:v>39447</c:v>
                </c:pt>
                <c:pt idx="8">
                  <c:v>39538</c:v>
                </c:pt>
                <c:pt idx="9">
                  <c:v>39629</c:v>
                </c:pt>
                <c:pt idx="10">
                  <c:v>39721</c:v>
                </c:pt>
                <c:pt idx="11">
                  <c:v>39813</c:v>
                </c:pt>
                <c:pt idx="12">
                  <c:v>39903</c:v>
                </c:pt>
                <c:pt idx="13">
                  <c:v>39994</c:v>
                </c:pt>
                <c:pt idx="14">
                  <c:v>40086</c:v>
                </c:pt>
                <c:pt idx="15">
                  <c:v>40178</c:v>
                </c:pt>
                <c:pt idx="16">
                  <c:v>40268</c:v>
                </c:pt>
                <c:pt idx="17">
                  <c:v>40359</c:v>
                </c:pt>
                <c:pt idx="18">
                  <c:v>40451</c:v>
                </c:pt>
                <c:pt idx="19">
                  <c:v>40543</c:v>
                </c:pt>
                <c:pt idx="20">
                  <c:v>40633</c:v>
                </c:pt>
                <c:pt idx="21">
                  <c:v>40724</c:v>
                </c:pt>
                <c:pt idx="22">
                  <c:v>40816</c:v>
                </c:pt>
                <c:pt idx="23">
                  <c:v>40908</c:v>
                </c:pt>
                <c:pt idx="24">
                  <c:v>40999</c:v>
                </c:pt>
                <c:pt idx="25">
                  <c:v>41090</c:v>
                </c:pt>
              </c:numCache>
            </c:numRef>
          </c:cat>
          <c:val>
            <c:numRef>
              <c:f>'Leverage &amp; Liquidity'!$AA$7:$AA$32</c:f>
              <c:numCache>
                <c:formatCode>0.0</c:formatCode>
                <c:ptCount val="26"/>
                <c:pt idx="0">
                  <c:v>9.2020930902237712</c:v>
                </c:pt>
                <c:pt idx="1">
                  <c:v>9.7565107658181915</c:v>
                </c:pt>
                <c:pt idx="2">
                  <c:v>9.7201215332362292</c:v>
                </c:pt>
                <c:pt idx="3">
                  <c:v>8.7023946218296508</c:v>
                </c:pt>
                <c:pt idx="4">
                  <c:v>8.0884392464115553</c:v>
                </c:pt>
                <c:pt idx="5">
                  <c:v>8.5844139211991415</c:v>
                </c:pt>
                <c:pt idx="6">
                  <c:v>9.3289899234560973</c:v>
                </c:pt>
                <c:pt idx="7">
                  <c:v>7.977472569227853</c:v>
                </c:pt>
                <c:pt idx="8">
                  <c:v>7.8299703583687625</c:v>
                </c:pt>
                <c:pt idx="9">
                  <c:v>8.2701148128897763</c:v>
                </c:pt>
                <c:pt idx="10">
                  <c:v>8.5092872661100412</c:v>
                </c:pt>
                <c:pt idx="11">
                  <c:v>9.0400110763641113</c:v>
                </c:pt>
                <c:pt idx="12">
                  <c:v>10.73398649961786</c:v>
                </c:pt>
                <c:pt idx="13">
                  <c:v>8.2741913805866965</c:v>
                </c:pt>
                <c:pt idx="14">
                  <c:v>7.2593013288918939</c:v>
                </c:pt>
                <c:pt idx="15">
                  <c:v>7.6337939162971891</c:v>
                </c:pt>
                <c:pt idx="16">
                  <c:v>8.0793927269880559</c:v>
                </c:pt>
                <c:pt idx="17">
                  <c:v>8.063833227037577</c:v>
                </c:pt>
                <c:pt idx="18">
                  <c:v>7.7671233344729886</c:v>
                </c:pt>
                <c:pt idx="19">
                  <c:v>8.1357765451484116</c:v>
                </c:pt>
                <c:pt idx="20">
                  <c:v>8.0868818353324041</c:v>
                </c:pt>
                <c:pt idx="21">
                  <c:v>7.8710555868770768</c:v>
                </c:pt>
                <c:pt idx="22">
                  <c:v>7.9243049480418062</c:v>
                </c:pt>
                <c:pt idx="23">
                  <c:v>7.1217450170273686</c:v>
                </c:pt>
                <c:pt idx="24">
                  <c:v>6.9446852724588153</c:v>
                </c:pt>
                <c:pt idx="25">
                  <c:v>7.3379050713342471</c:v>
                </c:pt>
              </c:numCache>
            </c:numRef>
          </c:val>
        </c:ser>
        <c:dLbls>
          <c:showLegendKey val="0"/>
          <c:showVal val="0"/>
          <c:showCatName val="0"/>
          <c:showSerName val="0"/>
          <c:showPercent val="0"/>
          <c:showBubbleSize val="0"/>
        </c:dLbls>
        <c:gapWidth val="25"/>
        <c:axId val="579024000"/>
        <c:axId val="579025536"/>
      </c:barChart>
      <c:catAx>
        <c:axId val="579024000"/>
        <c:scaling>
          <c:orientation val="minMax"/>
        </c:scaling>
        <c:delete val="0"/>
        <c:axPos val="b"/>
        <c:numFmt formatCode="yyyy"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Narrow"/>
                <a:ea typeface="Arial Narrow"/>
                <a:cs typeface="Arial Narrow"/>
              </a:defRPr>
            </a:pPr>
            <a:endParaRPr lang="en-US"/>
          </a:p>
        </c:txPr>
        <c:crossAx val="579025536"/>
        <c:crosses val="autoZero"/>
        <c:auto val="0"/>
        <c:lblAlgn val="ctr"/>
        <c:lblOffset val="100"/>
        <c:tickLblSkip val="4"/>
        <c:tickMarkSkip val="4"/>
        <c:noMultiLvlLbl val="0"/>
      </c:catAx>
      <c:valAx>
        <c:axId val="579025536"/>
        <c:scaling>
          <c:orientation val="minMax"/>
        </c:scaling>
        <c:delete val="0"/>
        <c:axPos val="l"/>
        <c:majorGridlines>
          <c:spPr>
            <a:ln w="12700">
              <a:solidFill>
                <a:srgbClr val="969696"/>
              </a:solidFill>
              <a:prstDash val="solid"/>
            </a:ln>
          </c:spPr>
        </c:majorGridlines>
        <c:title>
          <c:tx>
            <c:rich>
              <a:bodyPr/>
              <a:lstStyle/>
              <a:p>
                <a:pPr>
                  <a:defRPr sz="1200" b="0" i="0" u="none" strike="noStrike" baseline="0">
                    <a:solidFill>
                      <a:srgbClr val="000000"/>
                    </a:solidFill>
                    <a:latin typeface="Arial Narrow"/>
                    <a:ea typeface="Arial Narrow"/>
                    <a:cs typeface="Arial Narrow"/>
                  </a:defRPr>
                </a:pPr>
                <a:r>
                  <a:rPr lang="en-US"/>
                  <a:t>ST Debt to Total Debt, %</a:t>
                </a:r>
              </a:p>
            </c:rich>
          </c:tx>
          <c:layout>
            <c:manualLayout>
              <c:xMode val="edge"/>
              <c:yMode val="edge"/>
              <c:x val="8.3333468967234647E-3"/>
              <c:y val="0.2350002868655845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Narrow"/>
                <a:ea typeface="Arial Narrow"/>
                <a:cs typeface="Arial Narrow"/>
              </a:defRPr>
            </a:pPr>
            <a:endParaRPr lang="en-US"/>
          </a:p>
        </c:txPr>
        <c:crossAx val="579024000"/>
        <c:crosses val="autoZero"/>
        <c:crossBetween val="between"/>
      </c:valAx>
      <c:spPr>
        <a:noFill/>
        <a:ln w="12700">
          <a:solidFill>
            <a:srgbClr val="808080"/>
          </a:solidFill>
          <a:prstDash val="solid"/>
        </a:ln>
      </c:spPr>
    </c:plotArea>
    <c:legend>
      <c:legendPos val="b"/>
      <c:layout>
        <c:manualLayout>
          <c:xMode val="edge"/>
          <c:yMode val="edge"/>
          <c:x val="0.17000027669315868"/>
          <c:y val="0.9050011047376767"/>
          <c:w val="0.76833458387790343"/>
          <c:h val="6.2500076294038448E-2"/>
        </c:manualLayout>
      </c:layout>
      <c:overlay val="0"/>
      <c:spPr>
        <a:solidFill>
          <a:srgbClr val="FFFFFF"/>
        </a:solidFill>
        <a:ln w="25400">
          <a:noFill/>
        </a:ln>
      </c:spPr>
      <c:txPr>
        <a:bodyPr/>
        <a:lstStyle/>
        <a:p>
          <a:pPr>
            <a:defRPr sz="1100" b="0" i="0" u="none" strike="noStrike" baseline="0">
              <a:solidFill>
                <a:srgbClr val="000000"/>
              </a:solidFill>
              <a:latin typeface="Arial Narrow"/>
              <a:ea typeface="Arial Narrow"/>
              <a:cs typeface="Arial Narrow"/>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47264038503567"/>
          <c:y val="4.738154613466334E-2"/>
          <c:w val="0.78868616489295584"/>
          <c:h val="0.76059850374064841"/>
        </c:manualLayout>
      </c:layout>
      <c:lineChart>
        <c:grouping val="standard"/>
        <c:varyColors val="0"/>
        <c:ser>
          <c:idx val="1"/>
          <c:order val="0"/>
          <c:tx>
            <c:strRef>
              <c:f>'Leverage &amp; Liquidity'!$AC$6</c:f>
              <c:strCache>
                <c:ptCount val="1"/>
                <c:pt idx="0">
                  <c:v>LatAm HY Corporates vs. US HY Corporates ratio, x</c:v>
                </c:pt>
              </c:strCache>
            </c:strRef>
          </c:tx>
          <c:spPr>
            <a:ln w="25400">
              <a:solidFill>
                <a:srgbClr val="FF6600"/>
              </a:solidFill>
              <a:prstDash val="solid"/>
            </a:ln>
          </c:spPr>
          <c:marker>
            <c:symbol val="square"/>
            <c:size val="7"/>
            <c:spPr>
              <a:solidFill>
                <a:srgbClr val="FF6600"/>
              </a:solidFill>
              <a:ln>
                <a:solidFill>
                  <a:srgbClr val="FF6600"/>
                </a:solidFill>
                <a:prstDash val="solid"/>
              </a:ln>
            </c:spPr>
          </c:marker>
          <c:cat>
            <c:numRef>
              <c:f>'Leverage &amp; Liquidity'!$B$7:$B$32</c:f>
              <c:numCache>
                <c:formatCode>mm/dd/yyyy</c:formatCode>
                <c:ptCount val="26"/>
                <c:pt idx="0">
                  <c:v>38807</c:v>
                </c:pt>
                <c:pt idx="1">
                  <c:v>38898</c:v>
                </c:pt>
                <c:pt idx="2">
                  <c:v>38990</c:v>
                </c:pt>
                <c:pt idx="3">
                  <c:v>39082</c:v>
                </c:pt>
                <c:pt idx="4">
                  <c:v>39172</c:v>
                </c:pt>
                <c:pt idx="5">
                  <c:v>39263</c:v>
                </c:pt>
                <c:pt idx="6">
                  <c:v>39355</c:v>
                </c:pt>
                <c:pt idx="7">
                  <c:v>39447</c:v>
                </c:pt>
                <c:pt idx="8">
                  <c:v>39538</c:v>
                </c:pt>
                <c:pt idx="9">
                  <c:v>39629</c:v>
                </c:pt>
                <c:pt idx="10">
                  <c:v>39721</c:v>
                </c:pt>
                <c:pt idx="11">
                  <c:v>39813</c:v>
                </c:pt>
                <c:pt idx="12">
                  <c:v>39903</c:v>
                </c:pt>
                <c:pt idx="13">
                  <c:v>39994</c:v>
                </c:pt>
                <c:pt idx="14">
                  <c:v>40086</c:v>
                </c:pt>
                <c:pt idx="15">
                  <c:v>40178</c:v>
                </c:pt>
                <c:pt idx="16">
                  <c:v>40268</c:v>
                </c:pt>
                <c:pt idx="17">
                  <c:v>40359</c:v>
                </c:pt>
                <c:pt idx="18">
                  <c:v>40451</c:v>
                </c:pt>
                <c:pt idx="19">
                  <c:v>40543</c:v>
                </c:pt>
                <c:pt idx="20">
                  <c:v>40633</c:v>
                </c:pt>
                <c:pt idx="21">
                  <c:v>40724</c:v>
                </c:pt>
                <c:pt idx="22">
                  <c:v>40816</c:v>
                </c:pt>
                <c:pt idx="23">
                  <c:v>40908</c:v>
                </c:pt>
                <c:pt idx="24">
                  <c:v>40999</c:v>
                </c:pt>
                <c:pt idx="25">
                  <c:v>41090</c:v>
                </c:pt>
              </c:numCache>
            </c:numRef>
          </c:cat>
          <c:val>
            <c:numRef>
              <c:f>'Leverage &amp; Liquidity'!$AC$7:$AC$32</c:f>
              <c:numCache>
                <c:formatCode>0.0</c:formatCode>
                <c:ptCount val="26"/>
                <c:pt idx="0">
                  <c:v>1.4378481211927063</c:v>
                </c:pt>
                <c:pt idx="1">
                  <c:v>1.6649708663656688</c:v>
                </c:pt>
                <c:pt idx="2">
                  <c:v>1.3949995734413412</c:v>
                </c:pt>
                <c:pt idx="3">
                  <c:v>1.3042777940272283</c:v>
                </c:pt>
                <c:pt idx="4">
                  <c:v>1.3399738448051308</c:v>
                </c:pt>
                <c:pt idx="5">
                  <c:v>1.2234229194631969</c:v>
                </c:pt>
                <c:pt idx="6">
                  <c:v>1.2325035733759413</c:v>
                </c:pt>
                <c:pt idx="7">
                  <c:v>1.1075275111001144</c:v>
                </c:pt>
                <c:pt idx="8">
                  <c:v>1.7053321975603104</c:v>
                </c:pt>
                <c:pt idx="9">
                  <c:v>2.0237957107293325</c:v>
                </c:pt>
                <c:pt idx="10">
                  <c:v>2.3191271971527772</c:v>
                </c:pt>
                <c:pt idx="11">
                  <c:v>1.9589423442161853</c:v>
                </c:pt>
                <c:pt idx="12">
                  <c:v>1.7393978079195505</c:v>
                </c:pt>
                <c:pt idx="13">
                  <c:v>1.4462229918855485</c:v>
                </c:pt>
                <c:pt idx="14">
                  <c:v>1.2130689413451969</c:v>
                </c:pt>
                <c:pt idx="15">
                  <c:v>1.3952289781848313</c:v>
                </c:pt>
                <c:pt idx="16">
                  <c:v>1.3206481837992452</c:v>
                </c:pt>
                <c:pt idx="17">
                  <c:v>1.2579672886394555</c:v>
                </c:pt>
                <c:pt idx="18">
                  <c:v>1.2450302702669065</c:v>
                </c:pt>
                <c:pt idx="19">
                  <c:v>1.2007086641716396</c:v>
                </c:pt>
                <c:pt idx="20">
                  <c:v>1.1594657136841424</c:v>
                </c:pt>
                <c:pt idx="21">
                  <c:v>1.2186091806734676</c:v>
                </c:pt>
                <c:pt idx="22">
                  <c:v>1.4106694754570779</c:v>
                </c:pt>
                <c:pt idx="23">
                  <c:v>1.4755928970768641</c:v>
                </c:pt>
                <c:pt idx="24">
                  <c:v>1.3691167672063778</c:v>
                </c:pt>
                <c:pt idx="25">
                  <c:v>1.6992060404256428</c:v>
                </c:pt>
              </c:numCache>
            </c:numRef>
          </c:val>
          <c:smooth val="0"/>
        </c:ser>
        <c:dLbls>
          <c:showLegendKey val="0"/>
          <c:showVal val="0"/>
          <c:showCatName val="0"/>
          <c:showSerName val="0"/>
          <c:showPercent val="0"/>
          <c:showBubbleSize val="0"/>
        </c:dLbls>
        <c:marker val="1"/>
        <c:smooth val="0"/>
        <c:axId val="579064192"/>
        <c:axId val="579066112"/>
      </c:lineChart>
      <c:lineChart>
        <c:grouping val="standard"/>
        <c:varyColors val="0"/>
        <c:ser>
          <c:idx val="0"/>
          <c:order val="1"/>
          <c:tx>
            <c:strRef>
              <c:f>'Leverage &amp; Liquidity'!$AD$6</c:f>
              <c:strCache>
                <c:ptCount val="1"/>
                <c:pt idx="0">
                  <c:v>Differential, bps</c:v>
                </c:pt>
              </c:strCache>
            </c:strRef>
          </c:tx>
          <c:spPr>
            <a:ln w="25400">
              <a:solidFill>
                <a:srgbClr val="003366"/>
              </a:solidFill>
              <a:prstDash val="solid"/>
            </a:ln>
          </c:spPr>
          <c:marker>
            <c:symbol val="square"/>
            <c:size val="7"/>
            <c:spPr>
              <a:solidFill>
                <a:srgbClr val="000080"/>
              </a:solidFill>
              <a:ln>
                <a:solidFill>
                  <a:srgbClr val="003366"/>
                </a:solidFill>
                <a:prstDash val="solid"/>
              </a:ln>
            </c:spPr>
          </c:marker>
          <c:cat>
            <c:numRef>
              <c:f>'Leverage &amp; Liquidity'!$B$7:$B$32</c:f>
              <c:numCache>
                <c:formatCode>mm/dd/yyyy</c:formatCode>
                <c:ptCount val="26"/>
                <c:pt idx="0">
                  <c:v>38807</c:v>
                </c:pt>
                <c:pt idx="1">
                  <c:v>38898</c:v>
                </c:pt>
                <c:pt idx="2">
                  <c:v>38990</c:v>
                </c:pt>
                <c:pt idx="3">
                  <c:v>39082</c:v>
                </c:pt>
                <c:pt idx="4">
                  <c:v>39172</c:v>
                </c:pt>
                <c:pt idx="5">
                  <c:v>39263</c:v>
                </c:pt>
                <c:pt idx="6">
                  <c:v>39355</c:v>
                </c:pt>
                <c:pt idx="7">
                  <c:v>39447</c:v>
                </c:pt>
                <c:pt idx="8">
                  <c:v>39538</c:v>
                </c:pt>
                <c:pt idx="9">
                  <c:v>39629</c:v>
                </c:pt>
                <c:pt idx="10">
                  <c:v>39721</c:v>
                </c:pt>
                <c:pt idx="11">
                  <c:v>39813</c:v>
                </c:pt>
                <c:pt idx="12">
                  <c:v>39903</c:v>
                </c:pt>
                <c:pt idx="13">
                  <c:v>39994</c:v>
                </c:pt>
                <c:pt idx="14">
                  <c:v>40086</c:v>
                </c:pt>
                <c:pt idx="15">
                  <c:v>40178</c:v>
                </c:pt>
                <c:pt idx="16">
                  <c:v>40268</c:v>
                </c:pt>
                <c:pt idx="17">
                  <c:v>40359</c:v>
                </c:pt>
                <c:pt idx="18">
                  <c:v>40451</c:v>
                </c:pt>
                <c:pt idx="19">
                  <c:v>40543</c:v>
                </c:pt>
                <c:pt idx="20">
                  <c:v>40633</c:v>
                </c:pt>
                <c:pt idx="21">
                  <c:v>40724</c:v>
                </c:pt>
                <c:pt idx="22">
                  <c:v>40816</c:v>
                </c:pt>
                <c:pt idx="23">
                  <c:v>40908</c:v>
                </c:pt>
                <c:pt idx="24">
                  <c:v>40999</c:v>
                </c:pt>
                <c:pt idx="25">
                  <c:v>41090</c:v>
                </c:pt>
              </c:numCache>
            </c:numRef>
          </c:cat>
          <c:val>
            <c:numRef>
              <c:f>'Leverage &amp; Liquidity'!$AD$7:$AD$32</c:f>
              <c:numCache>
                <c:formatCode>0</c:formatCode>
                <c:ptCount val="26"/>
                <c:pt idx="0">
                  <c:v>157.16585418291942</c:v>
                </c:pt>
                <c:pt idx="1">
                  <c:v>189.15063307373265</c:v>
                </c:pt>
                <c:pt idx="2">
                  <c:v>160.8238919688429</c:v>
                </c:pt>
                <c:pt idx="3">
                  <c:v>125.92616823004987</c:v>
                </c:pt>
                <c:pt idx="4">
                  <c:v>119.96310580913534</c:v>
                </c:pt>
                <c:pt idx="5">
                  <c:v>116.83599748649394</c:v>
                </c:pt>
                <c:pt idx="6">
                  <c:v>172.83120016196256</c:v>
                </c:pt>
                <c:pt idx="7">
                  <c:v>203.2373611094543</c:v>
                </c:pt>
                <c:pt idx="8">
                  <c:v>417.15665590554147</c:v>
                </c:pt>
                <c:pt idx="9">
                  <c:v>444.13599882384051</c:v>
                </c:pt>
                <c:pt idx="10">
                  <c:v>693.02124027991181</c:v>
                </c:pt>
                <c:pt idx="11">
                  <c:v>962.23627467989456</c:v>
                </c:pt>
                <c:pt idx="12">
                  <c:v>731.24684454994394</c:v>
                </c:pt>
                <c:pt idx="13">
                  <c:v>386.95515587073311</c:v>
                </c:pt>
                <c:pt idx="14">
                  <c:v>240.95775522923907</c:v>
                </c:pt>
                <c:pt idx="15">
                  <c:v>233.90221766210863</c:v>
                </c:pt>
                <c:pt idx="16">
                  <c:v>217.19001577466807</c:v>
                </c:pt>
                <c:pt idx="17">
                  <c:v>264.48772706319045</c:v>
                </c:pt>
                <c:pt idx="18">
                  <c:v>236.26085507778819</c:v>
                </c:pt>
                <c:pt idx="19">
                  <c:v>188.36535334485501</c:v>
                </c:pt>
                <c:pt idx="20">
                  <c:v>160.10666038863008</c:v>
                </c:pt>
                <c:pt idx="21">
                  <c:v>187.32323147429489</c:v>
                </c:pt>
                <c:pt idx="22">
                  <c:v>347.2580129736574</c:v>
                </c:pt>
                <c:pt idx="23">
                  <c:v>316.89119960169836</c:v>
                </c:pt>
                <c:pt idx="24">
                  <c:v>231.5812479143483</c:v>
                </c:pt>
                <c:pt idx="25">
                  <c:v>304.68894322644871</c:v>
                </c:pt>
              </c:numCache>
            </c:numRef>
          </c:val>
          <c:smooth val="1"/>
        </c:ser>
        <c:dLbls>
          <c:showLegendKey val="0"/>
          <c:showVal val="0"/>
          <c:showCatName val="0"/>
          <c:showSerName val="0"/>
          <c:showPercent val="0"/>
          <c:showBubbleSize val="0"/>
        </c:dLbls>
        <c:marker val="1"/>
        <c:smooth val="0"/>
        <c:axId val="579072384"/>
        <c:axId val="579073920"/>
      </c:lineChart>
      <c:catAx>
        <c:axId val="579064192"/>
        <c:scaling>
          <c:orientation val="minMax"/>
        </c:scaling>
        <c:delete val="0"/>
        <c:axPos val="b"/>
        <c:numFmt formatCode="yyyy"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Narrow"/>
                <a:ea typeface="Arial Narrow"/>
                <a:cs typeface="Arial Narrow"/>
              </a:defRPr>
            </a:pPr>
            <a:endParaRPr lang="en-US"/>
          </a:p>
        </c:txPr>
        <c:crossAx val="579066112"/>
        <c:crosses val="autoZero"/>
        <c:auto val="0"/>
        <c:lblAlgn val="ctr"/>
        <c:lblOffset val="100"/>
        <c:tickLblSkip val="4"/>
        <c:tickMarkSkip val="4"/>
        <c:noMultiLvlLbl val="0"/>
      </c:catAx>
      <c:valAx>
        <c:axId val="579066112"/>
        <c:scaling>
          <c:orientation val="minMax"/>
          <c:min val="1"/>
        </c:scaling>
        <c:delete val="0"/>
        <c:axPos val="l"/>
        <c:majorGridlines>
          <c:spPr>
            <a:ln w="12700">
              <a:solidFill>
                <a:srgbClr val="969696"/>
              </a:solidFill>
              <a:prstDash val="solid"/>
            </a:ln>
          </c:spPr>
        </c:majorGridlines>
        <c:title>
          <c:tx>
            <c:rich>
              <a:bodyPr/>
              <a:lstStyle/>
              <a:p>
                <a:pPr>
                  <a:defRPr sz="1200" b="0" i="0" u="none" strike="noStrike" baseline="0">
                    <a:solidFill>
                      <a:srgbClr val="000000"/>
                    </a:solidFill>
                    <a:latin typeface="Arial Narrow"/>
                    <a:ea typeface="Arial Narrow"/>
                    <a:cs typeface="Arial Narrow"/>
                  </a:defRPr>
                </a:pPr>
                <a:r>
                  <a:rPr lang="en-US"/>
                  <a:t>Spread per turn of Leverage ratio, x</a:t>
                </a:r>
              </a:p>
            </c:rich>
          </c:tx>
          <c:layout>
            <c:manualLayout>
              <c:xMode val="edge"/>
              <c:yMode val="edge"/>
              <c:x val="8.319474313216833E-3"/>
              <c:y val="0.17955112219451372"/>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Narrow"/>
                <a:ea typeface="Arial Narrow"/>
                <a:cs typeface="Arial Narrow"/>
              </a:defRPr>
            </a:pPr>
            <a:endParaRPr lang="en-US"/>
          </a:p>
        </c:txPr>
        <c:crossAx val="579064192"/>
        <c:crosses val="autoZero"/>
        <c:crossBetween val="between"/>
      </c:valAx>
      <c:dateAx>
        <c:axId val="579072384"/>
        <c:scaling>
          <c:orientation val="minMax"/>
        </c:scaling>
        <c:delete val="1"/>
        <c:axPos val="b"/>
        <c:numFmt formatCode="mm/dd/yyyy" sourceLinked="1"/>
        <c:majorTickMark val="out"/>
        <c:minorTickMark val="none"/>
        <c:tickLblPos val="nextTo"/>
        <c:crossAx val="579073920"/>
        <c:crosses val="autoZero"/>
        <c:auto val="1"/>
        <c:lblOffset val="100"/>
        <c:baseTimeUnit val="months"/>
      </c:dateAx>
      <c:valAx>
        <c:axId val="579073920"/>
        <c:scaling>
          <c:orientation val="minMax"/>
        </c:scaling>
        <c:delete val="0"/>
        <c:axPos val="r"/>
        <c:numFmt formatCode="0" sourceLinked="1"/>
        <c:majorTickMark val="cross"/>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Narrow"/>
                <a:ea typeface="Arial Narrow"/>
                <a:cs typeface="Arial Narrow"/>
              </a:defRPr>
            </a:pPr>
            <a:endParaRPr lang="en-US"/>
          </a:p>
        </c:txPr>
        <c:crossAx val="579072384"/>
        <c:crosses val="max"/>
        <c:crossBetween val="between"/>
      </c:valAx>
      <c:spPr>
        <a:noFill/>
        <a:ln w="12700">
          <a:solidFill>
            <a:srgbClr val="808080"/>
          </a:solidFill>
          <a:prstDash val="solid"/>
        </a:ln>
      </c:spPr>
    </c:plotArea>
    <c:legend>
      <c:legendPos val="b"/>
      <c:layout>
        <c:manualLayout>
          <c:xMode val="edge"/>
          <c:yMode val="edge"/>
          <c:x val="0.11813653524767903"/>
          <c:y val="0.9077306733167082"/>
          <c:w val="0.79866953406881602"/>
          <c:h val="6.2344139650872821E-2"/>
        </c:manualLayout>
      </c:layout>
      <c:overlay val="0"/>
      <c:spPr>
        <a:solidFill>
          <a:srgbClr val="FFFFFF"/>
        </a:solidFill>
        <a:ln w="25400">
          <a:noFill/>
        </a:ln>
      </c:spPr>
      <c:txPr>
        <a:bodyPr/>
        <a:lstStyle/>
        <a:p>
          <a:pPr>
            <a:defRPr sz="1100" b="0" i="0" u="none" strike="noStrike" baseline="0">
              <a:solidFill>
                <a:srgbClr val="000000"/>
              </a:solidFill>
              <a:latin typeface="Arial Narrow"/>
              <a:ea typeface="Arial Narrow"/>
              <a:cs typeface="Arial Narrow"/>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666815863958112E-2"/>
          <c:y val="4.7500057983469221E-2"/>
          <c:w val="0.87166808539727436"/>
          <c:h val="0.75250091858022283"/>
        </c:manualLayout>
      </c:layout>
      <c:barChart>
        <c:barDir val="col"/>
        <c:grouping val="clustered"/>
        <c:varyColors val="0"/>
        <c:ser>
          <c:idx val="0"/>
          <c:order val="0"/>
          <c:tx>
            <c:strRef>
              <c:f>'Year over Year'!$B$5</c:f>
              <c:strCache>
                <c:ptCount val="1"/>
                <c:pt idx="0">
                  <c:v>YoY EBITDA % Change</c:v>
                </c:pt>
              </c:strCache>
            </c:strRef>
          </c:tx>
          <c:spPr>
            <a:solidFill>
              <a:srgbClr val="003366"/>
            </a:solidFill>
            <a:ln w="12700">
              <a:solidFill>
                <a:srgbClr val="000000"/>
              </a:solidFill>
              <a:prstDash val="solid"/>
            </a:ln>
          </c:spPr>
          <c:invertIfNegative val="0"/>
          <c:cat>
            <c:numRef>
              <c:f>'Year over Year'!$A$6:$A$27</c:f>
              <c:numCache>
                <c:formatCode>mm/dd/yyyy</c:formatCode>
                <c:ptCount val="22"/>
                <c:pt idx="0">
                  <c:v>39172</c:v>
                </c:pt>
                <c:pt idx="1">
                  <c:v>39263</c:v>
                </c:pt>
                <c:pt idx="2">
                  <c:v>39355</c:v>
                </c:pt>
                <c:pt idx="3">
                  <c:v>39447</c:v>
                </c:pt>
                <c:pt idx="4">
                  <c:v>39538</c:v>
                </c:pt>
                <c:pt idx="5">
                  <c:v>39629</c:v>
                </c:pt>
                <c:pt idx="6">
                  <c:v>39721</c:v>
                </c:pt>
                <c:pt idx="7">
                  <c:v>39813</c:v>
                </c:pt>
                <c:pt idx="8">
                  <c:v>39903</c:v>
                </c:pt>
                <c:pt idx="9">
                  <c:v>39994</c:v>
                </c:pt>
                <c:pt idx="10">
                  <c:v>40086</c:v>
                </c:pt>
                <c:pt idx="11">
                  <c:v>40178</c:v>
                </c:pt>
                <c:pt idx="12">
                  <c:v>40268</c:v>
                </c:pt>
                <c:pt idx="13">
                  <c:v>40359</c:v>
                </c:pt>
                <c:pt idx="14">
                  <c:v>40451</c:v>
                </c:pt>
                <c:pt idx="15">
                  <c:v>40543</c:v>
                </c:pt>
                <c:pt idx="16">
                  <c:v>40633</c:v>
                </c:pt>
                <c:pt idx="17">
                  <c:v>40724</c:v>
                </c:pt>
                <c:pt idx="18">
                  <c:v>40816</c:v>
                </c:pt>
                <c:pt idx="19">
                  <c:v>40908</c:v>
                </c:pt>
                <c:pt idx="20">
                  <c:v>40999</c:v>
                </c:pt>
                <c:pt idx="21">
                  <c:v>41090</c:v>
                </c:pt>
              </c:numCache>
            </c:numRef>
          </c:cat>
          <c:val>
            <c:numRef>
              <c:f>'Year over Year'!$B$6:$B$27</c:f>
              <c:numCache>
                <c:formatCode>0.0</c:formatCode>
                <c:ptCount val="22"/>
                <c:pt idx="0">
                  <c:v>4.4916938307340448</c:v>
                </c:pt>
                <c:pt idx="1">
                  <c:v>8.7211697100934238</c:v>
                </c:pt>
                <c:pt idx="2">
                  <c:v>8.4644452430937989</c:v>
                </c:pt>
                <c:pt idx="3">
                  <c:v>26.468439789111287</c:v>
                </c:pt>
                <c:pt idx="4">
                  <c:v>37.977180737143954</c:v>
                </c:pt>
                <c:pt idx="5">
                  <c:v>40.540821224861311</c:v>
                </c:pt>
                <c:pt idx="6">
                  <c:v>34.940016651553194</c:v>
                </c:pt>
                <c:pt idx="7">
                  <c:v>-21.737827205311621</c:v>
                </c:pt>
                <c:pt idx="8">
                  <c:v>-37.832784756740836</c:v>
                </c:pt>
                <c:pt idx="9">
                  <c:v>-42.731693274177744</c:v>
                </c:pt>
                <c:pt idx="10">
                  <c:v>-31.38910746398783</c:v>
                </c:pt>
                <c:pt idx="11">
                  <c:v>17.202630507405956</c:v>
                </c:pt>
                <c:pt idx="12">
                  <c:v>42.672224457883971</c:v>
                </c:pt>
                <c:pt idx="13">
                  <c:v>39.020996312188537</c:v>
                </c:pt>
                <c:pt idx="14">
                  <c:v>24.023659317366874</c:v>
                </c:pt>
                <c:pt idx="15">
                  <c:v>28.978925740554406</c:v>
                </c:pt>
                <c:pt idx="16">
                  <c:v>28.096227240797433</c:v>
                </c:pt>
                <c:pt idx="17">
                  <c:v>26.685777884012452</c:v>
                </c:pt>
                <c:pt idx="18">
                  <c:v>22.242845460036232</c:v>
                </c:pt>
                <c:pt idx="19">
                  <c:v>8.6714331322300886</c:v>
                </c:pt>
                <c:pt idx="20">
                  <c:v>-1.9228516997925937</c:v>
                </c:pt>
                <c:pt idx="21">
                  <c:v>-18.567577519954369</c:v>
                </c:pt>
              </c:numCache>
            </c:numRef>
          </c:val>
        </c:ser>
        <c:dLbls>
          <c:showLegendKey val="0"/>
          <c:showVal val="0"/>
          <c:showCatName val="0"/>
          <c:showSerName val="0"/>
          <c:showPercent val="0"/>
          <c:showBubbleSize val="0"/>
        </c:dLbls>
        <c:gapWidth val="50"/>
        <c:axId val="403217408"/>
        <c:axId val="561582848"/>
      </c:barChart>
      <c:catAx>
        <c:axId val="403217408"/>
        <c:scaling>
          <c:orientation val="minMax"/>
        </c:scaling>
        <c:delete val="0"/>
        <c:axPos val="b"/>
        <c:numFmt formatCode="mmm\ yy"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Narrow"/>
                <a:ea typeface="Arial Narrow"/>
                <a:cs typeface="Arial Narrow"/>
              </a:defRPr>
            </a:pPr>
            <a:endParaRPr lang="en-US"/>
          </a:p>
        </c:txPr>
        <c:crossAx val="561582848"/>
        <c:crosses val="autoZero"/>
        <c:auto val="0"/>
        <c:lblAlgn val="ctr"/>
        <c:lblOffset val="100"/>
        <c:tickLblSkip val="2"/>
        <c:tickMarkSkip val="1"/>
        <c:noMultiLvlLbl val="0"/>
      </c:catAx>
      <c:valAx>
        <c:axId val="561582848"/>
        <c:scaling>
          <c:orientation val="minMax"/>
          <c:max val="50"/>
          <c:min val="-50"/>
        </c:scaling>
        <c:delete val="0"/>
        <c:axPos val="l"/>
        <c:majorGridlines>
          <c:spPr>
            <a:ln w="12700">
              <a:solidFill>
                <a:srgbClr val="969696"/>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Narrow"/>
                <a:ea typeface="Arial Narrow"/>
                <a:cs typeface="Arial Narrow"/>
              </a:defRPr>
            </a:pPr>
            <a:endParaRPr lang="en-US"/>
          </a:p>
        </c:txPr>
        <c:crossAx val="403217408"/>
        <c:crosses val="autoZero"/>
        <c:crossBetween val="between"/>
        <c:majorUnit val="10"/>
      </c:valAx>
      <c:spPr>
        <a:noFill/>
        <a:ln w="12700">
          <a:solidFill>
            <a:srgbClr val="808080"/>
          </a:solidFill>
          <a:prstDash val="solid"/>
        </a:ln>
      </c:spPr>
    </c:plotArea>
    <c:legend>
      <c:legendPos val="b"/>
      <c:layout>
        <c:manualLayout>
          <c:xMode val="edge"/>
          <c:yMode val="edge"/>
          <c:x val="0.336667214627628"/>
          <c:y val="0.9050011047376767"/>
          <c:w val="0.27666711697121904"/>
          <c:h val="6.2500076294038448E-2"/>
        </c:manualLayout>
      </c:layout>
      <c:overlay val="0"/>
      <c:spPr>
        <a:solidFill>
          <a:srgbClr val="FFFFFF"/>
        </a:solidFill>
        <a:ln w="25400">
          <a:noFill/>
        </a:ln>
      </c:spPr>
      <c:txPr>
        <a:bodyPr/>
        <a:lstStyle/>
        <a:p>
          <a:pPr>
            <a:defRPr sz="1100" b="0" i="0" u="none" strike="noStrike" baseline="0">
              <a:solidFill>
                <a:srgbClr val="000000"/>
              </a:solidFill>
              <a:latin typeface="Arial Narrow"/>
              <a:ea typeface="Arial Narrow"/>
              <a:cs typeface="Arial Narrow"/>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333452691166492E-2"/>
          <c:y val="4.7500057983469221E-2"/>
          <c:w val="0.90333480360482354"/>
          <c:h val="0.7550009216319844"/>
        </c:manualLayout>
      </c:layout>
      <c:barChart>
        <c:barDir val="col"/>
        <c:grouping val="clustered"/>
        <c:varyColors val="0"/>
        <c:ser>
          <c:idx val="0"/>
          <c:order val="0"/>
          <c:tx>
            <c:strRef>
              <c:f>'Year over Year'!$C$5</c:f>
              <c:strCache>
                <c:ptCount val="1"/>
                <c:pt idx="0">
                  <c:v>YoY Total Debt % Change</c:v>
                </c:pt>
              </c:strCache>
            </c:strRef>
          </c:tx>
          <c:spPr>
            <a:solidFill>
              <a:srgbClr val="003366"/>
            </a:solidFill>
            <a:ln w="12700">
              <a:solidFill>
                <a:srgbClr val="000000"/>
              </a:solidFill>
              <a:prstDash val="solid"/>
            </a:ln>
          </c:spPr>
          <c:invertIfNegative val="0"/>
          <c:cat>
            <c:numRef>
              <c:f>'Year over Year'!$A$6:$A$27</c:f>
              <c:numCache>
                <c:formatCode>mm/dd/yyyy</c:formatCode>
                <c:ptCount val="22"/>
                <c:pt idx="0">
                  <c:v>39172</c:v>
                </c:pt>
                <c:pt idx="1">
                  <c:v>39263</c:v>
                </c:pt>
                <c:pt idx="2">
                  <c:v>39355</c:v>
                </c:pt>
                <c:pt idx="3">
                  <c:v>39447</c:v>
                </c:pt>
                <c:pt idx="4">
                  <c:v>39538</c:v>
                </c:pt>
                <c:pt idx="5">
                  <c:v>39629</c:v>
                </c:pt>
                <c:pt idx="6">
                  <c:v>39721</c:v>
                </c:pt>
                <c:pt idx="7">
                  <c:v>39813</c:v>
                </c:pt>
                <c:pt idx="8">
                  <c:v>39903</c:v>
                </c:pt>
                <c:pt idx="9">
                  <c:v>39994</c:v>
                </c:pt>
                <c:pt idx="10">
                  <c:v>40086</c:v>
                </c:pt>
                <c:pt idx="11">
                  <c:v>40178</c:v>
                </c:pt>
                <c:pt idx="12">
                  <c:v>40268</c:v>
                </c:pt>
                <c:pt idx="13">
                  <c:v>40359</c:v>
                </c:pt>
                <c:pt idx="14">
                  <c:v>40451</c:v>
                </c:pt>
                <c:pt idx="15">
                  <c:v>40543</c:v>
                </c:pt>
                <c:pt idx="16">
                  <c:v>40633</c:v>
                </c:pt>
                <c:pt idx="17">
                  <c:v>40724</c:v>
                </c:pt>
                <c:pt idx="18">
                  <c:v>40816</c:v>
                </c:pt>
                <c:pt idx="19">
                  <c:v>40908</c:v>
                </c:pt>
                <c:pt idx="20">
                  <c:v>40999</c:v>
                </c:pt>
                <c:pt idx="21">
                  <c:v>41090</c:v>
                </c:pt>
              </c:numCache>
            </c:numRef>
          </c:cat>
          <c:val>
            <c:numRef>
              <c:f>'Year over Year'!$C$6:$C$27</c:f>
              <c:numCache>
                <c:formatCode>0.0</c:formatCode>
                <c:ptCount val="22"/>
                <c:pt idx="0">
                  <c:v>19.633974465876889</c:v>
                </c:pt>
                <c:pt idx="1">
                  <c:v>20.15389310225142</c:v>
                </c:pt>
                <c:pt idx="2">
                  <c:v>18.3625183089815</c:v>
                </c:pt>
                <c:pt idx="3">
                  <c:v>19.839475072668744</c:v>
                </c:pt>
                <c:pt idx="4">
                  <c:v>22.529155578310522</c:v>
                </c:pt>
                <c:pt idx="5">
                  <c:v>18.887559924867215</c:v>
                </c:pt>
                <c:pt idx="6">
                  <c:v>13.876166614269136</c:v>
                </c:pt>
                <c:pt idx="7">
                  <c:v>10.663798781635304</c:v>
                </c:pt>
                <c:pt idx="8">
                  <c:v>4.3538794619188081</c:v>
                </c:pt>
                <c:pt idx="9">
                  <c:v>13.236447947429731</c:v>
                </c:pt>
                <c:pt idx="10">
                  <c:v>20.732312398465069</c:v>
                </c:pt>
                <c:pt idx="11">
                  <c:v>27.789296571150967</c:v>
                </c:pt>
                <c:pt idx="12">
                  <c:v>23.826942534904958</c:v>
                </c:pt>
                <c:pt idx="13">
                  <c:v>14.640507232466703</c:v>
                </c:pt>
                <c:pt idx="14">
                  <c:v>12.986092104873158</c:v>
                </c:pt>
                <c:pt idx="15">
                  <c:v>11.057661203521519</c:v>
                </c:pt>
                <c:pt idx="16">
                  <c:v>15.742414201765387</c:v>
                </c:pt>
                <c:pt idx="17">
                  <c:v>17.474745101604118</c:v>
                </c:pt>
                <c:pt idx="18">
                  <c:v>8.9032424650798312</c:v>
                </c:pt>
                <c:pt idx="19">
                  <c:v>6.3848873652320615</c:v>
                </c:pt>
                <c:pt idx="20">
                  <c:v>8.177005409639527</c:v>
                </c:pt>
                <c:pt idx="21">
                  <c:v>0.85238758414125648</c:v>
                </c:pt>
              </c:numCache>
            </c:numRef>
          </c:val>
        </c:ser>
        <c:dLbls>
          <c:showLegendKey val="0"/>
          <c:showVal val="0"/>
          <c:showCatName val="0"/>
          <c:showSerName val="0"/>
          <c:showPercent val="0"/>
          <c:showBubbleSize val="0"/>
        </c:dLbls>
        <c:gapWidth val="50"/>
        <c:axId val="561603328"/>
        <c:axId val="561604864"/>
      </c:barChart>
      <c:catAx>
        <c:axId val="561603328"/>
        <c:scaling>
          <c:orientation val="minMax"/>
        </c:scaling>
        <c:delete val="0"/>
        <c:axPos val="b"/>
        <c:numFmt formatCode="mmm\ yy"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Narrow"/>
                <a:ea typeface="Arial Narrow"/>
                <a:cs typeface="Arial Narrow"/>
              </a:defRPr>
            </a:pPr>
            <a:endParaRPr lang="en-US"/>
          </a:p>
        </c:txPr>
        <c:crossAx val="561604864"/>
        <c:crosses val="autoZero"/>
        <c:auto val="0"/>
        <c:lblAlgn val="ctr"/>
        <c:lblOffset val="100"/>
        <c:tickLblSkip val="2"/>
        <c:tickMarkSkip val="1"/>
        <c:noMultiLvlLbl val="0"/>
      </c:catAx>
      <c:valAx>
        <c:axId val="561604864"/>
        <c:scaling>
          <c:orientation val="minMax"/>
        </c:scaling>
        <c:delete val="0"/>
        <c:axPos val="l"/>
        <c:majorGridlines>
          <c:spPr>
            <a:ln w="12700">
              <a:solidFill>
                <a:srgbClr val="969696"/>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Narrow"/>
                <a:ea typeface="Arial Narrow"/>
                <a:cs typeface="Arial Narrow"/>
              </a:defRPr>
            </a:pPr>
            <a:endParaRPr lang="en-US"/>
          </a:p>
        </c:txPr>
        <c:crossAx val="561603328"/>
        <c:crosses val="autoZero"/>
        <c:crossBetween val="between"/>
      </c:valAx>
      <c:spPr>
        <a:noFill/>
        <a:ln w="12700">
          <a:solidFill>
            <a:srgbClr val="808080"/>
          </a:solidFill>
          <a:prstDash val="solid"/>
        </a:ln>
      </c:spPr>
    </c:plotArea>
    <c:legend>
      <c:legendPos val="b"/>
      <c:layout>
        <c:manualLayout>
          <c:xMode val="edge"/>
          <c:yMode val="edge"/>
          <c:x val="0.37666727973190062"/>
          <c:y val="0.91000111084119972"/>
          <c:w val="0.30000048828204473"/>
          <c:h val="6.2500076294038448E-2"/>
        </c:manualLayout>
      </c:layout>
      <c:overlay val="0"/>
      <c:spPr>
        <a:solidFill>
          <a:srgbClr val="FFFFFF"/>
        </a:solidFill>
        <a:ln w="25400">
          <a:noFill/>
        </a:ln>
      </c:spPr>
      <c:txPr>
        <a:bodyPr/>
        <a:lstStyle/>
        <a:p>
          <a:pPr>
            <a:defRPr sz="1100" b="0" i="0" u="none" strike="noStrike" baseline="0">
              <a:solidFill>
                <a:srgbClr val="000000"/>
              </a:solidFill>
              <a:latin typeface="Arial Narrow"/>
              <a:ea typeface="Arial Narrow"/>
              <a:cs typeface="Arial Narrow"/>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1666799587889957E-2"/>
          <c:y val="6.5000079345799988E-2"/>
          <c:w val="0.8916681179494107"/>
          <c:h val="0.72250088195908446"/>
        </c:manualLayout>
      </c:layout>
      <c:barChart>
        <c:barDir val="col"/>
        <c:grouping val="clustered"/>
        <c:varyColors val="0"/>
        <c:ser>
          <c:idx val="0"/>
          <c:order val="0"/>
          <c:tx>
            <c:strRef>
              <c:f>'Year over Year'!$D$5</c:f>
              <c:strCache>
                <c:ptCount val="1"/>
                <c:pt idx="0">
                  <c:v>YOY COGS % Change</c:v>
                </c:pt>
              </c:strCache>
            </c:strRef>
          </c:tx>
          <c:spPr>
            <a:solidFill>
              <a:srgbClr val="003366"/>
            </a:solidFill>
            <a:ln w="12700">
              <a:solidFill>
                <a:srgbClr val="000000"/>
              </a:solidFill>
              <a:prstDash val="solid"/>
            </a:ln>
          </c:spPr>
          <c:invertIfNegative val="0"/>
          <c:cat>
            <c:numRef>
              <c:f>'Year over Year'!$A$6:$A$27</c:f>
              <c:numCache>
                <c:formatCode>mm/dd/yyyy</c:formatCode>
                <c:ptCount val="22"/>
                <c:pt idx="0">
                  <c:v>39172</c:v>
                </c:pt>
                <c:pt idx="1">
                  <c:v>39263</c:v>
                </c:pt>
                <c:pt idx="2">
                  <c:v>39355</c:v>
                </c:pt>
                <c:pt idx="3">
                  <c:v>39447</c:v>
                </c:pt>
                <c:pt idx="4">
                  <c:v>39538</c:v>
                </c:pt>
                <c:pt idx="5">
                  <c:v>39629</c:v>
                </c:pt>
                <c:pt idx="6">
                  <c:v>39721</c:v>
                </c:pt>
                <c:pt idx="7">
                  <c:v>39813</c:v>
                </c:pt>
                <c:pt idx="8">
                  <c:v>39903</c:v>
                </c:pt>
                <c:pt idx="9">
                  <c:v>39994</c:v>
                </c:pt>
                <c:pt idx="10">
                  <c:v>40086</c:v>
                </c:pt>
                <c:pt idx="11">
                  <c:v>40178</c:v>
                </c:pt>
                <c:pt idx="12">
                  <c:v>40268</c:v>
                </c:pt>
                <c:pt idx="13">
                  <c:v>40359</c:v>
                </c:pt>
                <c:pt idx="14">
                  <c:v>40451</c:v>
                </c:pt>
                <c:pt idx="15">
                  <c:v>40543</c:v>
                </c:pt>
                <c:pt idx="16">
                  <c:v>40633</c:v>
                </c:pt>
                <c:pt idx="17">
                  <c:v>40724</c:v>
                </c:pt>
                <c:pt idx="18">
                  <c:v>40816</c:v>
                </c:pt>
                <c:pt idx="19">
                  <c:v>40908</c:v>
                </c:pt>
                <c:pt idx="20">
                  <c:v>40999</c:v>
                </c:pt>
                <c:pt idx="21">
                  <c:v>41090</c:v>
                </c:pt>
              </c:numCache>
            </c:numRef>
          </c:cat>
          <c:val>
            <c:numRef>
              <c:f>'Year over Year'!$D$6:$D$27</c:f>
              <c:numCache>
                <c:formatCode>0.0</c:formatCode>
                <c:ptCount val="22"/>
                <c:pt idx="0">
                  <c:v>17.869295581819756</c:v>
                </c:pt>
                <c:pt idx="1">
                  <c:v>23.230202551312516</c:v>
                </c:pt>
                <c:pt idx="2">
                  <c:v>22.689593323656432</c:v>
                </c:pt>
                <c:pt idx="3">
                  <c:v>36.010711889524138</c:v>
                </c:pt>
                <c:pt idx="4">
                  <c:v>50.362745605103498</c:v>
                </c:pt>
                <c:pt idx="5">
                  <c:v>51.554017422446208</c:v>
                </c:pt>
                <c:pt idx="6">
                  <c:v>41.901909273797223</c:v>
                </c:pt>
                <c:pt idx="7">
                  <c:v>-3.0288988877192669</c:v>
                </c:pt>
                <c:pt idx="8">
                  <c:v>-27.804155372292005</c:v>
                </c:pt>
                <c:pt idx="9">
                  <c:v>-32.555213235675829</c:v>
                </c:pt>
                <c:pt idx="10">
                  <c:v>-26.422340942725377</c:v>
                </c:pt>
                <c:pt idx="11">
                  <c:v>3.9091283897626727</c:v>
                </c:pt>
                <c:pt idx="12">
                  <c:v>36.840716399225371</c:v>
                </c:pt>
                <c:pt idx="13">
                  <c:v>38.475033029606223</c:v>
                </c:pt>
                <c:pt idx="14">
                  <c:v>26.091231003660354</c:v>
                </c:pt>
                <c:pt idx="15">
                  <c:v>27.423961855894021</c:v>
                </c:pt>
                <c:pt idx="16">
                  <c:v>22.711467897824168</c:v>
                </c:pt>
                <c:pt idx="17">
                  <c:v>24.937981112544129</c:v>
                </c:pt>
                <c:pt idx="18">
                  <c:v>24.603043409834836</c:v>
                </c:pt>
                <c:pt idx="19">
                  <c:v>11.343636575256056</c:v>
                </c:pt>
                <c:pt idx="20">
                  <c:v>13.896379986586972</c:v>
                </c:pt>
                <c:pt idx="21">
                  <c:v>5.6390307901634129</c:v>
                </c:pt>
              </c:numCache>
            </c:numRef>
          </c:val>
        </c:ser>
        <c:ser>
          <c:idx val="1"/>
          <c:order val="1"/>
          <c:tx>
            <c:strRef>
              <c:f>'Year over Year'!$E$5</c:f>
              <c:strCache>
                <c:ptCount val="1"/>
                <c:pt idx="0">
                  <c:v>YOY Revenue % Change</c:v>
                </c:pt>
              </c:strCache>
            </c:strRef>
          </c:tx>
          <c:spPr>
            <a:solidFill>
              <a:srgbClr val="FF6600"/>
            </a:solidFill>
            <a:ln w="12700">
              <a:solidFill>
                <a:srgbClr val="000000"/>
              </a:solidFill>
              <a:prstDash val="solid"/>
            </a:ln>
          </c:spPr>
          <c:invertIfNegative val="0"/>
          <c:cat>
            <c:numRef>
              <c:f>'Year over Year'!$A$6:$A$27</c:f>
              <c:numCache>
                <c:formatCode>mm/dd/yyyy</c:formatCode>
                <c:ptCount val="22"/>
                <c:pt idx="0">
                  <c:v>39172</c:v>
                </c:pt>
                <c:pt idx="1">
                  <c:v>39263</c:v>
                </c:pt>
                <c:pt idx="2">
                  <c:v>39355</c:v>
                </c:pt>
                <c:pt idx="3">
                  <c:v>39447</c:v>
                </c:pt>
                <c:pt idx="4">
                  <c:v>39538</c:v>
                </c:pt>
                <c:pt idx="5">
                  <c:v>39629</c:v>
                </c:pt>
                <c:pt idx="6">
                  <c:v>39721</c:v>
                </c:pt>
                <c:pt idx="7">
                  <c:v>39813</c:v>
                </c:pt>
                <c:pt idx="8">
                  <c:v>39903</c:v>
                </c:pt>
                <c:pt idx="9">
                  <c:v>39994</c:v>
                </c:pt>
                <c:pt idx="10">
                  <c:v>40086</c:v>
                </c:pt>
                <c:pt idx="11">
                  <c:v>40178</c:v>
                </c:pt>
                <c:pt idx="12">
                  <c:v>40268</c:v>
                </c:pt>
                <c:pt idx="13">
                  <c:v>40359</c:v>
                </c:pt>
                <c:pt idx="14">
                  <c:v>40451</c:v>
                </c:pt>
                <c:pt idx="15">
                  <c:v>40543</c:v>
                </c:pt>
                <c:pt idx="16">
                  <c:v>40633</c:v>
                </c:pt>
                <c:pt idx="17">
                  <c:v>40724</c:v>
                </c:pt>
                <c:pt idx="18">
                  <c:v>40816</c:v>
                </c:pt>
                <c:pt idx="19">
                  <c:v>40908</c:v>
                </c:pt>
                <c:pt idx="20">
                  <c:v>40999</c:v>
                </c:pt>
                <c:pt idx="21">
                  <c:v>41090</c:v>
                </c:pt>
              </c:numCache>
            </c:numRef>
          </c:cat>
          <c:val>
            <c:numRef>
              <c:f>'Year over Year'!$E$6:$E$27</c:f>
              <c:numCache>
                <c:formatCode>0.0</c:formatCode>
                <c:ptCount val="22"/>
                <c:pt idx="0">
                  <c:v>14.611588840660961</c:v>
                </c:pt>
                <c:pt idx="1">
                  <c:v>15.79928337663803</c:v>
                </c:pt>
                <c:pt idx="2">
                  <c:v>18.99445604602117</c:v>
                </c:pt>
                <c:pt idx="3">
                  <c:v>37.132715941993325</c:v>
                </c:pt>
                <c:pt idx="4">
                  <c:v>43.316585884405036</c:v>
                </c:pt>
                <c:pt idx="5">
                  <c:v>43.468160339162566</c:v>
                </c:pt>
                <c:pt idx="6">
                  <c:v>38.553404024093155</c:v>
                </c:pt>
                <c:pt idx="7">
                  <c:v>-1.5560213924101673</c:v>
                </c:pt>
                <c:pt idx="8">
                  <c:v>-29.569505786369266</c:v>
                </c:pt>
                <c:pt idx="9">
                  <c:v>-34.389218618715269</c:v>
                </c:pt>
                <c:pt idx="10">
                  <c:v>-26.580045064796764</c:v>
                </c:pt>
                <c:pt idx="11">
                  <c:v>7.5291768102300427</c:v>
                </c:pt>
                <c:pt idx="12">
                  <c:v>38.158892540778908</c:v>
                </c:pt>
                <c:pt idx="13">
                  <c:v>40.119171128701424</c:v>
                </c:pt>
                <c:pt idx="14">
                  <c:v>26.927787467590903</c:v>
                </c:pt>
                <c:pt idx="15">
                  <c:v>27.381447391651758</c:v>
                </c:pt>
                <c:pt idx="16">
                  <c:v>24.635467825096292</c:v>
                </c:pt>
                <c:pt idx="17">
                  <c:v>24.473246728728881</c:v>
                </c:pt>
                <c:pt idx="18">
                  <c:v>20.953812947539529</c:v>
                </c:pt>
                <c:pt idx="19">
                  <c:v>8.5694647059715745</c:v>
                </c:pt>
                <c:pt idx="20">
                  <c:v>9.5244454940011547</c:v>
                </c:pt>
                <c:pt idx="21">
                  <c:v>-2.4445943358960887</c:v>
                </c:pt>
              </c:numCache>
            </c:numRef>
          </c:val>
        </c:ser>
        <c:dLbls>
          <c:showLegendKey val="0"/>
          <c:showVal val="0"/>
          <c:showCatName val="0"/>
          <c:showSerName val="0"/>
          <c:showPercent val="0"/>
          <c:showBubbleSize val="0"/>
        </c:dLbls>
        <c:gapWidth val="50"/>
        <c:axId val="561625728"/>
        <c:axId val="561627520"/>
      </c:barChart>
      <c:catAx>
        <c:axId val="561625728"/>
        <c:scaling>
          <c:orientation val="minMax"/>
        </c:scaling>
        <c:delete val="0"/>
        <c:axPos val="b"/>
        <c:numFmt formatCode="mmm\ yy"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Narrow"/>
                <a:ea typeface="Arial Narrow"/>
                <a:cs typeface="Arial Narrow"/>
              </a:defRPr>
            </a:pPr>
            <a:endParaRPr lang="en-US"/>
          </a:p>
        </c:txPr>
        <c:crossAx val="561627520"/>
        <c:crosses val="autoZero"/>
        <c:auto val="0"/>
        <c:lblAlgn val="ctr"/>
        <c:lblOffset val="100"/>
        <c:tickLblSkip val="2"/>
        <c:tickMarkSkip val="1"/>
        <c:noMultiLvlLbl val="0"/>
      </c:catAx>
      <c:valAx>
        <c:axId val="561627520"/>
        <c:scaling>
          <c:orientation val="minMax"/>
        </c:scaling>
        <c:delete val="0"/>
        <c:axPos val="l"/>
        <c:majorGridlines>
          <c:spPr>
            <a:ln w="12700">
              <a:solidFill>
                <a:srgbClr val="969696"/>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Narrow"/>
                <a:ea typeface="Arial Narrow"/>
                <a:cs typeface="Arial Narrow"/>
              </a:defRPr>
            </a:pPr>
            <a:endParaRPr lang="en-US"/>
          </a:p>
        </c:txPr>
        <c:crossAx val="561625728"/>
        <c:crosses val="autoZero"/>
        <c:crossBetween val="between"/>
        <c:majorUnit val="10"/>
      </c:valAx>
      <c:spPr>
        <a:noFill/>
        <a:ln w="12700">
          <a:solidFill>
            <a:srgbClr val="808080"/>
          </a:solidFill>
          <a:prstDash val="solid"/>
        </a:ln>
      </c:spPr>
    </c:plotArea>
    <c:legend>
      <c:legendPos val="b"/>
      <c:layout>
        <c:manualLayout>
          <c:xMode val="edge"/>
          <c:yMode val="edge"/>
          <c:x val="0.21000034179743132"/>
          <c:y val="0.90000109863415356"/>
          <c:w val="0.58000094401195312"/>
          <c:h val="6.2500076294038448E-2"/>
        </c:manualLayout>
      </c:layout>
      <c:overlay val="0"/>
      <c:spPr>
        <a:solidFill>
          <a:srgbClr val="FFFFFF"/>
        </a:solidFill>
        <a:ln w="25400">
          <a:noFill/>
        </a:ln>
      </c:spPr>
      <c:txPr>
        <a:bodyPr/>
        <a:lstStyle/>
        <a:p>
          <a:pPr>
            <a:defRPr sz="1100" b="0" i="0" u="none" strike="noStrike" baseline="0">
              <a:solidFill>
                <a:srgbClr val="000000"/>
              </a:solidFill>
              <a:latin typeface="Arial Narrow"/>
              <a:ea typeface="Arial Narrow"/>
              <a:cs typeface="Arial Narrow"/>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333452691166492E-2"/>
          <c:y val="6.2500076294038448E-2"/>
          <c:w val="0.90333480360482354"/>
          <c:h val="0.72250088195908446"/>
        </c:manualLayout>
      </c:layout>
      <c:barChart>
        <c:barDir val="col"/>
        <c:grouping val="clustered"/>
        <c:varyColors val="0"/>
        <c:ser>
          <c:idx val="0"/>
          <c:order val="0"/>
          <c:tx>
            <c:strRef>
              <c:f>'Year over Year'!$F$5</c:f>
              <c:strCache>
                <c:ptCount val="1"/>
                <c:pt idx="0">
                  <c:v>Gross Profit Margin</c:v>
                </c:pt>
              </c:strCache>
            </c:strRef>
          </c:tx>
          <c:spPr>
            <a:solidFill>
              <a:srgbClr val="003366"/>
            </a:solidFill>
            <a:ln w="12700">
              <a:solidFill>
                <a:srgbClr val="000000"/>
              </a:solidFill>
              <a:prstDash val="solid"/>
            </a:ln>
          </c:spPr>
          <c:invertIfNegative val="0"/>
          <c:cat>
            <c:numRef>
              <c:f>'Year over Year'!$A$6:$A$27</c:f>
              <c:numCache>
                <c:formatCode>mm/dd/yyyy</c:formatCode>
                <c:ptCount val="22"/>
                <c:pt idx="0">
                  <c:v>39172</c:v>
                </c:pt>
                <c:pt idx="1">
                  <c:v>39263</c:v>
                </c:pt>
                <c:pt idx="2">
                  <c:v>39355</c:v>
                </c:pt>
                <c:pt idx="3">
                  <c:v>39447</c:v>
                </c:pt>
                <c:pt idx="4">
                  <c:v>39538</c:v>
                </c:pt>
                <c:pt idx="5">
                  <c:v>39629</c:v>
                </c:pt>
                <c:pt idx="6">
                  <c:v>39721</c:v>
                </c:pt>
                <c:pt idx="7">
                  <c:v>39813</c:v>
                </c:pt>
                <c:pt idx="8">
                  <c:v>39903</c:v>
                </c:pt>
                <c:pt idx="9">
                  <c:v>39994</c:v>
                </c:pt>
                <c:pt idx="10">
                  <c:v>40086</c:v>
                </c:pt>
                <c:pt idx="11">
                  <c:v>40178</c:v>
                </c:pt>
                <c:pt idx="12">
                  <c:v>40268</c:v>
                </c:pt>
                <c:pt idx="13">
                  <c:v>40359</c:v>
                </c:pt>
                <c:pt idx="14">
                  <c:v>40451</c:v>
                </c:pt>
                <c:pt idx="15">
                  <c:v>40543</c:v>
                </c:pt>
                <c:pt idx="16">
                  <c:v>40633</c:v>
                </c:pt>
                <c:pt idx="17">
                  <c:v>40724</c:v>
                </c:pt>
                <c:pt idx="18">
                  <c:v>40816</c:v>
                </c:pt>
                <c:pt idx="19">
                  <c:v>40908</c:v>
                </c:pt>
                <c:pt idx="20">
                  <c:v>40999</c:v>
                </c:pt>
                <c:pt idx="21">
                  <c:v>41090</c:v>
                </c:pt>
              </c:numCache>
            </c:numRef>
          </c:cat>
          <c:val>
            <c:numRef>
              <c:f>'Year over Year'!$F$6:$F$27</c:f>
              <c:numCache>
                <c:formatCode>0.0</c:formatCode>
                <c:ptCount val="22"/>
                <c:pt idx="0">
                  <c:v>39.306342228926951</c:v>
                </c:pt>
                <c:pt idx="1">
                  <c:v>39.140575246269314</c:v>
                </c:pt>
                <c:pt idx="2">
                  <c:v>35.73825455388716</c:v>
                </c:pt>
                <c:pt idx="3">
                  <c:v>36.60239297243676</c:v>
                </c:pt>
                <c:pt idx="4">
                  <c:v>35.61112811923126</c:v>
                </c:pt>
                <c:pt idx="5">
                  <c:v>36.028631579065284</c:v>
                </c:pt>
                <c:pt idx="6">
                  <c:v>34.739729795961793</c:v>
                </c:pt>
                <c:pt idx="7">
                  <c:v>30.76869605721232</c:v>
                </c:pt>
                <c:pt idx="8">
                  <c:v>34.516804912594289</c:v>
                </c:pt>
                <c:pt idx="9">
                  <c:v>34.931447607862296</c:v>
                </c:pt>
                <c:pt idx="10">
                  <c:v>34.239960078365826</c:v>
                </c:pt>
                <c:pt idx="11">
                  <c:v>32.368477030743172</c:v>
                </c:pt>
                <c:pt idx="12">
                  <c:v>33.311300637167243</c:v>
                </c:pt>
                <c:pt idx="13">
                  <c:v>34.883775512932935</c:v>
                </c:pt>
                <c:pt idx="14">
                  <c:v>34.348688092207269</c:v>
                </c:pt>
                <c:pt idx="15">
                  <c:v>33.549498794869905</c:v>
                </c:pt>
                <c:pt idx="16">
                  <c:v>34.989321440800822</c:v>
                </c:pt>
                <c:pt idx="17">
                  <c:v>34.283822202043424</c:v>
                </c:pt>
                <c:pt idx="18">
                  <c:v>31.948894187157851</c:v>
                </c:pt>
                <c:pt idx="19">
                  <c:v>31.796215844661702</c:v>
                </c:pt>
                <c:pt idx="20">
                  <c:v>32.798250328062863</c:v>
                </c:pt>
                <c:pt idx="21">
                  <c:v>29.431614817323492</c:v>
                </c:pt>
              </c:numCache>
            </c:numRef>
          </c:val>
        </c:ser>
        <c:dLbls>
          <c:showLegendKey val="0"/>
          <c:showVal val="0"/>
          <c:showCatName val="0"/>
          <c:showSerName val="0"/>
          <c:showPercent val="0"/>
          <c:showBubbleSize val="0"/>
        </c:dLbls>
        <c:gapWidth val="50"/>
        <c:axId val="579301760"/>
        <c:axId val="579303296"/>
      </c:barChart>
      <c:catAx>
        <c:axId val="579301760"/>
        <c:scaling>
          <c:orientation val="minMax"/>
        </c:scaling>
        <c:delete val="0"/>
        <c:axPos val="b"/>
        <c:numFmt formatCode="mmm\ yy"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Narrow"/>
                <a:ea typeface="Arial Narrow"/>
                <a:cs typeface="Arial Narrow"/>
              </a:defRPr>
            </a:pPr>
            <a:endParaRPr lang="en-US"/>
          </a:p>
        </c:txPr>
        <c:crossAx val="579303296"/>
        <c:crosses val="autoZero"/>
        <c:auto val="0"/>
        <c:lblAlgn val="ctr"/>
        <c:lblOffset val="100"/>
        <c:tickLblSkip val="2"/>
        <c:tickMarkSkip val="1"/>
        <c:noMultiLvlLbl val="0"/>
      </c:catAx>
      <c:valAx>
        <c:axId val="579303296"/>
        <c:scaling>
          <c:orientation val="minMax"/>
          <c:min val="23"/>
        </c:scaling>
        <c:delete val="0"/>
        <c:axPos val="l"/>
        <c:majorGridlines>
          <c:spPr>
            <a:ln w="12700">
              <a:solidFill>
                <a:srgbClr val="969696"/>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Narrow"/>
                <a:ea typeface="Arial Narrow"/>
                <a:cs typeface="Arial Narrow"/>
              </a:defRPr>
            </a:pPr>
            <a:endParaRPr lang="en-US"/>
          </a:p>
        </c:txPr>
        <c:crossAx val="579301760"/>
        <c:crosses val="autoZero"/>
        <c:crossBetween val="between"/>
      </c:valAx>
      <c:spPr>
        <a:noFill/>
        <a:ln w="12700">
          <a:solidFill>
            <a:srgbClr val="808080"/>
          </a:solidFill>
          <a:prstDash val="solid"/>
        </a:ln>
      </c:spPr>
    </c:plotArea>
    <c:legend>
      <c:legendPos val="b"/>
      <c:layout>
        <c:manualLayout>
          <c:xMode val="edge"/>
          <c:yMode val="edge"/>
          <c:x val="0.41333400607748383"/>
          <c:y val="0.91000111084119972"/>
          <c:w val="0.23000037434956763"/>
          <c:h val="6.2500076294038448E-2"/>
        </c:manualLayout>
      </c:layout>
      <c:overlay val="0"/>
      <c:spPr>
        <a:solidFill>
          <a:srgbClr val="FFFFFF"/>
        </a:solidFill>
        <a:ln w="25400">
          <a:noFill/>
        </a:ln>
      </c:spPr>
      <c:txPr>
        <a:bodyPr/>
        <a:lstStyle/>
        <a:p>
          <a:pPr>
            <a:defRPr sz="1100" b="0" i="0" u="none" strike="noStrike" baseline="0">
              <a:solidFill>
                <a:srgbClr val="000000"/>
              </a:solidFill>
              <a:latin typeface="Arial Narrow"/>
              <a:ea typeface="Arial Narrow"/>
              <a:cs typeface="Arial Narrow"/>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6666807725924028E-2"/>
          <c:y val="4.7500057983469221E-2"/>
          <c:w val="0.88333477105268721"/>
          <c:h val="0.74250090637317667"/>
        </c:manualLayout>
      </c:layout>
      <c:barChart>
        <c:barDir val="col"/>
        <c:grouping val="clustered"/>
        <c:varyColors val="0"/>
        <c:ser>
          <c:idx val="0"/>
          <c:order val="0"/>
          <c:tx>
            <c:strRef>
              <c:f>'Year over Year'!$I$5</c:f>
              <c:strCache>
                <c:ptCount val="1"/>
                <c:pt idx="0">
                  <c:v>YOY EM IG EBITDA % Change</c:v>
                </c:pt>
              </c:strCache>
            </c:strRef>
          </c:tx>
          <c:spPr>
            <a:solidFill>
              <a:srgbClr val="003366"/>
            </a:solidFill>
            <a:ln w="12700">
              <a:solidFill>
                <a:srgbClr val="000000"/>
              </a:solidFill>
              <a:prstDash val="solid"/>
            </a:ln>
          </c:spPr>
          <c:invertIfNegative val="0"/>
          <c:cat>
            <c:numRef>
              <c:f>'Year over Year'!$A$6:$A$27</c:f>
              <c:numCache>
                <c:formatCode>mm/dd/yyyy</c:formatCode>
                <c:ptCount val="22"/>
                <c:pt idx="0">
                  <c:v>39172</c:v>
                </c:pt>
                <c:pt idx="1">
                  <c:v>39263</c:v>
                </c:pt>
                <c:pt idx="2">
                  <c:v>39355</c:v>
                </c:pt>
                <c:pt idx="3">
                  <c:v>39447</c:v>
                </c:pt>
                <c:pt idx="4">
                  <c:v>39538</c:v>
                </c:pt>
                <c:pt idx="5">
                  <c:v>39629</c:v>
                </c:pt>
                <c:pt idx="6">
                  <c:v>39721</c:v>
                </c:pt>
                <c:pt idx="7">
                  <c:v>39813</c:v>
                </c:pt>
                <c:pt idx="8">
                  <c:v>39903</c:v>
                </c:pt>
                <c:pt idx="9">
                  <c:v>39994</c:v>
                </c:pt>
                <c:pt idx="10">
                  <c:v>40086</c:v>
                </c:pt>
                <c:pt idx="11">
                  <c:v>40178</c:v>
                </c:pt>
                <c:pt idx="12">
                  <c:v>40268</c:v>
                </c:pt>
                <c:pt idx="13">
                  <c:v>40359</c:v>
                </c:pt>
                <c:pt idx="14">
                  <c:v>40451</c:v>
                </c:pt>
                <c:pt idx="15">
                  <c:v>40543</c:v>
                </c:pt>
                <c:pt idx="16">
                  <c:v>40633</c:v>
                </c:pt>
                <c:pt idx="17">
                  <c:v>40724</c:v>
                </c:pt>
                <c:pt idx="18">
                  <c:v>40816</c:v>
                </c:pt>
                <c:pt idx="19">
                  <c:v>40908</c:v>
                </c:pt>
                <c:pt idx="20">
                  <c:v>40999</c:v>
                </c:pt>
                <c:pt idx="21">
                  <c:v>41090</c:v>
                </c:pt>
              </c:numCache>
            </c:numRef>
          </c:cat>
          <c:val>
            <c:numRef>
              <c:f>'Year over Year'!$I$6:$I$27</c:f>
              <c:numCache>
                <c:formatCode>0.0</c:formatCode>
                <c:ptCount val="22"/>
                <c:pt idx="0">
                  <c:v>1.0681396067153681</c:v>
                </c:pt>
                <c:pt idx="1">
                  <c:v>5.1098604441168982</c:v>
                </c:pt>
                <c:pt idx="2">
                  <c:v>4.854232684284554</c:v>
                </c:pt>
                <c:pt idx="3">
                  <c:v>29.475368041798244</c:v>
                </c:pt>
                <c:pt idx="4">
                  <c:v>39.686512328961811</c:v>
                </c:pt>
                <c:pt idx="5">
                  <c:v>40.735220255367196</c:v>
                </c:pt>
                <c:pt idx="6">
                  <c:v>35.576659709141452</c:v>
                </c:pt>
                <c:pt idx="7">
                  <c:v>-25.53868220049409</c:v>
                </c:pt>
                <c:pt idx="8">
                  <c:v>-38.425900719220294</c:v>
                </c:pt>
                <c:pt idx="9">
                  <c:v>-44.016540667046378</c:v>
                </c:pt>
                <c:pt idx="10">
                  <c:v>-32.355801520315339</c:v>
                </c:pt>
                <c:pt idx="11">
                  <c:v>22.318849528274409</c:v>
                </c:pt>
                <c:pt idx="12">
                  <c:v>42.409604285232305</c:v>
                </c:pt>
                <c:pt idx="13">
                  <c:v>36.095064751505966</c:v>
                </c:pt>
                <c:pt idx="14">
                  <c:v>20.980658123295569</c:v>
                </c:pt>
                <c:pt idx="15">
                  <c:v>31.547805663660977</c:v>
                </c:pt>
                <c:pt idx="16">
                  <c:v>28.5466447394924</c:v>
                </c:pt>
                <c:pt idx="17">
                  <c:v>29.089959566293455</c:v>
                </c:pt>
                <c:pt idx="18">
                  <c:v>23.485769155812221</c:v>
                </c:pt>
                <c:pt idx="19">
                  <c:v>8.2912116022900264</c:v>
                </c:pt>
                <c:pt idx="20">
                  <c:v>-1.9326570523742537</c:v>
                </c:pt>
                <c:pt idx="21">
                  <c:v>-21.349669058854836</c:v>
                </c:pt>
              </c:numCache>
            </c:numRef>
          </c:val>
        </c:ser>
        <c:ser>
          <c:idx val="1"/>
          <c:order val="1"/>
          <c:tx>
            <c:strRef>
              <c:f>'Year over Year'!$P$5</c:f>
              <c:strCache>
                <c:ptCount val="1"/>
                <c:pt idx="0">
                  <c:v>YOY EM HY EBITDA % Change</c:v>
                </c:pt>
              </c:strCache>
            </c:strRef>
          </c:tx>
          <c:spPr>
            <a:solidFill>
              <a:srgbClr val="FF6600"/>
            </a:solidFill>
            <a:ln w="12700">
              <a:solidFill>
                <a:srgbClr val="000000"/>
              </a:solidFill>
              <a:prstDash val="solid"/>
            </a:ln>
          </c:spPr>
          <c:invertIfNegative val="0"/>
          <c:cat>
            <c:numRef>
              <c:f>'Year over Year'!$A$6:$A$27</c:f>
              <c:numCache>
                <c:formatCode>mm/dd/yyyy</c:formatCode>
                <c:ptCount val="22"/>
                <c:pt idx="0">
                  <c:v>39172</c:v>
                </c:pt>
                <c:pt idx="1">
                  <c:v>39263</c:v>
                </c:pt>
                <c:pt idx="2">
                  <c:v>39355</c:v>
                </c:pt>
                <c:pt idx="3">
                  <c:v>39447</c:v>
                </c:pt>
                <c:pt idx="4">
                  <c:v>39538</c:v>
                </c:pt>
                <c:pt idx="5">
                  <c:v>39629</c:v>
                </c:pt>
                <c:pt idx="6">
                  <c:v>39721</c:v>
                </c:pt>
                <c:pt idx="7">
                  <c:v>39813</c:v>
                </c:pt>
                <c:pt idx="8">
                  <c:v>39903</c:v>
                </c:pt>
                <c:pt idx="9">
                  <c:v>39994</c:v>
                </c:pt>
                <c:pt idx="10">
                  <c:v>40086</c:v>
                </c:pt>
                <c:pt idx="11">
                  <c:v>40178</c:v>
                </c:pt>
                <c:pt idx="12">
                  <c:v>40268</c:v>
                </c:pt>
                <c:pt idx="13">
                  <c:v>40359</c:v>
                </c:pt>
                <c:pt idx="14">
                  <c:v>40451</c:v>
                </c:pt>
                <c:pt idx="15">
                  <c:v>40543</c:v>
                </c:pt>
                <c:pt idx="16">
                  <c:v>40633</c:v>
                </c:pt>
                <c:pt idx="17">
                  <c:v>40724</c:v>
                </c:pt>
                <c:pt idx="18">
                  <c:v>40816</c:v>
                </c:pt>
                <c:pt idx="19">
                  <c:v>40908</c:v>
                </c:pt>
                <c:pt idx="20">
                  <c:v>40999</c:v>
                </c:pt>
                <c:pt idx="21">
                  <c:v>41090</c:v>
                </c:pt>
              </c:numCache>
            </c:numRef>
          </c:cat>
          <c:val>
            <c:numRef>
              <c:f>'Year over Year'!$P$6:$P$27</c:f>
              <c:numCache>
                <c:formatCode>0.0</c:formatCode>
                <c:ptCount val="22"/>
                <c:pt idx="0">
                  <c:v>21.040195784196026</c:v>
                </c:pt>
                <c:pt idx="1">
                  <c:v>27.558747869955113</c:v>
                </c:pt>
                <c:pt idx="2">
                  <c:v>27.897741834900415</c:v>
                </c:pt>
                <c:pt idx="3">
                  <c:v>12.213913905667573</c:v>
                </c:pt>
                <c:pt idx="4">
                  <c:v>30.284950686465308</c:v>
                </c:pt>
                <c:pt idx="5">
                  <c:v>39.458598059969788</c:v>
                </c:pt>
                <c:pt idx="6">
                  <c:v>31.784800491395359</c:v>
                </c:pt>
                <c:pt idx="7">
                  <c:v>-2.5723107330941075</c:v>
                </c:pt>
                <c:pt idx="8">
                  <c:v>-34.98935645497</c:v>
                </c:pt>
                <c:pt idx="9">
                  <c:v>-35.688464169574132</c:v>
                </c:pt>
                <c:pt idx="10">
                  <c:v>-26.932473751028052</c:v>
                </c:pt>
                <c:pt idx="11">
                  <c:v>0.75637935591792438</c:v>
                </c:pt>
                <c:pt idx="12">
                  <c:v>43.78501841800859</c:v>
                </c:pt>
                <c:pt idx="13">
                  <c:v>51.031982092074223</c:v>
                </c:pt>
                <c:pt idx="14">
                  <c:v>36.190070774064068</c:v>
                </c:pt>
                <c:pt idx="15">
                  <c:v>18.306081966540599</c:v>
                </c:pt>
                <c:pt idx="16">
                  <c:v>26.240533918012243</c:v>
                </c:pt>
                <c:pt idx="17">
                  <c:v>16.646965863520681</c:v>
                </c:pt>
                <c:pt idx="18">
                  <c:v>17.240391319271264</c:v>
                </c:pt>
                <c:pt idx="19">
                  <c:v>10.497323417698556</c:v>
                </c:pt>
                <c:pt idx="20">
                  <c:v>-1.7975204203405259</c:v>
                </c:pt>
                <c:pt idx="21">
                  <c:v>-2.693438845477758</c:v>
                </c:pt>
              </c:numCache>
            </c:numRef>
          </c:val>
        </c:ser>
        <c:dLbls>
          <c:showLegendKey val="0"/>
          <c:showVal val="0"/>
          <c:showCatName val="0"/>
          <c:showSerName val="0"/>
          <c:showPercent val="0"/>
          <c:showBubbleSize val="0"/>
        </c:dLbls>
        <c:gapWidth val="50"/>
        <c:axId val="579320064"/>
        <c:axId val="579330048"/>
      </c:barChart>
      <c:catAx>
        <c:axId val="579320064"/>
        <c:scaling>
          <c:orientation val="minMax"/>
        </c:scaling>
        <c:delete val="0"/>
        <c:axPos val="b"/>
        <c:numFmt formatCode="mmm\ yy"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Narrow"/>
                <a:ea typeface="Arial Narrow"/>
                <a:cs typeface="Arial Narrow"/>
              </a:defRPr>
            </a:pPr>
            <a:endParaRPr lang="en-US"/>
          </a:p>
        </c:txPr>
        <c:crossAx val="579330048"/>
        <c:crosses val="autoZero"/>
        <c:auto val="0"/>
        <c:lblAlgn val="ctr"/>
        <c:lblOffset val="100"/>
        <c:tickLblSkip val="2"/>
        <c:tickMarkSkip val="1"/>
        <c:noMultiLvlLbl val="0"/>
      </c:catAx>
      <c:valAx>
        <c:axId val="579330048"/>
        <c:scaling>
          <c:orientation val="minMax"/>
          <c:min val="-50"/>
        </c:scaling>
        <c:delete val="0"/>
        <c:axPos val="l"/>
        <c:majorGridlines>
          <c:spPr>
            <a:ln w="12700">
              <a:solidFill>
                <a:srgbClr val="969696"/>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Narrow"/>
                <a:ea typeface="Arial Narrow"/>
                <a:cs typeface="Arial Narrow"/>
              </a:defRPr>
            </a:pPr>
            <a:endParaRPr lang="en-US"/>
          </a:p>
        </c:txPr>
        <c:crossAx val="579320064"/>
        <c:crosses val="autoZero"/>
        <c:crossBetween val="between"/>
        <c:majorUnit val="10"/>
      </c:valAx>
      <c:spPr>
        <a:noFill/>
        <a:ln w="12700">
          <a:solidFill>
            <a:srgbClr val="808080"/>
          </a:solidFill>
          <a:prstDash val="solid"/>
        </a:ln>
      </c:spPr>
    </c:plotArea>
    <c:legend>
      <c:legendPos val="b"/>
      <c:layout>
        <c:manualLayout>
          <c:xMode val="edge"/>
          <c:yMode val="edge"/>
          <c:x val="0.12500020345085197"/>
          <c:y val="0.90750110778943827"/>
          <c:w val="0.77333459201593757"/>
          <c:h val="6.2500076294038448E-2"/>
        </c:manualLayout>
      </c:layout>
      <c:overlay val="0"/>
      <c:spPr>
        <a:solidFill>
          <a:srgbClr val="FFFFFF"/>
        </a:solidFill>
        <a:ln w="25400">
          <a:noFill/>
        </a:ln>
      </c:spPr>
      <c:txPr>
        <a:bodyPr/>
        <a:lstStyle/>
        <a:p>
          <a:pPr>
            <a:defRPr sz="1100" b="0" i="0" u="none" strike="noStrike" baseline="0">
              <a:solidFill>
                <a:srgbClr val="000000"/>
              </a:solidFill>
              <a:latin typeface="Arial Narrow"/>
              <a:ea typeface="Arial Narrow"/>
              <a:cs typeface="Arial Narrow"/>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66783311821802E-2"/>
          <c:y val="4.7500057983469221E-2"/>
          <c:w val="0.89833479546678952"/>
          <c:h val="0.77750094909783829"/>
        </c:manualLayout>
      </c:layout>
      <c:barChart>
        <c:barDir val="col"/>
        <c:grouping val="clustered"/>
        <c:varyColors val="0"/>
        <c:ser>
          <c:idx val="0"/>
          <c:order val="0"/>
          <c:tx>
            <c:strRef>
              <c:f>'Year over Year'!$J$5</c:f>
              <c:strCache>
                <c:ptCount val="1"/>
                <c:pt idx="0">
                  <c:v>YOY EM IG Total Debt % Change</c:v>
                </c:pt>
              </c:strCache>
            </c:strRef>
          </c:tx>
          <c:spPr>
            <a:solidFill>
              <a:srgbClr val="003366"/>
            </a:solidFill>
            <a:ln w="12700">
              <a:solidFill>
                <a:srgbClr val="000000"/>
              </a:solidFill>
              <a:prstDash val="solid"/>
            </a:ln>
          </c:spPr>
          <c:invertIfNegative val="0"/>
          <c:cat>
            <c:numRef>
              <c:f>'Year over Year'!$A$6:$A$27</c:f>
              <c:numCache>
                <c:formatCode>mm/dd/yyyy</c:formatCode>
                <c:ptCount val="22"/>
                <c:pt idx="0">
                  <c:v>39172</c:v>
                </c:pt>
                <c:pt idx="1">
                  <c:v>39263</c:v>
                </c:pt>
                <c:pt idx="2">
                  <c:v>39355</c:v>
                </c:pt>
                <c:pt idx="3">
                  <c:v>39447</c:v>
                </c:pt>
                <c:pt idx="4">
                  <c:v>39538</c:v>
                </c:pt>
                <c:pt idx="5">
                  <c:v>39629</c:v>
                </c:pt>
                <c:pt idx="6">
                  <c:v>39721</c:v>
                </c:pt>
                <c:pt idx="7">
                  <c:v>39813</c:v>
                </c:pt>
                <c:pt idx="8">
                  <c:v>39903</c:v>
                </c:pt>
                <c:pt idx="9">
                  <c:v>39994</c:v>
                </c:pt>
                <c:pt idx="10">
                  <c:v>40086</c:v>
                </c:pt>
                <c:pt idx="11">
                  <c:v>40178</c:v>
                </c:pt>
                <c:pt idx="12">
                  <c:v>40268</c:v>
                </c:pt>
                <c:pt idx="13">
                  <c:v>40359</c:v>
                </c:pt>
                <c:pt idx="14">
                  <c:v>40451</c:v>
                </c:pt>
                <c:pt idx="15">
                  <c:v>40543</c:v>
                </c:pt>
                <c:pt idx="16">
                  <c:v>40633</c:v>
                </c:pt>
                <c:pt idx="17">
                  <c:v>40724</c:v>
                </c:pt>
                <c:pt idx="18">
                  <c:v>40816</c:v>
                </c:pt>
                <c:pt idx="19">
                  <c:v>40908</c:v>
                </c:pt>
                <c:pt idx="20">
                  <c:v>40999</c:v>
                </c:pt>
                <c:pt idx="21">
                  <c:v>41090</c:v>
                </c:pt>
              </c:numCache>
            </c:numRef>
          </c:cat>
          <c:val>
            <c:numRef>
              <c:f>'Year over Year'!$J$6:$J$27</c:f>
              <c:numCache>
                <c:formatCode>0.0</c:formatCode>
                <c:ptCount val="22"/>
                <c:pt idx="0">
                  <c:v>19.103365808936857</c:v>
                </c:pt>
                <c:pt idx="1">
                  <c:v>19.343266965299222</c:v>
                </c:pt>
                <c:pt idx="2">
                  <c:v>15.186373871233606</c:v>
                </c:pt>
                <c:pt idx="3">
                  <c:v>17.35435170024202</c:v>
                </c:pt>
                <c:pt idx="4">
                  <c:v>16.40509411676463</c:v>
                </c:pt>
                <c:pt idx="5">
                  <c:v>11.164258236844816</c:v>
                </c:pt>
                <c:pt idx="6">
                  <c:v>6.5963046066711328</c:v>
                </c:pt>
                <c:pt idx="7">
                  <c:v>2.4931833796634217</c:v>
                </c:pt>
                <c:pt idx="8">
                  <c:v>1.0017681510335441</c:v>
                </c:pt>
                <c:pt idx="9">
                  <c:v>12.446717390075769</c:v>
                </c:pt>
                <c:pt idx="10">
                  <c:v>23.417594965864417</c:v>
                </c:pt>
                <c:pt idx="11">
                  <c:v>30.097454027654802</c:v>
                </c:pt>
                <c:pt idx="12">
                  <c:v>23.941812530942229</c:v>
                </c:pt>
                <c:pt idx="13">
                  <c:v>12.771835773976626</c:v>
                </c:pt>
                <c:pt idx="14">
                  <c:v>10.626616951685497</c:v>
                </c:pt>
                <c:pt idx="15">
                  <c:v>10.516291777915487</c:v>
                </c:pt>
                <c:pt idx="16">
                  <c:v>15.374873432263957</c:v>
                </c:pt>
                <c:pt idx="17">
                  <c:v>14.91174319220212</c:v>
                </c:pt>
                <c:pt idx="18">
                  <c:v>6.6978921941127423</c:v>
                </c:pt>
                <c:pt idx="19">
                  <c:v>4.4170591406040849</c:v>
                </c:pt>
                <c:pt idx="20">
                  <c:v>9.5996378229188828</c:v>
                </c:pt>
                <c:pt idx="21">
                  <c:v>3.1503426732618633</c:v>
                </c:pt>
              </c:numCache>
            </c:numRef>
          </c:val>
        </c:ser>
        <c:ser>
          <c:idx val="1"/>
          <c:order val="1"/>
          <c:tx>
            <c:strRef>
              <c:f>'Year over Year'!$Q$5</c:f>
              <c:strCache>
                <c:ptCount val="1"/>
                <c:pt idx="0">
                  <c:v>YOY EM HY Total Debt % Change</c:v>
                </c:pt>
              </c:strCache>
            </c:strRef>
          </c:tx>
          <c:spPr>
            <a:solidFill>
              <a:srgbClr val="FF6600"/>
            </a:solidFill>
            <a:ln w="12700">
              <a:solidFill>
                <a:srgbClr val="000000"/>
              </a:solidFill>
              <a:prstDash val="solid"/>
            </a:ln>
          </c:spPr>
          <c:invertIfNegative val="0"/>
          <c:cat>
            <c:numRef>
              <c:f>'Year over Year'!$A$6:$A$27</c:f>
              <c:numCache>
                <c:formatCode>mm/dd/yyyy</c:formatCode>
                <c:ptCount val="22"/>
                <c:pt idx="0">
                  <c:v>39172</c:v>
                </c:pt>
                <c:pt idx="1">
                  <c:v>39263</c:v>
                </c:pt>
                <c:pt idx="2">
                  <c:v>39355</c:v>
                </c:pt>
                <c:pt idx="3">
                  <c:v>39447</c:v>
                </c:pt>
                <c:pt idx="4">
                  <c:v>39538</c:v>
                </c:pt>
                <c:pt idx="5">
                  <c:v>39629</c:v>
                </c:pt>
                <c:pt idx="6">
                  <c:v>39721</c:v>
                </c:pt>
                <c:pt idx="7">
                  <c:v>39813</c:v>
                </c:pt>
                <c:pt idx="8">
                  <c:v>39903</c:v>
                </c:pt>
                <c:pt idx="9">
                  <c:v>39994</c:v>
                </c:pt>
                <c:pt idx="10">
                  <c:v>40086</c:v>
                </c:pt>
                <c:pt idx="11">
                  <c:v>40178</c:v>
                </c:pt>
                <c:pt idx="12">
                  <c:v>40268</c:v>
                </c:pt>
                <c:pt idx="13">
                  <c:v>40359</c:v>
                </c:pt>
                <c:pt idx="14">
                  <c:v>40451</c:v>
                </c:pt>
                <c:pt idx="15">
                  <c:v>40543</c:v>
                </c:pt>
                <c:pt idx="16">
                  <c:v>40633</c:v>
                </c:pt>
                <c:pt idx="17">
                  <c:v>40724</c:v>
                </c:pt>
                <c:pt idx="18">
                  <c:v>40816</c:v>
                </c:pt>
                <c:pt idx="19">
                  <c:v>40908</c:v>
                </c:pt>
                <c:pt idx="20">
                  <c:v>40999</c:v>
                </c:pt>
                <c:pt idx="21">
                  <c:v>41090</c:v>
                </c:pt>
              </c:numCache>
            </c:numRef>
          </c:cat>
          <c:val>
            <c:numRef>
              <c:f>'Year over Year'!$Q$6:$Q$27</c:f>
              <c:numCache>
                <c:formatCode>0.0</c:formatCode>
                <c:ptCount val="22"/>
                <c:pt idx="0">
                  <c:v>21.061836315479553</c:v>
                </c:pt>
                <c:pt idx="1">
                  <c:v>22.390440375766254</c:v>
                </c:pt>
                <c:pt idx="2">
                  <c:v>27.966883461854675</c:v>
                </c:pt>
                <c:pt idx="3">
                  <c:v>27.683063817116206</c:v>
                </c:pt>
                <c:pt idx="4">
                  <c:v>40.479690679768929</c:v>
                </c:pt>
                <c:pt idx="5">
                  <c:v>47.943910488299139</c:v>
                </c:pt>
                <c:pt idx="6">
                  <c:v>39.248173573246589</c:v>
                </c:pt>
                <c:pt idx="7">
                  <c:v>36.668948403242126</c:v>
                </c:pt>
                <c:pt idx="8">
                  <c:v>12.785734310924891</c:v>
                </c:pt>
                <c:pt idx="9">
                  <c:v>15.296305513308607</c:v>
                </c:pt>
                <c:pt idx="10">
                  <c:v>15.304190144586482</c:v>
                </c:pt>
                <c:pt idx="11">
                  <c:v>23.191691530523585</c:v>
                </c:pt>
                <c:pt idx="12">
                  <c:v>23.604357816585786</c:v>
                </c:pt>
                <c:pt idx="13">
                  <c:v>18.523851879384679</c:v>
                </c:pt>
                <c:pt idx="14">
                  <c:v>17.435642169136891</c:v>
                </c:pt>
                <c:pt idx="15">
                  <c:v>12.204898257963336</c:v>
                </c:pt>
                <c:pt idx="16">
                  <c:v>16.51960391012426</c:v>
                </c:pt>
                <c:pt idx="17">
                  <c:v>22.853240341521364</c:v>
                </c:pt>
                <c:pt idx="18">
                  <c:v>13.504865392323673</c:v>
                </c:pt>
                <c:pt idx="19">
                  <c:v>10.355892179396609</c:v>
                </c:pt>
                <c:pt idx="20">
                  <c:v>4.4138816250582691</c:v>
                </c:pt>
                <c:pt idx="21">
                  <c:v>-4.3730922957510465</c:v>
                </c:pt>
              </c:numCache>
            </c:numRef>
          </c:val>
        </c:ser>
        <c:dLbls>
          <c:showLegendKey val="0"/>
          <c:showVal val="0"/>
          <c:showCatName val="0"/>
          <c:showSerName val="0"/>
          <c:showPercent val="0"/>
          <c:showBubbleSize val="0"/>
        </c:dLbls>
        <c:gapWidth val="50"/>
        <c:axId val="579359488"/>
        <c:axId val="579361024"/>
      </c:barChart>
      <c:catAx>
        <c:axId val="579359488"/>
        <c:scaling>
          <c:orientation val="minMax"/>
        </c:scaling>
        <c:delete val="0"/>
        <c:axPos val="b"/>
        <c:numFmt formatCode="mmm\ yy" sourceLinked="0"/>
        <c:majorTickMark val="out"/>
        <c:minorTickMark val="none"/>
        <c:tickLblPos val="low"/>
        <c:spPr>
          <a:ln w="3175">
            <a:solidFill>
              <a:srgbClr val="000000"/>
            </a:solidFill>
            <a:prstDash val="solid"/>
          </a:ln>
        </c:spPr>
        <c:txPr>
          <a:bodyPr rot="0" vert="horz"/>
          <a:lstStyle/>
          <a:p>
            <a:pPr>
              <a:defRPr sz="1075" b="0" i="0" u="none" strike="noStrike" baseline="0">
                <a:solidFill>
                  <a:srgbClr val="000000"/>
                </a:solidFill>
                <a:latin typeface="Arial Narrow"/>
                <a:ea typeface="Arial Narrow"/>
                <a:cs typeface="Arial Narrow"/>
              </a:defRPr>
            </a:pPr>
            <a:endParaRPr lang="en-US"/>
          </a:p>
        </c:txPr>
        <c:crossAx val="579361024"/>
        <c:crosses val="autoZero"/>
        <c:auto val="0"/>
        <c:lblAlgn val="ctr"/>
        <c:lblOffset val="100"/>
        <c:tickLblSkip val="4"/>
        <c:tickMarkSkip val="1"/>
        <c:noMultiLvlLbl val="0"/>
      </c:catAx>
      <c:valAx>
        <c:axId val="579361024"/>
        <c:scaling>
          <c:orientation val="minMax"/>
          <c:max val="50"/>
          <c:min val="-5"/>
        </c:scaling>
        <c:delete val="0"/>
        <c:axPos val="l"/>
        <c:majorGridlines>
          <c:spPr>
            <a:ln w="12700">
              <a:solidFill>
                <a:srgbClr val="969696"/>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Narrow"/>
                <a:ea typeface="Arial Narrow"/>
                <a:cs typeface="Arial Narrow"/>
              </a:defRPr>
            </a:pPr>
            <a:endParaRPr lang="en-US"/>
          </a:p>
        </c:txPr>
        <c:crossAx val="579359488"/>
        <c:crosses val="autoZero"/>
        <c:crossBetween val="between"/>
        <c:majorUnit val="5"/>
      </c:valAx>
      <c:spPr>
        <a:noFill/>
        <a:ln w="12700">
          <a:solidFill>
            <a:srgbClr val="808080"/>
          </a:solidFill>
          <a:prstDash val="solid"/>
        </a:ln>
      </c:spPr>
    </c:plotArea>
    <c:legend>
      <c:legendPos val="r"/>
      <c:layout>
        <c:manualLayout>
          <c:xMode val="edge"/>
          <c:yMode val="edge"/>
          <c:x val="0.11166684841609442"/>
          <c:y val="0.89750109558239211"/>
          <c:w val="0.81500132649955481"/>
          <c:h val="8.5000103759892282E-2"/>
        </c:manualLayout>
      </c:layout>
      <c:overlay val="0"/>
      <c:spPr>
        <a:solidFill>
          <a:srgbClr val="FFFFFF"/>
        </a:solidFill>
        <a:ln w="25400">
          <a:noFill/>
        </a:ln>
      </c:spPr>
      <c:txPr>
        <a:bodyPr/>
        <a:lstStyle/>
        <a:p>
          <a:pPr>
            <a:defRPr sz="1100" b="0" i="0" u="none" strike="noStrike" baseline="0">
              <a:solidFill>
                <a:srgbClr val="000000"/>
              </a:solidFill>
              <a:latin typeface="Arial Narrow"/>
              <a:ea typeface="Arial Narrow"/>
              <a:cs typeface="Arial Narrow"/>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0000130208545267E-2"/>
          <c:y val="6.2500076294038448E-2"/>
          <c:w val="0.89666812608744484"/>
          <c:h val="0.74000090332141522"/>
        </c:manualLayout>
      </c:layout>
      <c:barChart>
        <c:barDir val="col"/>
        <c:grouping val="clustered"/>
        <c:varyColors val="0"/>
        <c:ser>
          <c:idx val="0"/>
          <c:order val="0"/>
          <c:tx>
            <c:strRef>
              <c:f>'Year over Year'!$K$5</c:f>
              <c:strCache>
                <c:ptCount val="1"/>
                <c:pt idx="0">
                  <c:v>YoYCOGSChange</c:v>
                </c:pt>
              </c:strCache>
            </c:strRef>
          </c:tx>
          <c:spPr>
            <a:solidFill>
              <a:srgbClr val="003366"/>
            </a:solidFill>
            <a:ln w="12700">
              <a:solidFill>
                <a:srgbClr val="000000"/>
              </a:solidFill>
              <a:prstDash val="solid"/>
            </a:ln>
          </c:spPr>
          <c:invertIfNegative val="0"/>
          <c:cat>
            <c:numRef>
              <c:f>'Year over Year'!$A$6:$A$27</c:f>
              <c:numCache>
                <c:formatCode>mm/dd/yyyy</c:formatCode>
                <c:ptCount val="22"/>
                <c:pt idx="0">
                  <c:v>39172</c:v>
                </c:pt>
                <c:pt idx="1">
                  <c:v>39263</c:v>
                </c:pt>
                <c:pt idx="2">
                  <c:v>39355</c:v>
                </c:pt>
                <c:pt idx="3">
                  <c:v>39447</c:v>
                </c:pt>
                <c:pt idx="4">
                  <c:v>39538</c:v>
                </c:pt>
                <c:pt idx="5">
                  <c:v>39629</c:v>
                </c:pt>
                <c:pt idx="6">
                  <c:v>39721</c:v>
                </c:pt>
                <c:pt idx="7">
                  <c:v>39813</c:v>
                </c:pt>
                <c:pt idx="8">
                  <c:v>39903</c:v>
                </c:pt>
                <c:pt idx="9">
                  <c:v>39994</c:v>
                </c:pt>
                <c:pt idx="10">
                  <c:v>40086</c:v>
                </c:pt>
                <c:pt idx="11">
                  <c:v>40178</c:v>
                </c:pt>
                <c:pt idx="12">
                  <c:v>40268</c:v>
                </c:pt>
                <c:pt idx="13">
                  <c:v>40359</c:v>
                </c:pt>
                <c:pt idx="14">
                  <c:v>40451</c:v>
                </c:pt>
                <c:pt idx="15">
                  <c:v>40543</c:v>
                </c:pt>
                <c:pt idx="16">
                  <c:v>40633</c:v>
                </c:pt>
                <c:pt idx="17">
                  <c:v>40724</c:v>
                </c:pt>
                <c:pt idx="18">
                  <c:v>40816</c:v>
                </c:pt>
                <c:pt idx="19">
                  <c:v>40908</c:v>
                </c:pt>
                <c:pt idx="20">
                  <c:v>40999</c:v>
                </c:pt>
                <c:pt idx="21">
                  <c:v>41090</c:v>
                </c:pt>
              </c:numCache>
            </c:numRef>
          </c:cat>
          <c:val>
            <c:numRef>
              <c:f>'Year over Year'!$K$6:$K$27</c:f>
              <c:numCache>
                <c:formatCode>0.0</c:formatCode>
                <c:ptCount val="22"/>
                <c:pt idx="0">
                  <c:v>13.725882415644296</c:v>
                </c:pt>
                <c:pt idx="1">
                  <c:v>19.086833592151041</c:v>
                </c:pt>
                <c:pt idx="2">
                  <c:v>22.19678847612958</c:v>
                </c:pt>
                <c:pt idx="3">
                  <c:v>36.491625426630669</c:v>
                </c:pt>
                <c:pt idx="4">
                  <c:v>49.368003817755344</c:v>
                </c:pt>
                <c:pt idx="5">
                  <c:v>50.12507113112035</c:v>
                </c:pt>
                <c:pt idx="6">
                  <c:v>39.16170549960043</c:v>
                </c:pt>
                <c:pt idx="7">
                  <c:v>-10.74002793336607</c:v>
                </c:pt>
                <c:pt idx="8">
                  <c:v>-30.927420459174837</c:v>
                </c:pt>
                <c:pt idx="9">
                  <c:v>-36.359211714497377</c:v>
                </c:pt>
                <c:pt idx="10">
                  <c:v>-28.750774849293069</c:v>
                </c:pt>
                <c:pt idx="11">
                  <c:v>13.152316131860609</c:v>
                </c:pt>
                <c:pt idx="12">
                  <c:v>38.729166102746191</c:v>
                </c:pt>
                <c:pt idx="13">
                  <c:v>38.528069916577422</c:v>
                </c:pt>
                <c:pt idx="14">
                  <c:v>24.11800229099623</c:v>
                </c:pt>
                <c:pt idx="15">
                  <c:v>25.466095099104223</c:v>
                </c:pt>
                <c:pt idx="16">
                  <c:v>21.437980890518983</c:v>
                </c:pt>
                <c:pt idx="17">
                  <c:v>24.610639484000508</c:v>
                </c:pt>
                <c:pt idx="18">
                  <c:v>24.730017589102182</c:v>
                </c:pt>
                <c:pt idx="19">
                  <c:v>8.4667982502262262</c:v>
                </c:pt>
                <c:pt idx="20">
                  <c:v>16.386611073812475</c:v>
                </c:pt>
                <c:pt idx="21">
                  <c:v>6.4615419793153217</c:v>
                </c:pt>
              </c:numCache>
            </c:numRef>
          </c:val>
        </c:ser>
        <c:ser>
          <c:idx val="1"/>
          <c:order val="1"/>
          <c:tx>
            <c:strRef>
              <c:f>'Year over Year'!$L$5</c:f>
              <c:strCache>
                <c:ptCount val="1"/>
                <c:pt idx="0">
                  <c:v>YoYRevenueChange</c:v>
                </c:pt>
              </c:strCache>
            </c:strRef>
          </c:tx>
          <c:spPr>
            <a:solidFill>
              <a:srgbClr val="FF6600"/>
            </a:solidFill>
            <a:ln w="12700">
              <a:solidFill>
                <a:srgbClr val="000000"/>
              </a:solidFill>
              <a:prstDash val="solid"/>
            </a:ln>
          </c:spPr>
          <c:invertIfNegative val="0"/>
          <c:cat>
            <c:numRef>
              <c:f>'Year over Year'!$A$6:$A$27</c:f>
              <c:numCache>
                <c:formatCode>mm/dd/yyyy</c:formatCode>
                <c:ptCount val="22"/>
                <c:pt idx="0">
                  <c:v>39172</c:v>
                </c:pt>
                <c:pt idx="1">
                  <c:v>39263</c:v>
                </c:pt>
                <c:pt idx="2">
                  <c:v>39355</c:v>
                </c:pt>
                <c:pt idx="3">
                  <c:v>39447</c:v>
                </c:pt>
                <c:pt idx="4">
                  <c:v>39538</c:v>
                </c:pt>
                <c:pt idx="5">
                  <c:v>39629</c:v>
                </c:pt>
                <c:pt idx="6">
                  <c:v>39721</c:v>
                </c:pt>
                <c:pt idx="7">
                  <c:v>39813</c:v>
                </c:pt>
                <c:pt idx="8">
                  <c:v>39903</c:v>
                </c:pt>
                <c:pt idx="9">
                  <c:v>39994</c:v>
                </c:pt>
                <c:pt idx="10">
                  <c:v>40086</c:v>
                </c:pt>
                <c:pt idx="11">
                  <c:v>40178</c:v>
                </c:pt>
                <c:pt idx="12">
                  <c:v>40268</c:v>
                </c:pt>
                <c:pt idx="13">
                  <c:v>40359</c:v>
                </c:pt>
                <c:pt idx="14">
                  <c:v>40451</c:v>
                </c:pt>
                <c:pt idx="15">
                  <c:v>40543</c:v>
                </c:pt>
                <c:pt idx="16">
                  <c:v>40633</c:v>
                </c:pt>
                <c:pt idx="17">
                  <c:v>40724</c:v>
                </c:pt>
                <c:pt idx="18">
                  <c:v>40816</c:v>
                </c:pt>
                <c:pt idx="19">
                  <c:v>40908</c:v>
                </c:pt>
                <c:pt idx="20">
                  <c:v>40999</c:v>
                </c:pt>
                <c:pt idx="21">
                  <c:v>41090</c:v>
                </c:pt>
              </c:numCache>
            </c:numRef>
          </c:cat>
          <c:val>
            <c:numRef>
              <c:f>'Year over Year'!$L$6:$L$27</c:f>
              <c:numCache>
                <c:formatCode>0.0</c:formatCode>
                <c:ptCount val="22"/>
                <c:pt idx="0">
                  <c:v>9.8609553802685213</c:v>
                </c:pt>
                <c:pt idx="1">
                  <c:v>10.348173807831106</c:v>
                </c:pt>
                <c:pt idx="2">
                  <c:v>17.060796380150833</c:v>
                </c:pt>
                <c:pt idx="3">
                  <c:v>39.785185483452892</c:v>
                </c:pt>
                <c:pt idx="4">
                  <c:v>41.814842986696533</c:v>
                </c:pt>
                <c:pt idx="5">
                  <c:v>39.406152536930563</c:v>
                </c:pt>
                <c:pt idx="6">
                  <c:v>34.990244803691105</c:v>
                </c:pt>
                <c:pt idx="7">
                  <c:v>-7.935733174359239</c:v>
                </c:pt>
                <c:pt idx="8">
                  <c:v>-31.277654051014668</c:v>
                </c:pt>
                <c:pt idx="9">
                  <c:v>-37.124753621366736</c:v>
                </c:pt>
                <c:pt idx="10">
                  <c:v>-27.63878573277281</c:v>
                </c:pt>
                <c:pt idx="11">
                  <c:v>16.15526006984598</c:v>
                </c:pt>
                <c:pt idx="12">
                  <c:v>38.856507436503883</c:v>
                </c:pt>
                <c:pt idx="13">
                  <c:v>37.825003482650253</c:v>
                </c:pt>
                <c:pt idx="14">
                  <c:v>22.856827894892429</c:v>
                </c:pt>
                <c:pt idx="15">
                  <c:v>25.053580180851888</c:v>
                </c:pt>
                <c:pt idx="16">
                  <c:v>23.231792998525492</c:v>
                </c:pt>
                <c:pt idx="17">
                  <c:v>24.870218592383232</c:v>
                </c:pt>
                <c:pt idx="18">
                  <c:v>20.479390211513106</c:v>
                </c:pt>
                <c:pt idx="19">
                  <c:v>5.8638512428676792</c:v>
                </c:pt>
                <c:pt idx="20">
                  <c:v>10.600124088200102</c:v>
                </c:pt>
                <c:pt idx="21">
                  <c:v>-3.213689950096843</c:v>
                </c:pt>
              </c:numCache>
            </c:numRef>
          </c:val>
        </c:ser>
        <c:dLbls>
          <c:showLegendKey val="0"/>
          <c:showVal val="0"/>
          <c:showCatName val="0"/>
          <c:showSerName val="0"/>
          <c:showPercent val="0"/>
          <c:showBubbleSize val="0"/>
        </c:dLbls>
        <c:gapWidth val="50"/>
        <c:axId val="579390464"/>
        <c:axId val="579396352"/>
      </c:barChart>
      <c:catAx>
        <c:axId val="579390464"/>
        <c:scaling>
          <c:orientation val="minMax"/>
        </c:scaling>
        <c:delete val="0"/>
        <c:axPos val="b"/>
        <c:numFmt formatCode="mmm\ yy"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Narrow"/>
                <a:ea typeface="Arial Narrow"/>
                <a:cs typeface="Arial Narrow"/>
              </a:defRPr>
            </a:pPr>
            <a:endParaRPr lang="en-US"/>
          </a:p>
        </c:txPr>
        <c:crossAx val="579396352"/>
        <c:crosses val="autoZero"/>
        <c:auto val="0"/>
        <c:lblAlgn val="ctr"/>
        <c:lblOffset val="100"/>
        <c:tickLblSkip val="2"/>
        <c:tickMarkSkip val="1"/>
        <c:noMultiLvlLbl val="0"/>
      </c:catAx>
      <c:valAx>
        <c:axId val="579396352"/>
        <c:scaling>
          <c:orientation val="minMax"/>
          <c:max val="50"/>
        </c:scaling>
        <c:delete val="0"/>
        <c:axPos val="l"/>
        <c:majorGridlines>
          <c:spPr>
            <a:ln w="12700">
              <a:solidFill>
                <a:srgbClr val="969696"/>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Narrow"/>
                <a:ea typeface="Arial Narrow"/>
                <a:cs typeface="Arial Narrow"/>
              </a:defRPr>
            </a:pPr>
            <a:endParaRPr lang="en-US"/>
          </a:p>
        </c:txPr>
        <c:crossAx val="579390464"/>
        <c:crosses val="autoZero"/>
        <c:crossBetween val="between"/>
        <c:majorUnit val="10"/>
      </c:valAx>
      <c:spPr>
        <a:noFill/>
        <a:ln w="12700">
          <a:solidFill>
            <a:srgbClr val="808080"/>
          </a:solidFill>
          <a:prstDash val="solid"/>
        </a:ln>
      </c:spPr>
    </c:plotArea>
    <c:legend>
      <c:legendPos val="b"/>
      <c:layout>
        <c:manualLayout>
          <c:xMode val="edge"/>
          <c:yMode val="edge"/>
          <c:x val="0.27833378635056372"/>
          <c:y val="0.91500111694472286"/>
          <c:w val="0.4683340955958587"/>
          <c:h val="6.2500076294038448E-2"/>
        </c:manualLayout>
      </c:layout>
      <c:overlay val="0"/>
      <c:spPr>
        <a:solidFill>
          <a:srgbClr val="FFFFFF"/>
        </a:solidFill>
        <a:ln w="25400">
          <a:noFill/>
        </a:ln>
      </c:spPr>
      <c:txPr>
        <a:bodyPr/>
        <a:lstStyle/>
        <a:p>
          <a:pPr>
            <a:defRPr sz="1100" b="0" i="0" u="none" strike="noStrike" baseline="0">
              <a:solidFill>
                <a:srgbClr val="000000"/>
              </a:solidFill>
              <a:latin typeface="Arial Narrow"/>
              <a:ea typeface="Arial Narrow"/>
              <a:cs typeface="Arial Narrow"/>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166676703575364E-2"/>
          <c:y val="4.7500057983469221E-2"/>
          <c:w val="0.90500147298416822"/>
          <c:h val="0.74750091247669981"/>
        </c:manualLayout>
      </c:layout>
      <c:lineChart>
        <c:grouping val="standard"/>
        <c:varyColors val="0"/>
        <c:ser>
          <c:idx val="0"/>
          <c:order val="0"/>
          <c:tx>
            <c:strRef>
              <c:f>D.EM!$AI$3</c:f>
              <c:strCache>
                <c:ptCount val="1"/>
                <c:pt idx="0">
                  <c:v>LatAm vs. US</c:v>
                </c:pt>
              </c:strCache>
            </c:strRef>
          </c:tx>
          <c:spPr>
            <a:ln w="25400">
              <a:solidFill>
                <a:srgbClr val="003366"/>
              </a:solidFill>
              <a:prstDash val="solid"/>
            </a:ln>
          </c:spPr>
          <c:marker>
            <c:symbol val="diamond"/>
            <c:size val="7"/>
            <c:spPr>
              <a:solidFill>
                <a:srgbClr val="000080"/>
              </a:solidFill>
              <a:ln>
                <a:solidFill>
                  <a:srgbClr val="000080"/>
                </a:solidFill>
                <a:prstDash val="solid"/>
              </a:ln>
            </c:spPr>
          </c:marker>
          <c:cat>
            <c:numRef>
              <c:f>D.EM!$AE$4:$AE$29</c:f>
              <c:numCache>
                <c:formatCode>mm/dd/yyyy</c:formatCode>
                <c:ptCount val="26"/>
                <c:pt idx="0">
                  <c:v>38807</c:v>
                </c:pt>
                <c:pt idx="1">
                  <c:v>38898</c:v>
                </c:pt>
                <c:pt idx="2">
                  <c:v>38990</c:v>
                </c:pt>
                <c:pt idx="3">
                  <c:v>39082</c:v>
                </c:pt>
                <c:pt idx="4">
                  <c:v>39172</c:v>
                </c:pt>
                <c:pt idx="5">
                  <c:v>39263</c:v>
                </c:pt>
                <c:pt idx="6">
                  <c:v>39355</c:v>
                </c:pt>
                <c:pt idx="7">
                  <c:v>39447</c:v>
                </c:pt>
                <c:pt idx="8">
                  <c:v>39538</c:v>
                </c:pt>
                <c:pt idx="9">
                  <c:v>39629</c:v>
                </c:pt>
                <c:pt idx="10">
                  <c:v>39721</c:v>
                </c:pt>
                <c:pt idx="11">
                  <c:v>39813</c:v>
                </c:pt>
                <c:pt idx="12">
                  <c:v>39903</c:v>
                </c:pt>
                <c:pt idx="13">
                  <c:v>39994</c:v>
                </c:pt>
                <c:pt idx="14">
                  <c:v>40086</c:v>
                </c:pt>
                <c:pt idx="15">
                  <c:v>40178</c:v>
                </c:pt>
                <c:pt idx="16">
                  <c:v>40268</c:v>
                </c:pt>
                <c:pt idx="17">
                  <c:v>40359</c:v>
                </c:pt>
                <c:pt idx="18">
                  <c:v>40451</c:v>
                </c:pt>
                <c:pt idx="19">
                  <c:v>40543</c:v>
                </c:pt>
                <c:pt idx="20">
                  <c:v>40633</c:v>
                </c:pt>
                <c:pt idx="21">
                  <c:v>40724</c:v>
                </c:pt>
                <c:pt idx="22">
                  <c:v>40816</c:v>
                </c:pt>
                <c:pt idx="23">
                  <c:v>40908</c:v>
                </c:pt>
                <c:pt idx="24">
                  <c:v>40999</c:v>
                </c:pt>
                <c:pt idx="25">
                  <c:v>41090</c:v>
                </c:pt>
              </c:numCache>
            </c:numRef>
          </c:cat>
          <c:val>
            <c:numRef>
              <c:f>D.EM!$AI$4:$AI$29</c:f>
              <c:numCache>
                <c:formatCode>#,##0.0</c:formatCode>
                <c:ptCount val="26"/>
                <c:pt idx="0">
                  <c:v>2.1260150313263342</c:v>
                </c:pt>
                <c:pt idx="1">
                  <c:v>2.4526774445930193</c:v>
                </c:pt>
                <c:pt idx="2">
                  <c:v>2.3121622798338963</c:v>
                </c:pt>
                <c:pt idx="3">
                  <c:v>2.0914713811386356</c:v>
                </c:pt>
                <c:pt idx="4">
                  <c:v>2.0515321640407351</c:v>
                </c:pt>
                <c:pt idx="5">
                  <c:v>1.9626068704894739</c:v>
                </c:pt>
                <c:pt idx="6">
                  <c:v>1.8553766769041362</c:v>
                </c:pt>
                <c:pt idx="7">
                  <c:v>2.1140107214551573</c:v>
                </c:pt>
                <c:pt idx="8">
                  <c:v>2.5229679929536672</c:v>
                </c:pt>
                <c:pt idx="9">
                  <c:v>2.3962947707734275</c:v>
                </c:pt>
                <c:pt idx="10">
                  <c:v>2.4244890430654147</c:v>
                </c:pt>
                <c:pt idx="11">
                  <c:v>2.64272041391441</c:v>
                </c:pt>
                <c:pt idx="12">
                  <c:v>2.0641563773303861</c:v>
                </c:pt>
                <c:pt idx="13">
                  <c:v>1.7385596160970009</c:v>
                </c:pt>
                <c:pt idx="14">
                  <c:v>1.5580086867950607</c:v>
                </c:pt>
                <c:pt idx="15">
                  <c:v>1.5352557692956526</c:v>
                </c:pt>
                <c:pt idx="16">
                  <c:v>1.6784940842437264</c:v>
                </c:pt>
                <c:pt idx="17">
                  <c:v>1.7841322126883841</c:v>
                </c:pt>
                <c:pt idx="18">
                  <c:v>1.9017239633852185</c:v>
                </c:pt>
                <c:pt idx="19">
                  <c:v>1.6143141944338668</c:v>
                </c:pt>
                <c:pt idx="20">
                  <c:v>1.7852454745441571</c:v>
                </c:pt>
                <c:pt idx="21">
                  <c:v>1.8431957298964605</c:v>
                </c:pt>
                <c:pt idx="22">
                  <c:v>2.0521103838781403</c:v>
                </c:pt>
                <c:pt idx="23">
                  <c:v>1.8574769043018711</c:v>
                </c:pt>
                <c:pt idx="24">
                  <c:v>1.7695713685636032</c:v>
                </c:pt>
                <c:pt idx="25">
                  <c:v>1.8408881155697203</c:v>
                </c:pt>
              </c:numCache>
            </c:numRef>
          </c:val>
          <c:smooth val="0"/>
        </c:ser>
        <c:ser>
          <c:idx val="1"/>
          <c:order val="1"/>
          <c:tx>
            <c:strRef>
              <c:f>D.EM!$AL$3</c:f>
              <c:strCache>
                <c:ptCount val="1"/>
                <c:pt idx="0">
                  <c:v>EMEA vs. US</c:v>
                </c:pt>
              </c:strCache>
            </c:strRef>
          </c:tx>
          <c:spPr>
            <a:ln w="25400">
              <a:solidFill>
                <a:srgbClr val="008080"/>
              </a:solidFill>
              <a:prstDash val="solid"/>
            </a:ln>
          </c:spPr>
          <c:marker>
            <c:symbol val="triangle"/>
            <c:size val="7"/>
            <c:spPr>
              <a:solidFill>
                <a:srgbClr val="008080"/>
              </a:solidFill>
              <a:ln>
                <a:solidFill>
                  <a:srgbClr val="008080"/>
                </a:solidFill>
                <a:prstDash val="solid"/>
              </a:ln>
            </c:spPr>
          </c:marker>
          <c:cat>
            <c:numRef>
              <c:f>D.EM!$AE$4:$AE$29</c:f>
              <c:numCache>
                <c:formatCode>mm/dd/yyyy</c:formatCode>
                <c:ptCount val="26"/>
                <c:pt idx="0">
                  <c:v>38807</c:v>
                </c:pt>
                <c:pt idx="1">
                  <c:v>38898</c:v>
                </c:pt>
                <c:pt idx="2">
                  <c:v>38990</c:v>
                </c:pt>
                <c:pt idx="3">
                  <c:v>39082</c:v>
                </c:pt>
                <c:pt idx="4">
                  <c:v>39172</c:v>
                </c:pt>
                <c:pt idx="5">
                  <c:v>39263</c:v>
                </c:pt>
                <c:pt idx="6">
                  <c:v>39355</c:v>
                </c:pt>
                <c:pt idx="7">
                  <c:v>39447</c:v>
                </c:pt>
                <c:pt idx="8">
                  <c:v>39538</c:v>
                </c:pt>
                <c:pt idx="9">
                  <c:v>39629</c:v>
                </c:pt>
                <c:pt idx="10">
                  <c:v>39721</c:v>
                </c:pt>
                <c:pt idx="11">
                  <c:v>39813</c:v>
                </c:pt>
                <c:pt idx="12">
                  <c:v>39903</c:v>
                </c:pt>
                <c:pt idx="13">
                  <c:v>39994</c:v>
                </c:pt>
                <c:pt idx="14">
                  <c:v>40086</c:v>
                </c:pt>
                <c:pt idx="15">
                  <c:v>40178</c:v>
                </c:pt>
                <c:pt idx="16">
                  <c:v>40268</c:v>
                </c:pt>
                <c:pt idx="17">
                  <c:v>40359</c:v>
                </c:pt>
                <c:pt idx="18">
                  <c:v>40451</c:v>
                </c:pt>
                <c:pt idx="19">
                  <c:v>40543</c:v>
                </c:pt>
                <c:pt idx="20">
                  <c:v>40633</c:v>
                </c:pt>
                <c:pt idx="21">
                  <c:v>40724</c:v>
                </c:pt>
                <c:pt idx="22">
                  <c:v>40816</c:v>
                </c:pt>
                <c:pt idx="23">
                  <c:v>40908</c:v>
                </c:pt>
                <c:pt idx="24">
                  <c:v>40999</c:v>
                </c:pt>
                <c:pt idx="25">
                  <c:v>41090</c:v>
                </c:pt>
              </c:numCache>
            </c:numRef>
          </c:cat>
          <c:val>
            <c:numRef>
              <c:f>D.EM!$AL$4:$AL$29</c:f>
              <c:numCache>
                <c:formatCode>#,##0.0</c:formatCode>
                <c:ptCount val="26"/>
                <c:pt idx="0">
                  <c:v>3.1420714899220945</c:v>
                </c:pt>
                <c:pt idx="1">
                  <c:v>3.9811410674846397</c:v>
                </c:pt>
                <c:pt idx="2">
                  <c:v>3.1277295261542921</c:v>
                </c:pt>
                <c:pt idx="3">
                  <c:v>2.8881675419514061</c:v>
                </c:pt>
                <c:pt idx="4">
                  <c:v>3.2363146283418276</c:v>
                </c:pt>
                <c:pt idx="5">
                  <c:v>2.7664155637121599</c:v>
                </c:pt>
                <c:pt idx="6">
                  <c:v>2.7228860403098007</c:v>
                </c:pt>
                <c:pt idx="7">
                  <c:v>2.1347146171548039</c:v>
                </c:pt>
                <c:pt idx="8">
                  <c:v>2.1291894285648421</c:v>
                </c:pt>
                <c:pt idx="9">
                  <c:v>2.5297129060396326</c:v>
                </c:pt>
                <c:pt idx="10">
                  <c:v>3.7316165471420217</c:v>
                </c:pt>
                <c:pt idx="11">
                  <c:v>4.7338804768321348</c:v>
                </c:pt>
                <c:pt idx="12">
                  <c:v>2.884734427153373</c:v>
                </c:pt>
                <c:pt idx="13">
                  <c:v>2.428130612020678</c:v>
                </c:pt>
                <c:pt idx="14">
                  <c:v>1.7147352749267604</c:v>
                </c:pt>
                <c:pt idx="15">
                  <c:v>1.8850492166187054</c:v>
                </c:pt>
                <c:pt idx="16">
                  <c:v>1.9412690027462853</c:v>
                </c:pt>
                <c:pt idx="17">
                  <c:v>2.4735007916772274</c:v>
                </c:pt>
                <c:pt idx="18">
                  <c:v>2.436154620807756</c:v>
                </c:pt>
                <c:pt idx="19">
                  <c:v>2.0856764155253211</c:v>
                </c:pt>
                <c:pt idx="20">
                  <c:v>2.1571134030316981</c:v>
                </c:pt>
                <c:pt idx="21">
                  <c:v>2.1399838329622001</c:v>
                </c:pt>
                <c:pt idx="22">
                  <c:v>2.9517327368882578</c:v>
                </c:pt>
                <c:pt idx="23">
                  <c:v>2.7773518053787329</c:v>
                </c:pt>
                <c:pt idx="24">
                  <c:v>2.9163999650816854</c:v>
                </c:pt>
                <c:pt idx="25">
                  <c:v>2.3702899546191709</c:v>
                </c:pt>
              </c:numCache>
            </c:numRef>
          </c:val>
          <c:smooth val="0"/>
        </c:ser>
        <c:ser>
          <c:idx val="2"/>
          <c:order val="2"/>
          <c:tx>
            <c:strRef>
              <c:f>D.EM!$AO$3</c:f>
              <c:strCache>
                <c:ptCount val="1"/>
                <c:pt idx="0">
                  <c:v>Asia vs. US</c:v>
                </c:pt>
              </c:strCache>
            </c:strRef>
          </c:tx>
          <c:spPr>
            <a:ln w="25400">
              <a:solidFill>
                <a:srgbClr val="FF6600"/>
              </a:solidFill>
              <a:prstDash val="solid"/>
            </a:ln>
          </c:spPr>
          <c:marker>
            <c:symbol val="square"/>
            <c:size val="7"/>
            <c:spPr>
              <a:solidFill>
                <a:srgbClr val="FF6600"/>
              </a:solidFill>
              <a:ln>
                <a:solidFill>
                  <a:srgbClr val="FF6600"/>
                </a:solidFill>
                <a:prstDash val="solid"/>
              </a:ln>
            </c:spPr>
          </c:marker>
          <c:cat>
            <c:numRef>
              <c:f>D.EM!$AE$4:$AE$29</c:f>
              <c:numCache>
                <c:formatCode>mm/dd/yyyy</c:formatCode>
                <c:ptCount val="26"/>
                <c:pt idx="0">
                  <c:v>38807</c:v>
                </c:pt>
                <c:pt idx="1">
                  <c:v>38898</c:v>
                </c:pt>
                <c:pt idx="2">
                  <c:v>38990</c:v>
                </c:pt>
                <c:pt idx="3">
                  <c:v>39082</c:v>
                </c:pt>
                <c:pt idx="4">
                  <c:v>39172</c:v>
                </c:pt>
                <c:pt idx="5">
                  <c:v>39263</c:v>
                </c:pt>
                <c:pt idx="6">
                  <c:v>39355</c:v>
                </c:pt>
                <c:pt idx="7">
                  <c:v>39447</c:v>
                </c:pt>
                <c:pt idx="8">
                  <c:v>39538</c:v>
                </c:pt>
                <c:pt idx="9">
                  <c:v>39629</c:v>
                </c:pt>
                <c:pt idx="10">
                  <c:v>39721</c:v>
                </c:pt>
                <c:pt idx="11">
                  <c:v>39813</c:v>
                </c:pt>
                <c:pt idx="12">
                  <c:v>39903</c:v>
                </c:pt>
                <c:pt idx="13">
                  <c:v>39994</c:v>
                </c:pt>
                <c:pt idx="14">
                  <c:v>40086</c:v>
                </c:pt>
                <c:pt idx="15">
                  <c:v>40178</c:v>
                </c:pt>
                <c:pt idx="16">
                  <c:v>40268</c:v>
                </c:pt>
                <c:pt idx="17">
                  <c:v>40359</c:v>
                </c:pt>
                <c:pt idx="18">
                  <c:v>40451</c:v>
                </c:pt>
                <c:pt idx="19">
                  <c:v>40543</c:v>
                </c:pt>
                <c:pt idx="20">
                  <c:v>40633</c:v>
                </c:pt>
                <c:pt idx="21">
                  <c:v>40724</c:v>
                </c:pt>
                <c:pt idx="22">
                  <c:v>40816</c:v>
                </c:pt>
                <c:pt idx="23">
                  <c:v>40908</c:v>
                </c:pt>
                <c:pt idx="24">
                  <c:v>40999</c:v>
                </c:pt>
                <c:pt idx="25">
                  <c:v>41090</c:v>
                </c:pt>
              </c:numCache>
            </c:numRef>
          </c:cat>
          <c:val>
            <c:numRef>
              <c:f>D.EM!$AO$4:$AO$29</c:f>
              <c:numCache>
                <c:formatCode>#,##0.0</c:formatCode>
                <c:ptCount val="26"/>
                <c:pt idx="0">
                  <c:v>1.4135924957624575</c:v>
                </c:pt>
                <c:pt idx="1">
                  <c:v>1.5306152238222741</c:v>
                </c:pt>
                <c:pt idx="2">
                  <c:v>1.4122651289225514</c:v>
                </c:pt>
                <c:pt idx="3">
                  <c:v>1.4905347356408714</c:v>
                </c:pt>
                <c:pt idx="4">
                  <c:v>1.6684592498341611</c:v>
                </c:pt>
                <c:pt idx="5">
                  <c:v>1.7156826170213124</c:v>
                </c:pt>
                <c:pt idx="6">
                  <c:v>1.5785116585073178</c:v>
                </c:pt>
                <c:pt idx="7">
                  <c:v>1.5893694642061265</c:v>
                </c:pt>
                <c:pt idx="8">
                  <c:v>1.6396661283833802</c:v>
                </c:pt>
                <c:pt idx="9">
                  <c:v>1.6838642364116236</c:v>
                </c:pt>
                <c:pt idx="10">
                  <c:v>1.4520514798135968</c:v>
                </c:pt>
                <c:pt idx="11">
                  <c:v>1.8551241026432852</c:v>
                </c:pt>
                <c:pt idx="12">
                  <c:v>1.4572073986812613</c:v>
                </c:pt>
                <c:pt idx="13">
                  <c:v>1.2811291865697392</c:v>
                </c:pt>
                <c:pt idx="14">
                  <c:v>1.0690005018482833</c:v>
                </c:pt>
                <c:pt idx="15">
                  <c:v>1.263998228639267</c:v>
                </c:pt>
                <c:pt idx="16">
                  <c:v>1.2585408122688388</c:v>
                </c:pt>
                <c:pt idx="17">
                  <c:v>1.679964350865452</c:v>
                </c:pt>
                <c:pt idx="18">
                  <c:v>1.6921353054042925</c:v>
                </c:pt>
                <c:pt idx="19">
                  <c:v>1.448819873798636</c:v>
                </c:pt>
                <c:pt idx="20">
                  <c:v>1.9800455082102819</c:v>
                </c:pt>
                <c:pt idx="21">
                  <c:v>1.947988444470806</c:v>
                </c:pt>
                <c:pt idx="22">
                  <c:v>2.0170482019780955</c:v>
                </c:pt>
                <c:pt idx="23">
                  <c:v>2.0203193701382856</c:v>
                </c:pt>
                <c:pt idx="24">
                  <c:v>1.7047405147948484</c:v>
                </c:pt>
                <c:pt idx="25">
                  <c:v>1.7811546436725392</c:v>
                </c:pt>
              </c:numCache>
            </c:numRef>
          </c:val>
          <c:smooth val="0"/>
        </c:ser>
        <c:dLbls>
          <c:showLegendKey val="0"/>
          <c:showVal val="0"/>
          <c:showCatName val="0"/>
          <c:showSerName val="0"/>
          <c:showPercent val="0"/>
          <c:showBubbleSize val="0"/>
        </c:dLbls>
        <c:marker val="1"/>
        <c:smooth val="0"/>
        <c:axId val="574936576"/>
        <c:axId val="574938496"/>
      </c:lineChart>
      <c:dateAx>
        <c:axId val="574936576"/>
        <c:scaling>
          <c:orientation val="minMax"/>
        </c:scaling>
        <c:delete val="0"/>
        <c:axPos val="b"/>
        <c:numFmt formatCode="yyyy"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Narrow"/>
                <a:ea typeface="Arial Narrow"/>
                <a:cs typeface="Arial Narrow"/>
              </a:defRPr>
            </a:pPr>
            <a:endParaRPr lang="en-US"/>
          </a:p>
        </c:txPr>
        <c:crossAx val="574938496"/>
        <c:crosses val="autoZero"/>
        <c:auto val="1"/>
        <c:lblOffset val="100"/>
        <c:baseTimeUnit val="months"/>
        <c:majorUnit val="1"/>
        <c:majorTimeUnit val="years"/>
        <c:minorUnit val="6"/>
        <c:minorTimeUnit val="months"/>
      </c:dateAx>
      <c:valAx>
        <c:axId val="574938496"/>
        <c:scaling>
          <c:orientation val="minMax"/>
          <c:min val="1"/>
        </c:scaling>
        <c:delete val="0"/>
        <c:axPos val="l"/>
        <c:majorGridlines>
          <c:spPr>
            <a:ln w="3175">
              <a:solidFill>
                <a:srgbClr val="969696"/>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Narrow"/>
                <a:ea typeface="Arial Narrow"/>
                <a:cs typeface="Arial Narrow"/>
              </a:defRPr>
            </a:pPr>
            <a:endParaRPr lang="en-US"/>
          </a:p>
        </c:txPr>
        <c:crossAx val="574936576"/>
        <c:crosses val="autoZero"/>
        <c:crossBetween val="between"/>
      </c:valAx>
      <c:spPr>
        <a:solidFill>
          <a:srgbClr val="FFFFFF"/>
        </a:solidFill>
        <a:ln w="3175">
          <a:solidFill>
            <a:srgbClr val="000000"/>
          </a:solidFill>
          <a:prstDash val="solid"/>
        </a:ln>
      </c:spPr>
    </c:plotArea>
    <c:legend>
      <c:legendPos val="b"/>
      <c:layout>
        <c:manualLayout>
          <c:xMode val="edge"/>
          <c:yMode val="edge"/>
          <c:x val="1.3333355034757544E-2"/>
          <c:y val="0.89750109558239211"/>
          <c:w val="0.98000159505467943"/>
          <c:h val="6.5000079345799988E-2"/>
        </c:manualLayout>
      </c:layout>
      <c:overlay val="0"/>
      <c:spPr>
        <a:solidFill>
          <a:srgbClr val="FFFFFF"/>
        </a:solidFill>
        <a:ln w="25400">
          <a:noFill/>
        </a:ln>
      </c:spPr>
      <c:txPr>
        <a:bodyPr/>
        <a:lstStyle/>
        <a:p>
          <a:pPr>
            <a:defRPr sz="1100" b="0" i="0" u="none" strike="noStrike" baseline="0">
              <a:solidFill>
                <a:srgbClr val="000000"/>
              </a:solidFill>
              <a:latin typeface="Arial Narrow"/>
              <a:ea typeface="Arial Narrow"/>
              <a:cs typeface="Arial Narrow"/>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333452691166492E-2"/>
          <c:y val="6.2500076294038448E-2"/>
          <c:w val="0.90333480360482354"/>
          <c:h val="0.72250088195908446"/>
        </c:manualLayout>
      </c:layout>
      <c:barChart>
        <c:barDir val="col"/>
        <c:grouping val="clustered"/>
        <c:varyColors val="0"/>
        <c:ser>
          <c:idx val="0"/>
          <c:order val="0"/>
          <c:tx>
            <c:strRef>
              <c:f>'Year over Year'!$M$5</c:f>
              <c:strCache>
                <c:ptCount val="1"/>
                <c:pt idx="0">
                  <c:v>EM IG Gross Profit Margin</c:v>
                </c:pt>
              </c:strCache>
            </c:strRef>
          </c:tx>
          <c:spPr>
            <a:solidFill>
              <a:srgbClr val="003366"/>
            </a:solidFill>
            <a:ln w="12700">
              <a:solidFill>
                <a:srgbClr val="000000"/>
              </a:solidFill>
              <a:prstDash val="solid"/>
            </a:ln>
          </c:spPr>
          <c:invertIfNegative val="0"/>
          <c:cat>
            <c:numRef>
              <c:f>'Year over Year'!$A$6:$A$27</c:f>
              <c:numCache>
                <c:formatCode>mm/dd/yyyy</c:formatCode>
                <c:ptCount val="22"/>
                <c:pt idx="0">
                  <c:v>39172</c:v>
                </c:pt>
                <c:pt idx="1">
                  <c:v>39263</c:v>
                </c:pt>
                <c:pt idx="2">
                  <c:v>39355</c:v>
                </c:pt>
                <c:pt idx="3">
                  <c:v>39447</c:v>
                </c:pt>
                <c:pt idx="4">
                  <c:v>39538</c:v>
                </c:pt>
                <c:pt idx="5">
                  <c:v>39629</c:v>
                </c:pt>
                <c:pt idx="6">
                  <c:v>39721</c:v>
                </c:pt>
                <c:pt idx="7">
                  <c:v>39813</c:v>
                </c:pt>
                <c:pt idx="8">
                  <c:v>39903</c:v>
                </c:pt>
                <c:pt idx="9">
                  <c:v>39994</c:v>
                </c:pt>
                <c:pt idx="10">
                  <c:v>40086</c:v>
                </c:pt>
                <c:pt idx="11">
                  <c:v>40178</c:v>
                </c:pt>
                <c:pt idx="12">
                  <c:v>40268</c:v>
                </c:pt>
                <c:pt idx="13">
                  <c:v>40359</c:v>
                </c:pt>
                <c:pt idx="14">
                  <c:v>40451</c:v>
                </c:pt>
                <c:pt idx="15">
                  <c:v>40543</c:v>
                </c:pt>
                <c:pt idx="16">
                  <c:v>40633</c:v>
                </c:pt>
                <c:pt idx="17">
                  <c:v>40724</c:v>
                </c:pt>
                <c:pt idx="18">
                  <c:v>40816</c:v>
                </c:pt>
                <c:pt idx="19">
                  <c:v>40908</c:v>
                </c:pt>
                <c:pt idx="20">
                  <c:v>40999</c:v>
                </c:pt>
                <c:pt idx="21">
                  <c:v>41090</c:v>
                </c:pt>
              </c:numCache>
            </c:numRef>
          </c:cat>
          <c:val>
            <c:numRef>
              <c:f>'Year over Year'!$M$6:$M$27</c:f>
              <c:numCache>
                <c:formatCode>0.0</c:formatCode>
                <c:ptCount val="22"/>
                <c:pt idx="0">
                  <c:v>39.209766496894503</c:v>
                </c:pt>
                <c:pt idx="1">
                  <c:v>40.241663069617751</c:v>
                </c:pt>
                <c:pt idx="2">
                  <c:v>35.76180984080559</c:v>
                </c:pt>
                <c:pt idx="3">
                  <c:v>37.290354444192673</c:v>
                </c:pt>
                <c:pt idx="4">
                  <c:v>33.994643345442356</c:v>
                </c:pt>
                <c:pt idx="5">
                  <c:v>35.904247021465565</c:v>
                </c:pt>
                <c:pt idx="6">
                  <c:v>34.647442249289838</c:v>
                </c:pt>
                <c:pt idx="7">
                  <c:v>29.903716148762037</c:v>
                </c:pt>
                <c:pt idx="8">
                  <c:v>36.163385870018629</c:v>
                </c:pt>
                <c:pt idx="9">
                  <c:v>36.918032586017361</c:v>
                </c:pt>
                <c:pt idx="10">
                  <c:v>35.996705941290799</c:v>
                </c:pt>
                <c:pt idx="11">
                  <c:v>31.979028316414148</c:v>
                </c:pt>
                <c:pt idx="12">
                  <c:v>34.971121066959576</c:v>
                </c:pt>
                <c:pt idx="13">
                  <c:v>34.708502779461604</c:v>
                </c:pt>
                <c:pt idx="14">
                  <c:v>35.392181583027579</c:v>
                </c:pt>
                <c:pt idx="15">
                  <c:v>34.227894514113586</c:v>
                </c:pt>
                <c:pt idx="16">
                  <c:v>36.831372550174692</c:v>
                </c:pt>
                <c:pt idx="17">
                  <c:v>35.345910010866724</c:v>
                </c:pt>
                <c:pt idx="18">
                  <c:v>32.36922769668368</c:v>
                </c:pt>
                <c:pt idx="19">
                  <c:v>31.792974564303456</c:v>
                </c:pt>
                <c:pt idx="20">
                  <c:v>33.499069227436685</c:v>
                </c:pt>
                <c:pt idx="21">
                  <c:v>29.787668824492506</c:v>
                </c:pt>
              </c:numCache>
            </c:numRef>
          </c:val>
        </c:ser>
        <c:dLbls>
          <c:showLegendKey val="0"/>
          <c:showVal val="0"/>
          <c:showCatName val="0"/>
          <c:showSerName val="0"/>
          <c:showPercent val="0"/>
          <c:showBubbleSize val="0"/>
        </c:dLbls>
        <c:gapWidth val="50"/>
        <c:axId val="579420544"/>
        <c:axId val="579422080"/>
      </c:barChart>
      <c:catAx>
        <c:axId val="579420544"/>
        <c:scaling>
          <c:orientation val="minMax"/>
        </c:scaling>
        <c:delete val="0"/>
        <c:axPos val="b"/>
        <c:numFmt formatCode="mmm\ yy"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Narrow"/>
                <a:ea typeface="Arial Narrow"/>
                <a:cs typeface="Arial Narrow"/>
              </a:defRPr>
            </a:pPr>
            <a:endParaRPr lang="en-US"/>
          </a:p>
        </c:txPr>
        <c:crossAx val="579422080"/>
        <c:crosses val="autoZero"/>
        <c:auto val="0"/>
        <c:lblAlgn val="ctr"/>
        <c:lblOffset val="100"/>
        <c:tickLblSkip val="2"/>
        <c:tickMarkSkip val="1"/>
        <c:noMultiLvlLbl val="0"/>
      </c:catAx>
      <c:valAx>
        <c:axId val="579422080"/>
        <c:scaling>
          <c:orientation val="minMax"/>
          <c:min val="23"/>
        </c:scaling>
        <c:delete val="0"/>
        <c:axPos val="l"/>
        <c:majorGridlines>
          <c:spPr>
            <a:ln w="12700">
              <a:solidFill>
                <a:srgbClr val="969696"/>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Narrow"/>
                <a:ea typeface="Arial Narrow"/>
                <a:cs typeface="Arial Narrow"/>
              </a:defRPr>
            </a:pPr>
            <a:endParaRPr lang="en-US"/>
          </a:p>
        </c:txPr>
        <c:crossAx val="579420544"/>
        <c:crosses val="autoZero"/>
        <c:crossBetween val="between"/>
      </c:valAx>
      <c:spPr>
        <a:noFill/>
        <a:ln w="12700">
          <a:solidFill>
            <a:srgbClr val="808080"/>
          </a:solidFill>
          <a:prstDash val="solid"/>
        </a:ln>
      </c:spPr>
    </c:plotArea>
    <c:legend>
      <c:legendPos val="b"/>
      <c:layout>
        <c:manualLayout>
          <c:xMode val="edge"/>
          <c:yMode val="edge"/>
          <c:x val="0.35333390842107493"/>
          <c:y val="0.90000109863415356"/>
          <c:w val="0.29833381890270005"/>
          <c:h val="6.2500076294038448E-2"/>
        </c:manualLayout>
      </c:layout>
      <c:overlay val="0"/>
      <c:spPr>
        <a:solidFill>
          <a:srgbClr val="FFFFFF"/>
        </a:solidFill>
        <a:ln w="25400">
          <a:noFill/>
        </a:ln>
      </c:spPr>
      <c:txPr>
        <a:bodyPr/>
        <a:lstStyle/>
        <a:p>
          <a:pPr>
            <a:defRPr sz="1100" b="0" i="0" u="none" strike="noStrike" baseline="0">
              <a:solidFill>
                <a:srgbClr val="000000"/>
              </a:solidFill>
              <a:latin typeface="Arial Narrow"/>
              <a:ea typeface="Arial Narrow"/>
              <a:cs typeface="Arial Narrow"/>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000130208545267E-2"/>
          <c:y val="4.7500057983469221E-2"/>
          <c:w val="0.89666812608744484"/>
          <c:h val="0.74500090942493824"/>
        </c:manualLayout>
      </c:layout>
      <c:barChart>
        <c:barDir val="col"/>
        <c:grouping val="clustered"/>
        <c:varyColors val="0"/>
        <c:ser>
          <c:idx val="0"/>
          <c:order val="0"/>
          <c:tx>
            <c:strRef>
              <c:f>'Year over Year'!$P$5</c:f>
              <c:strCache>
                <c:ptCount val="1"/>
                <c:pt idx="0">
                  <c:v>YOY EM HY EBITDA % Change</c:v>
                </c:pt>
              </c:strCache>
            </c:strRef>
          </c:tx>
          <c:spPr>
            <a:solidFill>
              <a:srgbClr val="003366"/>
            </a:solidFill>
            <a:ln w="12700">
              <a:solidFill>
                <a:srgbClr val="000000"/>
              </a:solidFill>
              <a:prstDash val="solid"/>
            </a:ln>
          </c:spPr>
          <c:invertIfNegative val="0"/>
          <c:cat>
            <c:numRef>
              <c:f>'Year over Year'!$A$6:$A$27</c:f>
              <c:numCache>
                <c:formatCode>mm/dd/yyyy</c:formatCode>
                <c:ptCount val="22"/>
                <c:pt idx="0">
                  <c:v>39172</c:v>
                </c:pt>
                <c:pt idx="1">
                  <c:v>39263</c:v>
                </c:pt>
                <c:pt idx="2">
                  <c:v>39355</c:v>
                </c:pt>
                <c:pt idx="3">
                  <c:v>39447</c:v>
                </c:pt>
                <c:pt idx="4">
                  <c:v>39538</c:v>
                </c:pt>
                <c:pt idx="5">
                  <c:v>39629</c:v>
                </c:pt>
                <c:pt idx="6">
                  <c:v>39721</c:v>
                </c:pt>
                <c:pt idx="7">
                  <c:v>39813</c:v>
                </c:pt>
                <c:pt idx="8">
                  <c:v>39903</c:v>
                </c:pt>
                <c:pt idx="9">
                  <c:v>39994</c:v>
                </c:pt>
                <c:pt idx="10">
                  <c:v>40086</c:v>
                </c:pt>
                <c:pt idx="11">
                  <c:v>40178</c:v>
                </c:pt>
                <c:pt idx="12">
                  <c:v>40268</c:v>
                </c:pt>
                <c:pt idx="13">
                  <c:v>40359</c:v>
                </c:pt>
                <c:pt idx="14">
                  <c:v>40451</c:v>
                </c:pt>
                <c:pt idx="15">
                  <c:v>40543</c:v>
                </c:pt>
                <c:pt idx="16">
                  <c:v>40633</c:v>
                </c:pt>
                <c:pt idx="17">
                  <c:v>40724</c:v>
                </c:pt>
                <c:pt idx="18">
                  <c:v>40816</c:v>
                </c:pt>
                <c:pt idx="19">
                  <c:v>40908</c:v>
                </c:pt>
                <c:pt idx="20">
                  <c:v>40999</c:v>
                </c:pt>
                <c:pt idx="21">
                  <c:v>41090</c:v>
                </c:pt>
              </c:numCache>
            </c:numRef>
          </c:cat>
          <c:val>
            <c:numRef>
              <c:f>'Year over Year'!$P$6:$P$27</c:f>
              <c:numCache>
                <c:formatCode>0.0</c:formatCode>
                <c:ptCount val="22"/>
                <c:pt idx="0">
                  <c:v>21.040195784196026</c:v>
                </c:pt>
                <c:pt idx="1">
                  <c:v>27.558747869955113</c:v>
                </c:pt>
                <c:pt idx="2">
                  <c:v>27.897741834900415</c:v>
                </c:pt>
                <c:pt idx="3">
                  <c:v>12.213913905667573</c:v>
                </c:pt>
                <c:pt idx="4">
                  <c:v>30.284950686465308</c:v>
                </c:pt>
                <c:pt idx="5">
                  <c:v>39.458598059969788</c:v>
                </c:pt>
                <c:pt idx="6">
                  <c:v>31.784800491395359</c:v>
                </c:pt>
                <c:pt idx="7">
                  <c:v>-2.5723107330941075</c:v>
                </c:pt>
                <c:pt idx="8">
                  <c:v>-34.98935645497</c:v>
                </c:pt>
                <c:pt idx="9">
                  <c:v>-35.688464169574132</c:v>
                </c:pt>
                <c:pt idx="10">
                  <c:v>-26.932473751028052</c:v>
                </c:pt>
                <c:pt idx="11">
                  <c:v>0.75637935591792438</c:v>
                </c:pt>
                <c:pt idx="12">
                  <c:v>43.78501841800859</c:v>
                </c:pt>
                <c:pt idx="13">
                  <c:v>51.031982092074223</c:v>
                </c:pt>
                <c:pt idx="14">
                  <c:v>36.190070774064068</c:v>
                </c:pt>
                <c:pt idx="15">
                  <c:v>18.306081966540599</c:v>
                </c:pt>
                <c:pt idx="16">
                  <c:v>26.240533918012243</c:v>
                </c:pt>
                <c:pt idx="17">
                  <c:v>16.646965863520681</c:v>
                </c:pt>
                <c:pt idx="18">
                  <c:v>17.240391319271264</c:v>
                </c:pt>
                <c:pt idx="19">
                  <c:v>10.497323417698556</c:v>
                </c:pt>
                <c:pt idx="20">
                  <c:v>-1.7975204203405259</c:v>
                </c:pt>
                <c:pt idx="21">
                  <c:v>-2.693438845477758</c:v>
                </c:pt>
              </c:numCache>
            </c:numRef>
          </c:val>
        </c:ser>
        <c:dLbls>
          <c:showLegendKey val="0"/>
          <c:showVal val="0"/>
          <c:showCatName val="0"/>
          <c:showSerName val="0"/>
          <c:showPercent val="0"/>
          <c:showBubbleSize val="0"/>
        </c:dLbls>
        <c:gapWidth val="50"/>
        <c:axId val="579451136"/>
        <c:axId val="579465216"/>
      </c:barChart>
      <c:catAx>
        <c:axId val="579451136"/>
        <c:scaling>
          <c:orientation val="minMax"/>
        </c:scaling>
        <c:delete val="0"/>
        <c:axPos val="b"/>
        <c:numFmt formatCode="mmm\ yy"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Narrow"/>
                <a:ea typeface="Arial Narrow"/>
                <a:cs typeface="Arial Narrow"/>
              </a:defRPr>
            </a:pPr>
            <a:endParaRPr lang="en-US"/>
          </a:p>
        </c:txPr>
        <c:crossAx val="579465216"/>
        <c:crosses val="autoZero"/>
        <c:auto val="0"/>
        <c:lblAlgn val="ctr"/>
        <c:lblOffset val="100"/>
        <c:tickLblSkip val="2"/>
        <c:tickMarkSkip val="1"/>
        <c:noMultiLvlLbl val="0"/>
      </c:catAx>
      <c:valAx>
        <c:axId val="579465216"/>
        <c:scaling>
          <c:orientation val="minMax"/>
          <c:max val="60"/>
          <c:min val="-40"/>
        </c:scaling>
        <c:delete val="0"/>
        <c:axPos val="l"/>
        <c:majorGridlines>
          <c:spPr>
            <a:ln w="12700">
              <a:solidFill>
                <a:srgbClr val="969696"/>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Narrow"/>
                <a:ea typeface="Arial Narrow"/>
                <a:cs typeface="Arial Narrow"/>
              </a:defRPr>
            </a:pPr>
            <a:endParaRPr lang="en-US"/>
          </a:p>
        </c:txPr>
        <c:crossAx val="579451136"/>
        <c:crosses val="autoZero"/>
        <c:crossBetween val="between"/>
        <c:majorUnit val="10"/>
      </c:valAx>
      <c:spPr>
        <a:noFill/>
        <a:ln w="12700">
          <a:solidFill>
            <a:srgbClr val="808080"/>
          </a:solidFill>
          <a:prstDash val="solid"/>
        </a:ln>
      </c:spPr>
    </c:plotArea>
    <c:legend>
      <c:legendPos val="b"/>
      <c:layout>
        <c:manualLayout>
          <c:xMode val="edge"/>
          <c:yMode val="edge"/>
          <c:x val="0.36000058593845369"/>
          <c:y val="0.9050011047376767"/>
          <c:w val="0.39166730414600281"/>
          <c:h val="6.2500076294038448E-2"/>
        </c:manualLayout>
      </c:layout>
      <c:overlay val="0"/>
      <c:spPr>
        <a:solidFill>
          <a:srgbClr val="FFFFFF"/>
        </a:solidFill>
        <a:ln w="25400">
          <a:noFill/>
        </a:ln>
      </c:spPr>
      <c:txPr>
        <a:bodyPr/>
        <a:lstStyle/>
        <a:p>
          <a:pPr>
            <a:defRPr sz="1100" b="0" i="0" u="none" strike="noStrike" baseline="0">
              <a:solidFill>
                <a:srgbClr val="000000"/>
              </a:solidFill>
              <a:latin typeface="Arial Narrow"/>
              <a:ea typeface="Arial Narrow"/>
              <a:cs typeface="Arial Narrow"/>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000130208545267E-2"/>
          <c:y val="4.7500057983469221E-2"/>
          <c:w val="0.89666812608744484"/>
          <c:h val="0.75750092468374597"/>
        </c:manualLayout>
      </c:layout>
      <c:barChart>
        <c:barDir val="col"/>
        <c:grouping val="clustered"/>
        <c:varyColors val="0"/>
        <c:ser>
          <c:idx val="0"/>
          <c:order val="0"/>
          <c:tx>
            <c:strRef>
              <c:f>'Year over Year'!$Q$5</c:f>
              <c:strCache>
                <c:ptCount val="1"/>
                <c:pt idx="0">
                  <c:v>YOY EM HY Total Debt % Change</c:v>
                </c:pt>
              </c:strCache>
            </c:strRef>
          </c:tx>
          <c:spPr>
            <a:solidFill>
              <a:srgbClr val="003366"/>
            </a:solidFill>
            <a:ln w="12700">
              <a:solidFill>
                <a:srgbClr val="000000"/>
              </a:solidFill>
              <a:prstDash val="solid"/>
            </a:ln>
          </c:spPr>
          <c:invertIfNegative val="0"/>
          <c:cat>
            <c:numRef>
              <c:f>'Year over Year'!$A$6:$A$27</c:f>
              <c:numCache>
                <c:formatCode>mm/dd/yyyy</c:formatCode>
                <c:ptCount val="22"/>
                <c:pt idx="0">
                  <c:v>39172</c:v>
                </c:pt>
                <c:pt idx="1">
                  <c:v>39263</c:v>
                </c:pt>
                <c:pt idx="2">
                  <c:v>39355</c:v>
                </c:pt>
                <c:pt idx="3">
                  <c:v>39447</c:v>
                </c:pt>
                <c:pt idx="4">
                  <c:v>39538</c:v>
                </c:pt>
                <c:pt idx="5">
                  <c:v>39629</c:v>
                </c:pt>
                <c:pt idx="6">
                  <c:v>39721</c:v>
                </c:pt>
                <c:pt idx="7">
                  <c:v>39813</c:v>
                </c:pt>
                <c:pt idx="8">
                  <c:v>39903</c:v>
                </c:pt>
                <c:pt idx="9">
                  <c:v>39994</c:v>
                </c:pt>
                <c:pt idx="10">
                  <c:v>40086</c:v>
                </c:pt>
                <c:pt idx="11">
                  <c:v>40178</c:v>
                </c:pt>
                <c:pt idx="12">
                  <c:v>40268</c:v>
                </c:pt>
                <c:pt idx="13">
                  <c:v>40359</c:v>
                </c:pt>
                <c:pt idx="14">
                  <c:v>40451</c:v>
                </c:pt>
                <c:pt idx="15">
                  <c:v>40543</c:v>
                </c:pt>
                <c:pt idx="16">
                  <c:v>40633</c:v>
                </c:pt>
                <c:pt idx="17">
                  <c:v>40724</c:v>
                </c:pt>
                <c:pt idx="18">
                  <c:v>40816</c:v>
                </c:pt>
                <c:pt idx="19">
                  <c:v>40908</c:v>
                </c:pt>
                <c:pt idx="20">
                  <c:v>40999</c:v>
                </c:pt>
                <c:pt idx="21">
                  <c:v>41090</c:v>
                </c:pt>
              </c:numCache>
            </c:numRef>
          </c:cat>
          <c:val>
            <c:numRef>
              <c:f>'Year over Year'!$Q$6:$Q$27</c:f>
              <c:numCache>
                <c:formatCode>0.0</c:formatCode>
                <c:ptCount val="22"/>
                <c:pt idx="0">
                  <c:v>21.061836315479553</c:v>
                </c:pt>
                <c:pt idx="1">
                  <c:v>22.390440375766254</c:v>
                </c:pt>
                <c:pt idx="2">
                  <c:v>27.966883461854675</c:v>
                </c:pt>
                <c:pt idx="3">
                  <c:v>27.683063817116206</c:v>
                </c:pt>
                <c:pt idx="4">
                  <c:v>40.479690679768929</c:v>
                </c:pt>
                <c:pt idx="5">
                  <c:v>47.943910488299139</c:v>
                </c:pt>
                <c:pt idx="6">
                  <c:v>39.248173573246589</c:v>
                </c:pt>
                <c:pt idx="7">
                  <c:v>36.668948403242126</c:v>
                </c:pt>
                <c:pt idx="8">
                  <c:v>12.785734310924891</c:v>
                </c:pt>
                <c:pt idx="9">
                  <c:v>15.296305513308607</c:v>
                </c:pt>
                <c:pt idx="10">
                  <c:v>15.304190144586482</c:v>
                </c:pt>
                <c:pt idx="11">
                  <c:v>23.191691530523585</c:v>
                </c:pt>
                <c:pt idx="12">
                  <c:v>23.604357816585786</c:v>
                </c:pt>
                <c:pt idx="13">
                  <c:v>18.523851879384679</c:v>
                </c:pt>
                <c:pt idx="14">
                  <c:v>17.435642169136891</c:v>
                </c:pt>
                <c:pt idx="15">
                  <c:v>12.204898257963336</c:v>
                </c:pt>
                <c:pt idx="16">
                  <c:v>16.51960391012426</c:v>
                </c:pt>
                <c:pt idx="17">
                  <c:v>22.853240341521364</c:v>
                </c:pt>
                <c:pt idx="18">
                  <c:v>13.504865392323673</c:v>
                </c:pt>
                <c:pt idx="19">
                  <c:v>10.355892179396609</c:v>
                </c:pt>
                <c:pt idx="20">
                  <c:v>4.4138816250582691</c:v>
                </c:pt>
                <c:pt idx="21">
                  <c:v>-4.3730922957510465</c:v>
                </c:pt>
              </c:numCache>
            </c:numRef>
          </c:val>
        </c:ser>
        <c:dLbls>
          <c:showLegendKey val="0"/>
          <c:showVal val="0"/>
          <c:showCatName val="0"/>
          <c:showSerName val="0"/>
          <c:showPercent val="0"/>
          <c:showBubbleSize val="0"/>
        </c:dLbls>
        <c:gapWidth val="50"/>
        <c:axId val="579489792"/>
        <c:axId val="579491328"/>
      </c:barChart>
      <c:catAx>
        <c:axId val="579489792"/>
        <c:scaling>
          <c:orientation val="minMax"/>
        </c:scaling>
        <c:delete val="0"/>
        <c:axPos val="b"/>
        <c:numFmt formatCode="mmm\ yy"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Narrow"/>
                <a:ea typeface="Arial Narrow"/>
                <a:cs typeface="Arial Narrow"/>
              </a:defRPr>
            </a:pPr>
            <a:endParaRPr lang="en-US"/>
          </a:p>
        </c:txPr>
        <c:crossAx val="579491328"/>
        <c:crosses val="autoZero"/>
        <c:auto val="0"/>
        <c:lblAlgn val="ctr"/>
        <c:lblOffset val="100"/>
        <c:tickLblSkip val="2"/>
        <c:tickMarkSkip val="1"/>
        <c:noMultiLvlLbl val="0"/>
      </c:catAx>
      <c:valAx>
        <c:axId val="579491328"/>
        <c:scaling>
          <c:orientation val="minMax"/>
          <c:max val="50"/>
        </c:scaling>
        <c:delete val="0"/>
        <c:axPos val="l"/>
        <c:majorGridlines>
          <c:spPr>
            <a:ln w="12700">
              <a:solidFill>
                <a:srgbClr val="969696"/>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Narrow"/>
                <a:ea typeface="Arial Narrow"/>
                <a:cs typeface="Arial Narrow"/>
              </a:defRPr>
            </a:pPr>
            <a:endParaRPr lang="en-US"/>
          </a:p>
        </c:txPr>
        <c:crossAx val="579489792"/>
        <c:crosses val="autoZero"/>
        <c:crossBetween val="between"/>
      </c:valAx>
      <c:spPr>
        <a:noFill/>
        <a:ln w="12700">
          <a:solidFill>
            <a:srgbClr val="808080"/>
          </a:solidFill>
          <a:prstDash val="solid"/>
        </a:ln>
      </c:spPr>
    </c:plotArea>
    <c:legend>
      <c:legendPos val="b"/>
      <c:layout>
        <c:manualLayout>
          <c:xMode val="edge"/>
          <c:yMode val="edge"/>
          <c:x val="0.3966673122840369"/>
          <c:y val="0.90750110778943827"/>
          <c:w val="0.38000061849058997"/>
          <c:h val="6.2500076294038448E-2"/>
        </c:manualLayout>
      </c:layout>
      <c:overlay val="0"/>
      <c:spPr>
        <a:solidFill>
          <a:srgbClr val="FFFFFF"/>
        </a:solidFill>
        <a:ln w="25400">
          <a:noFill/>
        </a:ln>
      </c:spPr>
      <c:txPr>
        <a:bodyPr/>
        <a:lstStyle/>
        <a:p>
          <a:pPr>
            <a:defRPr sz="1100" b="0" i="0" u="none" strike="noStrike" baseline="0">
              <a:solidFill>
                <a:srgbClr val="000000"/>
              </a:solidFill>
              <a:latin typeface="Arial Narrow"/>
              <a:ea typeface="Arial Narrow"/>
              <a:cs typeface="Arial Narrow"/>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0000130208545267E-2"/>
          <c:y val="6.2500076294038448E-2"/>
          <c:w val="0.89666812608744484"/>
          <c:h val="0.73750090026965365"/>
        </c:manualLayout>
      </c:layout>
      <c:barChart>
        <c:barDir val="col"/>
        <c:grouping val="clustered"/>
        <c:varyColors val="0"/>
        <c:ser>
          <c:idx val="0"/>
          <c:order val="0"/>
          <c:tx>
            <c:strRef>
              <c:f>'Year over Year'!$R$5</c:f>
              <c:strCache>
                <c:ptCount val="1"/>
                <c:pt idx="0">
                  <c:v>YoYCOGSChange</c:v>
                </c:pt>
              </c:strCache>
            </c:strRef>
          </c:tx>
          <c:spPr>
            <a:solidFill>
              <a:srgbClr val="003366"/>
            </a:solidFill>
            <a:ln w="12700">
              <a:solidFill>
                <a:srgbClr val="000000"/>
              </a:solidFill>
              <a:prstDash val="solid"/>
            </a:ln>
          </c:spPr>
          <c:invertIfNegative val="0"/>
          <c:cat>
            <c:numRef>
              <c:f>'Year over Year'!$A$6:$A$27</c:f>
              <c:numCache>
                <c:formatCode>mm/dd/yyyy</c:formatCode>
                <c:ptCount val="22"/>
                <c:pt idx="0">
                  <c:v>39172</c:v>
                </c:pt>
                <c:pt idx="1">
                  <c:v>39263</c:v>
                </c:pt>
                <c:pt idx="2">
                  <c:v>39355</c:v>
                </c:pt>
                <c:pt idx="3">
                  <c:v>39447</c:v>
                </c:pt>
                <c:pt idx="4">
                  <c:v>39538</c:v>
                </c:pt>
                <c:pt idx="5">
                  <c:v>39629</c:v>
                </c:pt>
                <c:pt idx="6">
                  <c:v>39721</c:v>
                </c:pt>
                <c:pt idx="7">
                  <c:v>39813</c:v>
                </c:pt>
                <c:pt idx="8">
                  <c:v>39903</c:v>
                </c:pt>
                <c:pt idx="9">
                  <c:v>39994</c:v>
                </c:pt>
                <c:pt idx="10">
                  <c:v>40086</c:v>
                </c:pt>
                <c:pt idx="11">
                  <c:v>40178</c:v>
                </c:pt>
                <c:pt idx="12">
                  <c:v>40268</c:v>
                </c:pt>
                <c:pt idx="13">
                  <c:v>40359</c:v>
                </c:pt>
                <c:pt idx="14">
                  <c:v>40451</c:v>
                </c:pt>
                <c:pt idx="15">
                  <c:v>40543</c:v>
                </c:pt>
                <c:pt idx="16">
                  <c:v>40633</c:v>
                </c:pt>
                <c:pt idx="17">
                  <c:v>40724</c:v>
                </c:pt>
                <c:pt idx="18">
                  <c:v>40816</c:v>
                </c:pt>
                <c:pt idx="19">
                  <c:v>40908</c:v>
                </c:pt>
                <c:pt idx="20">
                  <c:v>40999</c:v>
                </c:pt>
                <c:pt idx="21">
                  <c:v>41090</c:v>
                </c:pt>
              </c:numCache>
            </c:numRef>
          </c:cat>
          <c:val>
            <c:numRef>
              <c:f>'Year over Year'!$R$6:$R$27</c:f>
              <c:numCache>
                <c:formatCode>0.0</c:formatCode>
                <c:ptCount val="22"/>
                <c:pt idx="0">
                  <c:v>28.377705489090399</c:v>
                </c:pt>
                <c:pt idx="1">
                  <c:v>34.516355829539648</c:v>
                </c:pt>
                <c:pt idx="2">
                  <c:v>24.224688050992803</c:v>
                </c:pt>
                <c:pt idx="3">
                  <c:v>34.408145471715422</c:v>
                </c:pt>
                <c:pt idx="4">
                  <c:v>53.105197969747017</c:v>
                </c:pt>
                <c:pt idx="5">
                  <c:v>55.960412071833446</c:v>
                </c:pt>
                <c:pt idx="6">
                  <c:v>50.1790384159303</c:v>
                </c:pt>
                <c:pt idx="7">
                  <c:v>12.825816744328634</c:v>
                </c:pt>
                <c:pt idx="8">
                  <c:v>-18.787932860995848</c:v>
                </c:pt>
                <c:pt idx="9">
                  <c:v>-20.300729958709308</c:v>
                </c:pt>
                <c:pt idx="10">
                  <c:v>-20.245235999661848</c:v>
                </c:pt>
                <c:pt idx="11">
                  <c:v>-11.369787163417177</c:v>
                </c:pt>
                <c:pt idx="12">
                  <c:v>33.064546678634009</c:v>
                </c:pt>
                <c:pt idx="13">
                  <c:v>38.356216602010029</c:v>
                </c:pt>
                <c:pt idx="14">
                  <c:v>30.227394162197374</c:v>
                </c:pt>
                <c:pt idx="15">
                  <c:v>32.295370307472915</c:v>
                </c:pt>
                <c:pt idx="16">
                  <c:v>25.493912903761217</c:v>
                </c:pt>
                <c:pt idx="17">
                  <c:v>25.718494825997993</c:v>
                </c:pt>
                <c:pt idx="18">
                  <c:v>24.275456588886858</c:v>
                </c:pt>
                <c:pt idx="19">
                  <c:v>19.214399618747557</c:v>
                </c:pt>
                <c:pt idx="20">
                  <c:v>6.4329910180500827</c:v>
                </c:pt>
                <c:pt idx="21">
                  <c:v>2.96159233054194</c:v>
                </c:pt>
              </c:numCache>
            </c:numRef>
          </c:val>
        </c:ser>
        <c:ser>
          <c:idx val="1"/>
          <c:order val="1"/>
          <c:tx>
            <c:strRef>
              <c:f>'Year over Year'!$S$5</c:f>
              <c:strCache>
                <c:ptCount val="1"/>
                <c:pt idx="0">
                  <c:v>YoYRevenueChange</c:v>
                </c:pt>
              </c:strCache>
            </c:strRef>
          </c:tx>
          <c:spPr>
            <a:solidFill>
              <a:srgbClr val="FF6600"/>
            </a:solidFill>
            <a:ln w="12700">
              <a:solidFill>
                <a:srgbClr val="000000"/>
              </a:solidFill>
              <a:prstDash val="solid"/>
            </a:ln>
          </c:spPr>
          <c:invertIfNegative val="0"/>
          <c:cat>
            <c:numRef>
              <c:f>'Year over Year'!$A$6:$A$27</c:f>
              <c:numCache>
                <c:formatCode>mm/dd/yyyy</c:formatCode>
                <c:ptCount val="22"/>
                <c:pt idx="0">
                  <c:v>39172</c:v>
                </c:pt>
                <c:pt idx="1">
                  <c:v>39263</c:v>
                </c:pt>
                <c:pt idx="2">
                  <c:v>39355</c:v>
                </c:pt>
                <c:pt idx="3">
                  <c:v>39447</c:v>
                </c:pt>
                <c:pt idx="4">
                  <c:v>39538</c:v>
                </c:pt>
                <c:pt idx="5">
                  <c:v>39629</c:v>
                </c:pt>
                <c:pt idx="6">
                  <c:v>39721</c:v>
                </c:pt>
                <c:pt idx="7">
                  <c:v>39813</c:v>
                </c:pt>
                <c:pt idx="8">
                  <c:v>39903</c:v>
                </c:pt>
                <c:pt idx="9">
                  <c:v>39994</c:v>
                </c:pt>
                <c:pt idx="10">
                  <c:v>40086</c:v>
                </c:pt>
                <c:pt idx="11">
                  <c:v>40178</c:v>
                </c:pt>
                <c:pt idx="12">
                  <c:v>40268</c:v>
                </c:pt>
                <c:pt idx="13">
                  <c:v>40359</c:v>
                </c:pt>
                <c:pt idx="14">
                  <c:v>40451</c:v>
                </c:pt>
                <c:pt idx="15">
                  <c:v>40543</c:v>
                </c:pt>
                <c:pt idx="16">
                  <c:v>40633</c:v>
                </c:pt>
                <c:pt idx="17">
                  <c:v>40724</c:v>
                </c:pt>
                <c:pt idx="18">
                  <c:v>40816</c:v>
                </c:pt>
                <c:pt idx="19">
                  <c:v>40908</c:v>
                </c:pt>
                <c:pt idx="20">
                  <c:v>40999</c:v>
                </c:pt>
                <c:pt idx="21">
                  <c:v>41090</c:v>
                </c:pt>
              </c:numCache>
            </c:numRef>
          </c:cat>
          <c:val>
            <c:numRef>
              <c:f>'Year over Year'!$S$6:$S$27</c:f>
              <c:numCache>
                <c:formatCode>0.0</c:formatCode>
                <c:ptCount val="22"/>
                <c:pt idx="0">
                  <c:v>27.649489106320658</c:v>
                </c:pt>
                <c:pt idx="1">
                  <c:v>31.913858761231182</c:v>
                </c:pt>
                <c:pt idx="2">
                  <c:v>25.442656414157749</c:v>
                </c:pt>
                <c:pt idx="3">
                  <c:v>28.335251145736894</c:v>
                </c:pt>
                <c:pt idx="4">
                  <c:v>47.37859876259585</c:v>
                </c:pt>
                <c:pt idx="5">
                  <c:v>57.009451826833121</c:v>
                </c:pt>
                <c:pt idx="6">
                  <c:v>49.561629443064191</c:v>
                </c:pt>
                <c:pt idx="7">
                  <c:v>10.192113874660503</c:v>
                </c:pt>
                <c:pt idx="8">
                  <c:v>-24.798529243539146</c:v>
                </c:pt>
                <c:pt idx="9">
                  <c:v>-25.262995823399226</c:v>
                </c:pt>
                <c:pt idx="10">
                  <c:v>-23.656257607643504</c:v>
                </c:pt>
                <c:pt idx="11">
                  <c:v>-6.2470371142160026</c:v>
                </c:pt>
                <c:pt idx="12">
                  <c:v>36.588547130653161</c:v>
                </c:pt>
                <c:pt idx="13">
                  <c:v>45.682424702980697</c:v>
                </c:pt>
                <c:pt idx="14">
                  <c:v>36.557549014375823</c:v>
                </c:pt>
                <c:pt idx="15">
                  <c:v>33.454234498362403</c:v>
                </c:pt>
                <c:pt idx="16">
                  <c:v>28.031709320668764</c:v>
                </c:pt>
                <c:pt idx="17">
                  <c:v>23.480458797022564</c:v>
                </c:pt>
                <c:pt idx="18">
                  <c:v>22.248067772725189</c:v>
                </c:pt>
                <c:pt idx="19">
                  <c:v>16.232563507023379</c:v>
                </c:pt>
                <c:pt idx="20">
                  <c:v>5.9806683332197741</c:v>
                </c:pt>
                <c:pt idx="21">
                  <c:v>0.29713063902085946</c:v>
                </c:pt>
              </c:numCache>
            </c:numRef>
          </c:val>
        </c:ser>
        <c:dLbls>
          <c:showLegendKey val="0"/>
          <c:showVal val="0"/>
          <c:showCatName val="0"/>
          <c:showSerName val="0"/>
          <c:showPercent val="0"/>
          <c:showBubbleSize val="0"/>
        </c:dLbls>
        <c:gapWidth val="50"/>
        <c:axId val="579524480"/>
        <c:axId val="579526016"/>
      </c:barChart>
      <c:catAx>
        <c:axId val="579524480"/>
        <c:scaling>
          <c:orientation val="minMax"/>
        </c:scaling>
        <c:delete val="0"/>
        <c:axPos val="b"/>
        <c:numFmt formatCode="mmm\ yy"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Narrow"/>
                <a:ea typeface="Arial Narrow"/>
                <a:cs typeface="Arial Narrow"/>
              </a:defRPr>
            </a:pPr>
            <a:endParaRPr lang="en-US"/>
          </a:p>
        </c:txPr>
        <c:crossAx val="579526016"/>
        <c:crosses val="autoZero"/>
        <c:auto val="0"/>
        <c:lblAlgn val="ctr"/>
        <c:lblOffset val="100"/>
        <c:tickLblSkip val="2"/>
        <c:tickMarkSkip val="1"/>
        <c:noMultiLvlLbl val="0"/>
      </c:catAx>
      <c:valAx>
        <c:axId val="579526016"/>
        <c:scaling>
          <c:orientation val="minMax"/>
          <c:max val="60"/>
        </c:scaling>
        <c:delete val="0"/>
        <c:axPos val="l"/>
        <c:majorGridlines>
          <c:spPr>
            <a:ln w="12700">
              <a:solidFill>
                <a:srgbClr val="969696"/>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Narrow"/>
                <a:ea typeface="Arial Narrow"/>
                <a:cs typeface="Arial Narrow"/>
              </a:defRPr>
            </a:pPr>
            <a:endParaRPr lang="en-US"/>
          </a:p>
        </c:txPr>
        <c:crossAx val="579524480"/>
        <c:crosses val="autoZero"/>
        <c:crossBetween val="between"/>
        <c:majorUnit val="10"/>
      </c:valAx>
      <c:spPr>
        <a:noFill/>
        <a:ln w="12700">
          <a:solidFill>
            <a:srgbClr val="808080"/>
          </a:solidFill>
          <a:prstDash val="solid"/>
        </a:ln>
      </c:spPr>
    </c:plotArea>
    <c:legend>
      <c:legendPos val="b"/>
      <c:layout>
        <c:manualLayout>
          <c:xMode val="edge"/>
          <c:yMode val="edge"/>
          <c:x val="0.29500048014401065"/>
          <c:y val="0.91000111084119972"/>
          <c:w val="0.4683340955958587"/>
          <c:h val="6.2500076294038448E-2"/>
        </c:manualLayout>
      </c:layout>
      <c:overlay val="0"/>
      <c:spPr>
        <a:solidFill>
          <a:srgbClr val="FFFFFF"/>
        </a:solidFill>
        <a:ln w="25400">
          <a:noFill/>
        </a:ln>
      </c:spPr>
      <c:txPr>
        <a:bodyPr/>
        <a:lstStyle/>
        <a:p>
          <a:pPr>
            <a:defRPr sz="1100" b="0" i="0" u="none" strike="noStrike" baseline="0">
              <a:solidFill>
                <a:srgbClr val="000000"/>
              </a:solidFill>
              <a:latin typeface="Arial Narrow"/>
              <a:ea typeface="Arial Narrow"/>
              <a:cs typeface="Arial Narrow"/>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5000138346579338E-2"/>
          <c:y val="7.7500094604607675E-2"/>
          <c:w val="0.87833476291465318"/>
          <c:h val="0.7125008697520383"/>
        </c:manualLayout>
      </c:layout>
      <c:barChart>
        <c:barDir val="col"/>
        <c:grouping val="clustered"/>
        <c:varyColors val="0"/>
        <c:ser>
          <c:idx val="0"/>
          <c:order val="0"/>
          <c:tx>
            <c:strRef>
              <c:f>'Year over Year'!$M$5</c:f>
              <c:strCache>
                <c:ptCount val="1"/>
                <c:pt idx="0">
                  <c:v>EM IG Gross Profit Margin</c:v>
                </c:pt>
              </c:strCache>
            </c:strRef>
          </c:tx>
          <c:spPr>
            <a:solidFill>
              <a:srgbClr val="003366"/>
            </a:solidFill>
            <a:ln w="12700">
              <a:solidFill>
                <a:srgbClr val="000000"/>
              </a:solidFill>
              <a:prstDash val="solid"/>
            </a:ln>
          </c:spPr>
          <c:invertIfNegative val="0"/>
          <c:cat>
            <c:numRef>
              <c:f>'Year over Year'!$A$6:$A$27</c:f>
              <c:numCache>
                <c:formatCode>mm/dd/yyyy</c:formatCode>
                <c:ptCount val="22"/>
                <c:pt idx="0">
                  <c:v>39172</c:v>
                </c:pt>
                <c:pt idx="1">
                  <c:v>39263</c:v>
                </c:pt>
                <c:pt idx="2">
                  <c:v>39355</c:v>
                </c:pt>
                <c:pt idx="3">
                  <c:v>39447</c:v>
                </c:pt>
                <c:pt idx="4">
                  <c:v>39538</c:v>
                </c:pt>
                <c:pt idx="5">
                  <c:v>39629</c:v>
                </c:pt>
                <c:pt idx="6">
                  <c:v>39721</c:v>
                </c:pt>
                <c:pt idx="7">
                  <c:v>39813</c:v>
                </c:pt>
                <c:pt idx="8">
                  <c:v>39903</c:v>
                </c:pt>
                <c:pt idx="9">
                  <c:v>39994</c:v>
                </c:pt>
                <c:pt idx="10">
                  <c:v>40086</c:v>
                </c:pt>
                <c:pt idx="11">
                  <c:v>40178</c:v>
                </c:pt>
                <c:pt idx="12">
                  <c:v>40268</c:v>
                </c:pt>
                <c:pt idx="13">
                  <c:v>40359</c:v>
                </c:pt>
                <c:pt idx="14">
                  <c:v>40451</c:v>
                </c:pt>
                <c:pt idx="15">
                  <c:v>40543</c:v>
                </c:pt>
                <c:pt idx="16">
                  <c:v>40633</c:v>
                </c:pt>
                <c:pt idx="17">
                  <c:v>40724</c:v>
                </c:pt>
                <c:pt idx="18">
                  <c:v>40816</c:v>
                </c:pt>
                <c:pt idx="19">
                  <c:v>40908</c:v>
                </c:pt>
                <c:pt idx="20">
                  <c:v>40999</c:v>
                </c:pt>
                <c:pt idx="21">
                  <c:v>41090</c:v>
                </c:pt>
              </c:numCache>
            </c:numRef>
          </c:cat>
          <c:val>
            <c:numRef>
              <c:f>'Year over Year'!$M$6:$M$27</c:f>
              <c:numCache>
                <c:formatCode>0.0</c:formatCode>
                <c:ptCount val="22"/>
                <c:pt idx="0">
                  <c:v>39.209766496894503</c:v>
                </c:pt>
                <c:pt idx="1">
                  <c:v>40.241663069617751</c:v>
                </c:pt>
                <c:pt idx="2">
                  <c:v>35.76180984080559</c:v>
                </c:pt>
                <c:pt idx="3">
                  <c:v>37.290354444192673</c:v>
                </c:pt>
                <c:pt idx="4">
                  <c:v>33.994643345442356</c:v>
                </c:pt>
                <c:pt idx="5">
                  <c:v>35.904247021465565</c:v>
                </c:pt>
                <c:pt idx="6">
                  <c:v>34.647442249289838</c:v>
                </c:pt>
                <c:pt idx="7">
                  <c:v>29.903716148762037</c:v>
                </c:pt>
                <c:pt idx="8">
                  <c:v>36.163385870018629</c:v>
                </c:pt>
                <c:pt idx="9">
                  <c:v>36.918032586017361</c:v>
                </c:pt>
                <c:pt idx="10">
                  <c:v>35.996705941290799</c:v>
                </c:pt>
                <c:pt idx="11">
                  <c:v>31.979028316414148</c:v>
                </c:pt>
                <c:pt idx="12">
                  <c:v>34.971121066959576</c:v>
                </c:pt>
                <c:pt idx="13">
                  <c:v>34.708502779461604</c:v>
                </c:pt>
                <c:pt idx="14">
                  <c:v>35.392181583027579</c:v>
                </c:pt>
                <c:pt idx="15">
                  <c:v>34.227894514113586</c:v>
                </c:pt>
                <c:pt idx="16">
                  <c:v>36.831372550174692</c:v>
                </c:pt>
                <c:pt idx="17">
                  <c:v>35.345910010866724</c:v>
                </c:pt>
                <c:pt idx="18">
                  <c:v>32.36922769668368</c:v>
                </c:pt>
                <c:pt idx="19">
                  <c:v>31.792974564303456</c:v>
                </c:pt>
                <c:pt idx="20">
                  <c:v>33.499069227436685</c:v>
                </c:pt>
                <c:pt idx="21">
                  <c:v>29.787668824492506</c:v>
                </c:pt>
              </c:numCache>
            </c:numRef>
          </c:val>
        </c:ser>
        <c:ser>
          <c:idx val="1"/>
          <c:order val="1"/>
          <c:tx>
            <c:strRef>
              <c:f>'Year over Year'!$T$5</c:f>
              <c:strCache>
                <c:ptCount val="1"/>
                <c:pt idx="0">
                  <c:v>EM HY Gross Profit Margin</c:v>
                </c:pt>
              </c:strCache>
            </c:strRef>
          </c:tx>
          <c:spPr>
            <a:solidFill>
              <a:srgbClr val="FF6600"/>
            </a:solidFill>
            <a:ln w="12700">
              <a:solidFill>
                <a:srgbClr val="000000"/>
              </a:solidFill>
              <a:prstDash val="solid"/>
            </a:ln>
          </c:spPr>
          <c:invertIfNegative val="0"/>
          <c:cat>
            <c:numRef>
              <c:f>'Year over Year'!$A$6:$A$27</c:f>
              <c:numCache>
                <c:formatCode>mm/dd/yyyy</c:formatCode>
                <c:ptCount val="22"/>
                <c:pt idx="0">
                  <c:v>39172</c:v>
                </c:pt>
                <c:pt idx="1">
                  <c:v>39263</c:v>
                </c:pt>
                <c:pt idx="2">
                  <c:v>39355</c:v>
                </c:pt>
                <c:pt idx="3">
                  <c:v>39447</c:v>
                </c:pt>
                <c:pt idx="4">
                  <c:v>39538</c:v>
                </c:pt>
                <c:pt idx="5">
                  <c:v>39629</c:v>
                </c:pt>
                <c:pt idx="6">
                  <c:v>39721</c:v>
                </c:pt>
                <c:pt idx="7">
                  <c:v>39813</c:v>
                </c:pt>
                <c:pt idx="8">
                  <c:v>39903</c:v>
                </c:pt>
                <c:pt idx="9">
                  <c:v>39994</c:v>
                </c:pt>
                <c:pt idx="10">
                  <c:v>40086</c:v>
                </c:pt>
                <c:pt idx="11">
                  <c:v>40178</c:v>
                </c:pt>
                <c:pt idx="12">
                  <c:v>40268</c:v>
                </c:pt>
                <c:pt idx="13">
                  <c:v>40359</c:v>
                </c:pt>
                <c:pt idx="14">
                  <c:v>40451</c:v>
                </c:pt>
                <c:pt idx="15">
                  <c:v>40543</c:v>
                </c:pt>
                <c:pt idx="16">
                  <c:v>40633</c:v>
                </c:pt>
                <c:pt idx="17">
                  <c:v>40724</c:v>
                </c:pt>
                <c:pt idx="18">
                  <c:v>40816</c:v>
                </c:pt>
                <c:pt idx="19">
                  <c:v>40908</c:v>
                </c:pt>
                <c:pt idx="20">
                  <c:v>40999</c:v>
                </c:pt>
                <c:pt idx="21">
                  <c:v>41090</c:v>
                </c:pt>
              </c:numCache>
            </c:numRef>
          </c:cat>
          <c:val>
            <c:numRef>
              <c:f>'Year over Year'!$T$6:$T$27</c:f>
              <c:numCache>
                <c:formatCode>0.0</c:formatCode>
                <c:ptCount val="22"/>
                <c:pt idx="0">
                  <c:v>39.548351820632135</c:v>
                </c:pt>
                <c:pt idx="1">
                  <c:v>36.015976645387028</c:v>
                </c:pt>
                <c:pt idx="2">
                  <c:v>35.676495675248013</c:v>
                </c:pt>
                <c:pt idx="3">
                  <c:v>34.53548570864757</c:v>
                </c:pt>
                <c:pt idx="4">
                  <c:v>39.611105170355621</c:v>
                </c:pt>
                <c:pt idx="5">
                  <c:v>36.409699896215827</c:v>
                </c:pt>
                <c:pt idx="6">
                  <c:v>35.016619140403115</c:v>
                </c:pt>
                <c:pt idx="7">
                  <c:v>32.106400341246655</c:v>
                </c:pt>
                <c:pt idx="8">
                  <c:v>30.884171610344048</c:v>
                </c:pt>
                <c:pt idx="9">
                  <c:v>29.899652931284304</c:v>
                </c:pt>
                <c:pt idx="10">
                  <c:v>29.599691649033886</c:v>
                </c:pt>
                <c:pt idx="11">
                  <c:v>33.391293256230682</c:v>
                </c:pt>
                <c:pt idx="12">
                  <c:v>29.524970080288938</c:v>
                </c:pt>
                <c:pt idx="13">
                  <c:v>35.26920702185695</c:v>
                </c:pt>
                <c:pt idx="14">
                  <c:v>32.157344691962329</c:v>
                </c:pt>
                <c:pt idx="15">
                  <c:v>31.999166539011249</c:v>
                </c:pt>
                <c:pt idx="16">
                  <c:v>31.08385339633578</c:v>
                </c:pt>
                <c:pt idx="17">
                  <c:v>31.596822212995711</c:v>
                </c:pt>
                <c:pt idx="18">
                  <c:v>30.867251915926673</c:v>
                </c:pt>
                <c:pt idx="19">
                  <c:v>31.804544625618092</c:v>
                </c:pt>
                <c:pt idx="20">
                  <c:v>30.428506487908201</c:v>
                </c:pt>
                <c:pt idx="21">
                  <c:v>28.239214209096598</c:v>
                </c:pt>
              </c:numCache>
            </c:numRef>
          </c:val>
        </c:ser>
        <c:dLbls>
          <c:showLegendKey val="0"/>
          <c:showVal val="0"/>
          <c:showCatName val="0"/>
          <c:showSerName val="0"/>
          <c:showPercent val="0"/>
          <c:showBubbleSize val="0"/>
        </c:dLbls>
        <c:gapWidth val="50"/>
        <c:axId val="579550592"/>
        <c:axId val="579552384"/>
      </c:barChart>
      <c:catAx>
        <c:axId val="579550592"/>
        <c:scaling>
          <c:orientation val="minMax"/>
        </c:scaling>
        <c:delete val="0"/>
        <c:axPos val="b"/>
        <c:numFmt formatCode="mmm\ yy"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Narrow"/>
                <a:ea typeface="Arial Narrow"/>
                <a:cs typeface="Arial Narrow"/>
              </a:defRPr>
            </a:pPr>
            <a:endParaRPr lang="en-US"/>
          </a:p>
        </c:txPr>
        <c:crossAx val="579552384"/>
        <c:crosses val="autoZero"/>
        <c:auto val="0"/>
        <c:lblAlgn val="ctr"/>
        <c:lblOffset val="100"/>
        <c:tickLblSkip val="2"/>
        <c:tickMarkSkip val="1"/>
        <c:noMultiLvlLbl val="0"/>
      </c:catAx>
      <c:valAx>
        <c:axId val="579552384"/>
        <c:scaling>
          <c:orientation val="minMax"/>
          <c:max val="42"/>
          <c:min val="22"/>
        </c:scaling>
        <c:delete val="0"/>
        <c:axPos val="l"/>
        <c:majorGridlines>
          <c:spPr>
            <a:ln w="12700">
              <a:solidFill>
                <a:srgbClr val="969696"/>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Narrow"/>
                <a:ea typeface="Arial Narrow"/>
                <a:cs typeface="Arial Narrow"/>
              </a:defRPr>
            </a:pPr>
            <a:endParaRPr lang="en-US"/>
          </a:p>
        </c:txPr>
        <c:crossAx val="579550592"/>
        <c:crosses val="autoZero"/>
        <c:crossBetween val="between"/>
        <c:majorUnit val="3"/>
      </c:valAx>
      <c:spPr>
        <a:noFill/>
        <a:ln w="12700">
          <a:solidFill>
            <a:srgbClr val="808080"/>
          </a:solidFill>
          <a:prstDash val="solid"/>
        </a:ln>
      </c:spPr>
    </c:plotArea>
    <c:legend>
      <c:legendPos val="b"/>
      <c:layout>
        <c:manualLayout>
          <c:xMode val="edge"/>
          <c:yMode val="edge"/>
          <c:x val="0.13500021972692014"/>
          <c:y val="0.89250108947886897"/>
          <c:w val="0.65166772732377498"/>
          <c:h val="6.2500076294038448E-2"/>
        </c:manualLayout>
      </c:layout>
      <c:overlay val="0"/>
      <c:spPr>
        <a:solidFill>
          <a:srgbClr val="FFFFFF"/>
        </a:solidFill>
        <a:ln w="25400">
          <a:noFill/>
        </a:ln>
      </c:spPr>
      <c:txPr>
        <a:bodyPr/>
        <a:lstStyle/>
        <a:p>
          <a:pPr>
            <a:defRPr sz="1100" b="0" i="0" u="none" strike="noStrike" baseline="0">
              <a:solidFill>
                <a:srgbClr val="000000"/>
              </a:solidFill>
              <a:latin typeface="Arial Narrow"/>
              <a:ea typeface="Arial Narrow"/>
              <a:cs typeface="Arial Narrow"/>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194743132168333E-2"/>
          <c:y val="4.738154613466334E-2"/>
          <c:w val="0.89018375151420115"/>
          <c:h val="0.76558603491271815"/>
        </c:manualLayout>
      </c:layout>
      <c:barChart>
        <c:barDir val="col"/>
        <c:grouping val="clustered"/>
        <c:varyColors val="0"/>
        <c:ser>
          <c:idx val="0"/>
          <c:order val="0"/>
          <c:tx>
            <c:strRef>
              <c:f>'Year over Year'!$W$5</c:f>
              <c:strCache>
                <c:ptCount val="1"/>
                <c:pt idx="0">
                  <c:v>LatAm YoY EBITDA % Change</c:v>
                </c:pt>
              </c:strCache>
            </c:strRef>
          </c:tx>
          <c:spPr>
            <a:solidFill>
              <a:srgbClr val="003366"/>
            </a:solidFill>
            <a:ln w="12700">
              <a:solidFill>
                <a:srgbClr val="000000"/>
              </a:solidFill>
              <a:prstDash val="solid"/>
            </a:ln>
          </c:spPr>
          <c:invertIfNegative val="0"/>
          <c:cat>
            <c:numRef>
              <c:f>'Year over Year'!$A$6:$A$27</c:f>
              <c:numCache>
                <c:formatCode>mm/dd/yyyy</c:formatCode>
                <c:ptCount val="22"/>
                <c:pt idx="0">
                  <c:v>39172</c:v>
                </c:pt>
                <c:pt idx="1">
                  <c:v>39263</c:v>
                </c:pt>
                <c:pt idx="2">
                  <c:v>39355</c:v>
                </c:pt>
                <c:pt idx="3">
                  <c:v>39447</c:v>
                </c:pt>
                <c:pt idx="4">
                  <c:v>39538</c:v>
                </c:pt>
                <c:pt idx="5">
                  <c:v>39629</c:v>
                </c:pt>
                <c:pt idx="6">
                  <c:v>39721</c:v>
                </c:pt>
                <c:pt idx="7">
                  <c:v>39813</c:v>
                </c:pt>
                <c:pt idx="8">
                  <c:v>39903</c:v>
                </c:pt>
                <c:pt idx="9">
                  <c:v>39994</c:v>
                </c:pt>
                <c:pt idx="10">
                  <c:v>40086</c:v>
                </c:pt>
                <c:pt idx="11">
                  <c:v>40178</c:v>
                </c:pt>
                <c:pt idx="12">
                  <c:v>40268</c:v>
                </c:pt>
                <c:pt idx="13">
                  <c:v>40359</c:v>
                </c:pt>
                <c:pt idx="14">
                  <c:v>40451</c:v>
                </c:pt>
                <c:pt idx="15">
                  <c:v>40543</c:v>
                </c:pt>
                <c:pt idx="16">
                  <c:v>40633</c:v>
                </c:pt>
                <c:pt idx="17">
                  <c:v>40724</c:v>
                </c:pt>
                <c:pt idx="18">
                  <c:v>40816</c:v>
                </c:pt>
                <c:pt idx="19">
                  <c:v>40908</c:v>
                </c:pt>
                <c:pt idx="20">
                  <c:v>40999</c:v>
                </c:pt>
                <c:pt idx="21">
                  <c:v>41090</c:v>
                </c:pt>
              </c:numCache>
            </c:numRef>
          </c:cat>
          <c:val>
            <c:numRef>
              <c:f>'Year over Year'!$W$6:$W$27</c:f>
              <c:numCache>
                <c:formatCode>0.0</c:formatCode>
                <c:ptCount val="22"/>
                <c:pt idx="0">
                  <c:v>1.0817792836788742</c:v>
                </c:pt>
                <c:pt idx="1">
                  <c:v>7.7468299251090444</c:v>
                </c:pt>
                <c:pt idx="2">
                  <c:v>5.7901277105218307</c:v>
                </c:pt>
                <c:pt idx="3">
                  <c:v>33.949488559982854</c:v>
                </c:pt>
                <c:pt idx="4">
                  <c:v>43.999585487236857</c:v>
                </c:pt>
                <c:pt idx="5">
                  <c:v>35.126249634050843</c:v>
                </c:pt>
                <c:pt idx="6">
                  <c:v>40.487704482923888</c:v>
                </c:pt>
                <c:pt idx="7">
                  <c:v>-32.849035831362663</c:v>
                </c:pt>
                <c:pt idx="8">
                  <c:v>-39.103005271822788</c:v>
                </c:pt>
                <c:pt idx="9">
                  <c:v>-42.802733383155278</c:v>
                </c:pt>
                <c:pt idx="10">
                  <c:v>-32.03093755675026</c:v>
                </c:pt>
                <c:pt idx="11">
                  <c:v>26.85123167022596</c:v>
                </c:pt>
                <c:pt idx="12">
                  <c:v>46.360747936882433</c:v>
                </c:pt>
                <c:pt idx="13">
                  <c:v>39.657495805655827</c:v>
                </c:pt>
                <c:pt idx="14">
                  <c:v>24.177835436034222</c:v>
                </c:pt>
                <c:pt idx="15">
                  <c:v>38.194309240727286</c:v>
                </c:pt>
                <c:pt idx="16">
                  <c:v>29.121660142413042</c:v>
                </c:pt>
                <c:pt idx="17">
                  <c:v>27.202266612510883</c:v>
                </c:pt>
                <c:pt idx="18">
                  <c:v>18.214515918671424</c:v>
                </c:pt>
                <c:pt idx="19">
                  <c:v>6.091769532929292</c:v>
                </c:pt>
                <c:pt idx="20">
                  <c:v>5.904161234441041</c:v>
                </c:pt>
                <c:pt idx="21">
                  <c:v>-19.980751565001718</c:v>
                </c:pt>
              </c:numCache>
            </c:numRef>
          </c:val>
        </c:ser>
        <c:ser>
          <c:idx val="1"/>
          <c:order val="1"/>
          <c:tx>
            <c:strRef>
              <c:f>'Year over Year'!$Z$5</c:f>
              <c:strCache>
                <c:ptCount val="1"/>
                <c:pt idx="0">
                  <c:v>LatAm ex-PETBRA, VALE</c:v>
                </c:pt>
              </c:strCache>
            </c:strRef>
          </c:tx>
          <c:spPr>
            <a:solidFill>
              <a:srgbClr val="FF6600"/>
            </a:solidFill>
            <a:ln w="12700">
              <a:solidFill>
                <a:srgbClr val="000000"/>
              </a:solidFill>
              <a:prstDash val="solid"/>
            </a:ln>
          </c:spPr>
          <c:invertIfNegative val="0"/>
          <c:cat>
            <c:numRef>
              <c:f>'Year over Year'!$A$6:$A$27</c:f>
              <c:numCache>
                <c:formatCode>mm/dd/yyyy</c:formatCode>
                <c:ptCount val="22"/>
                <c:pt idx="0">
                  <c:v>39172</c:v>
                </c:pt>
                <c:pt idx="1">
                  <c:v>39263</c:v>
                </c:pt>
                <c:pt idx="2">
                  <c:v>39355</c:v>
                </c:pt>
                <c:pt idx="3">
                  <c:v>39447</c:v>
                </c:pt>
                <c:pt idx="4">
                  <c:v>39538</c:v>
                </c:pt>
                <c:pt idx="5">
                  <c:v>39629</c:v>
                </c:pt>
                <c:pt idx="6">
                  <c:v>39721</c:v>
                </c:pt>
                <c:pt idx="7">
                  <c:v>39813</c:v>
                </c:pt>
                <c:pt idx="8">
                  <c:v>39903</c:v>
                </c:pt>
                <c:pt idx="9">
                  <c:v>39994</c:v>
                </c:pt>
                <c:pt idx="10">
                  <c:v>40086</c:v>
                </c:pt>
                <c:pt idx="11">
                  <c:v>40178</c:v>
                </c:pt>
                <c:pt idx="12">
                  <c:v>40268</c:v>
                </c:pt>
                <c:pt idx="13">
                  <c:v>40359</c:v>
                </c:pt>
                <c:pt idx="14">
                  <c:v>40451</c:v>
                </c:pt>
                <c:pt idx="15">
                  <c:v>40543</c:v>
                </c:pt>
                <c:pt idx="16">
                  <c:v>40633</c:v>
                </c:pt>
                <c:pt idx="17">
                  <c:v>40724</c:v>
                </c:pt>
                <c:pt idx="18">
                  <c:v>40816</c:v>
                </c:pt>
                <c:pt idx="19">
                  <c:v>40908</c:v>
                </c:pt>
                <c:pt idx="20">
                  <c:v>40999</c:v>
                </c:pt>
                <c:pt idx="21">
                  <c:v>41090</c:v>
                </c:pt>
              </c:numCache>
            </c:numRef>
          </c:cat>
          <c:val>
            <c:numRef>
              <c:f>'Year over Year'!$Z$6:$Z$27</c:f>
              <c:numCache>
                <c:formatCode>0.0</c:formatCode>
                <c:ptCount val="22"/>
                <c:pt idx="0">
                  <c:v>1.0817792836788742</c:v>
                </c:pt>
                <c:pt idx="1">
                  <c:v>7.7468299251090444</c:v>
                </c:pt>
                <c:pt idx="2">
                  <c:v>4.4977356745689256</c:v>
                </c:pt>
                <c:pt idx="3">
                  <c:v>37.065624910136009</c:v>
                </c:pt>
                <c:pt idx="4">
                  <c:v>42.362813466129737</c:v>
                </c:pt>
                <c:pt idx="5">
                  <c:v>33.549665250012616</c:v>
                </c:pt>
                <c:pt idx="6">
                  <c:v>38.990294458367927</c:v>
                </c:pt>
                <c:pt idx="7">
                  <c:v>-34.698885301519041</c:v>
                </c:pt>
                <c:pt idx="8">
                  <c:v>-41.84785807168182</c:v>
                </c:pt>
                <c:pt idx="9">
                  <c:v>-43.513521227702412</c:v>
                </c:pt>
                <c:pt idx="10">
                  <c:v>-31.748272222321429</c:v>
                </c:pt>
                <c:pt idx="11">
                  <c:v>20.668957590979598</c:v>
                </c:pt>
                <c:pt idx="12">
                  <c:v>48.612773609890802</c:v>
                </c:pt>
                <c:pt idx="13">
                  <c:v>38.974993614482358</c:v>
                </c:pt>
                <c:pt idx="14">
                  <c:v>14.277834075709617</c:v>
                </c:pt>
                <c:pt idx="15">
                  <c:v>30.044122145770391</c:v>
                </c:pt>
                <c:pt idx="16">
                  <c:v>23.277937184507437</c:v>
                </c:pt>
                <c:pt idx="17">
                  <c:v>25.866089267387558</c:v>
                </c:pt>
                <c:pt idx="18">
                  <c:v>18.100295837306525</c:v>
                </c:pt>
                <c:pt idx="19">
                  <c:v>13.454660724837675</c:v>
                </c:pt>
                <c:pt idx="20">
                  <c:v>13.302775029097823</c:v>
                </c:pt>
                <c:pt idx="21">
                  <c:v>-12.006719728640059</c:v>
                </c:pt>
              </c:numCache>
            </c:numRef>
          </c:val>
        </c:ser>
        <c:dLbls>
          <c:showLegendKey val="0"/>
          <c:showVal val="0"/>
          <c:showCatName val="0"/>
          <c:showSerName val="0"/>
          <c:showPercent val="0"/>
          <c:showBubbleSize val="0"/>
        </c:dLbls>
        <c:gapWidth val="50"/>
        <c:axId val="579582208"/>
        <c:axId val="579588096"/>
      </c:barChart>
      <c:catAx>
        <c:axId val="579582208"/>
        <c:scaling>
          <c:orientation val="minMax"/>
        </c:scaling>
        <c:delete val="0"/>
        <c:axPos val="b"/>
        <c:numFmt formatCode="mmm\ yy"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Narrow"/>
                <a:ea typeface="Arial Narrow"/>
                <a:cs typeface="Arial Narrow"/>
              </a:defRPr>
            </a:pPr>
            <a:endParaRPr lang="en-US"/>
          </a:p>
        </c:txPr>
        <c:crossAx val="579588096"/>
        <c:crosses val="autoZero"/>
        <c:auto val="0"/>
        <c:lblAlgn val="ctr"/>
        <c:lblOffset val="100"/>
        <c:tickLblSkip val="2"/>
        <c:tickMarkSkip val="1"/>
        <c:noMultiLvlLbl val="0"/>
      </c:catAx>
      <c:valAx>
        <c:axId val="579588096"/>
        <c:scaling>
          <c:orientation val="minMax"/>
          <c:max val="50"/>
          <c:min val="-50"/>
        </c:scaling>
        <c:delete val="0"/>
        <c:axPos val="l"/>
        <c:majorGridlines>
          <c:spPr>
            <a:ln w="12700">
              <a:solidFill>
                <a:srgbClr val="969696"/>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Narrow"/>
                <a:ea typeface="Arial Narrow"/>
                <a:cs typeface="Arial Narrow"/>
              </a:defRPr>
            </a:pPr>
            <a:endParaRPr lang="en-US"/>
          </a:p>
        </c:txPr>
        <c:crossAx val="579582208"/>
        <c:crosses val="autoZero"/>
        <c:crossBetween val="between"/>
      </c:valAx>
      <c:spPr>
        <a:noFill/>
        <a:ln w="12700">
          <a:solidFill>
            <a:srgbClr val="808080"/>
          </a:solidFill>
          <a:prstDash val="solid"/>
        </a:ln>
      </c:spPr>
    </c:plotArea>
    <c:legend>
      <c:legendPos val="b"/>
      <c:layout>
        <c:manualLayout>
          <c:xMode val="edge"/>
          <c:yMode val="edge"/>
          <c:x val="0.14143106332468616"/>
          <c:y val="0.92019950124688277"/>
          <c:w val="0.68718857827171043"/>
          <c:h val="6.2344139650872821E-2"/>
        </c:manualLayout>
      </c:layout>
      <c:overlay val="0"/>
      <c:spPr>
        <a:solidFill>
          <a:srgbClr val="FFFFFF"/>
        </a:solidFill>
        <a:ln w="25400">
          <a:noFill/>
        </a:ln>
      </c:spPr>
      <c:txPr>
        <a:bodyPr/>
        <a:lstStyle/>
        <a:p>
          <a:pPr>
            <a:defRPr sz="1100" b="0" i="0" u="none" strike="noStrike" baseline="0">
              <a:solidFill>
                <a:srgbClr val="000000"/>
              </a:solidFill>
              <a:latin typeface="Arial Narrow"/>
              <a:ea typeface="Arial Narrow"/>
              <a:cs typeface="Arial Narrow"/>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039867109634545E-2"/>
          <c:y val="4.7263796408087512E-2"/>
          <c:w val="0.87873754152823924"/>
          <c:h val="0.73134506020935408"/>
        </c:manualLayout>
      </c:layout>
      <c:lineChart>
        <c:grouping val="standard"/>
        <c:varyColors val="0"/>
        <c:ser>
          <c:idx val="0"/>
          <c:order val="0"/>
          <c:tx>
            <c:strRef>
              <c:f>'Year over Year'!$AC$5</c:f>
              <c:strCache>
                <c:ptCount val="1"/>
                <c:pt idx="0">
                  <c:v>YOY EM IG EBITDA % Change</c:v>
                </c:pt>
              </c:strCache>
            </c:strRef>
          </c:tx>
          <c:spPr>
            <a:ln w="25400">
              <a:solidFill>
                <a:srgbClr val="003366"/>
              </a:solidFill>
              <a:prstDash val="solid"/>
            </a:ln>
          </c:spPr>
          <c:marker>
            <c:symbol val="square"/>
            <c:size val="7"/>
            <c:spPr>
              <a:solidFill>
                <a:srgbClr val="003366"/>
              </a:solidFill>
              <a:ln>
                <a:solidFill>
                  <a:srgbClr val="003366"/>
                </a:solidFill>
                <a:prstDash val="solid"/>
              </a:ln>
            </c:spPr>
          </c:marker>
          <c:cat>
            <c:numRef>
              <c:f>'Year over Year'!$A$6:$A$27</c:f>
              <c:numCache>
                <c:formatCode>mm/dd/yyyy</c:formatCode>
                <c:ptCount val="22"/>
                <c:pt idx="0">
                  <c:v>39172</c:v>
                </c:pt>
                <c:pt idx="1">
                  <c:v>39263</c:v>
                </c:pt>
                <c:pt idx="2">
                  <c:v>39355</c:v>
                </c:pt>
                <c:pt idx="3">
                  <c:v>39447</c:v>
                </c:pt>
                <c:pt idx="4">
                  <c:v>39538</c:v>
                </c:pt>
                <c:pt idx="5">
                  <c:v>39629</c:v>
                </c:pt>
                <c:pt idx="6">
                  <c:v>39721</c:v>
                </c:pt>
                <c:pt idx="7">
                  <c:v>39813</c:v>
                </c:pt>
                <c:pt idx="8">
                  <c:v>39903</c:v>
                </c:pt>
                <c:pt idx="9">
                  <c:v>39994</c:v>
                </c:pt>
                <c:pt idx="10">
                  <c:v>40086</c:v>
                </c:pt>
                <c:pt idx="11">
                  <c:v>40178</c:v>
                </c:pt>
                <c:pt idx="12">
                  <c:v>40268</c:v>
                </c:pt>
                <c:pt idx="13">
                  <c:v>40359</c:v>
                </c:pt>
                <c:pt idx="14">
                  <c:v>40451</c:v>
                </c:pt>
                <c:pt idx="15">
                  <c:v>40543</c:v>
                </c:pt>
                <c:pt idx="16">
                  <c:v>40633</c:v>
                </c:pt>
                <c:pt idx="17">
                  <c:v>40724</c:v>
                </c:pt>
                <c:pt idx="18">
                  <c:v>40816</c:v>
                </c:pt>
                <c:pt idx="19">
                  <c:v>40908</c:v>
                </c:pt>
                <c:pt idx="20">
                  <c:v>40999</c:v>
                </c:pt>
                <c:pt idx="21">
                  <c:v>41090</c:v>
                </c:pt>
              </c:numCache>
            </c:numRef>
          </c:cat>
          <c:val>
            <c:numRef>
              <c:f>'Year over Year'!$AC$6:$AC$27</c:f>
              <c:numCache>
                <c:formatCode>0.0</c:formatCode>
                <c:ptCount val="22"/>
                <c:pt idx="0">
                  <c:v>0.45996696924164304</c:v>
                </c:pt>
                <c:pt idx="1">
                  <c:v>7.3674492968498262</c:v>
                </c:pt>
                <c:pt idx="2">
                  <c:v>4.0376995391772308</c:v>
                </c:pt>
                <c:pt idx="3">
                  <c:v>36.050337316377011</c:v>
                </c:pt>
                <c:pt idx="4">
                  <c:v>44.292905226372525</c:v>
                </c:pt>
                <c:pt idx="5">
                  <c:v>35.039371558981557</c:v>
                </c:pt>
                <c:pt idx="6">
                  <c:v>39.054601336451533</c:v>
                </c:pt>
                <c:pt idx="7">
                  <c:v>-36.119455374075827</c:v>
                </c:pt>
                <c:pt idx="8">
                  <c:v>-40.933973677706511</c:v>
                </c:pt>
                <c:pt idx="9">
                  <c:v>-44.851397013816886</c:v>
                </c:pt>
                <c:pt idx="10">
                  <c:v>-33.143018608639061</c:v>
                </c:pt>
                <c:pt idx="11">
                  <c:v>30.618753243817199</c:v>
                </c:pt>
                <c:pt idx="12">
                  <c:v>45.457028134908903</c:v>
                </c:pt>
                <c:pt idx="13">
                  <c:v>39.029989048004452</c:v>
                </c:pt>
                <c:pt idx="14">
                  <c:v>22.750033330129149</c:v>
                </c:pt>
                <c:pt idx="15">
                  <c:v>41.065651745632969</c:v>
                </c:pt>
                <c:pt idx="16">
                  <c:v>31.003577302983466</c:v>
                </c:pt>
                <c:pt idx="17">
                  <c:v>29.742048899020411</c:v>
                </c:pt>
                <c:pt idx="18">
                  <c:v>19.24099416783751</c:v>
                </c:pt>
                <c:pt idx="19">
                  <c:v>6.8328693487077707</c:v>
                </c:pt>
                <c:pt idx="20">
                  <c:v>6.4487735524043188</c:v>
                </c:pt>
                <c:pt idx="21">
                  <c:v>-22.128836552745213</c:v>
                </c:pt>
              </c:numCache>
            </c:numRef>
          </c:val>
          <c:smooth val="0"/>
        </c:ser>
        <c:ser>
          <c:idx val="1"/>
          <c:order val="1"/>
          <c:tx>
            <c:strRef>
              <c:f>'Year over Year'!$AF$5</c:f>
              <c:strCache>
                <c:ptCount val="1"/>
                <c:pt idx="0">
                  <c:v>LatAm IG ex-PETBRA, VALE</c:v>
                </c:pt>
              </c:strCache>
            </c:strRef>
          </c:tx>
          <c:spPr>
            <a:ln w="25400">
              <a:solidFill>
                <a:srgbClr val="008080"/>
              </a:solidFill>
              <a:prstDash val="solid"/>
            </a:ln>
          </c:spPr>
          <c:marker>
            <c:symbol val="diamond"/>
            <c:size val="7"/>
            <c:spPr>
              <a:solidFill>
                <a:srgbClr val="008080"/>
              </a:solidFill>
              <a:ln>
                <a:solidFill>
                  <a:srgbClr val="008080"/>
                </a:solidFill>
                <a:prstDash val="solid"/>
              </a:ln>
            </c:spPr>
          </c:marker>
          <c:cat>
            <c:numRef>
              <c:f>'Year over Year'!$A$6:$A$27</c:f>
              <c:numCache>
                <c:formatCode>mm/dd/yyyy</c:formatCode>
                <c:ptCount val="22"/>
                <c:pt idx="0">
                  <c:v>39172</c:v>
                </c:pt>
                <c:pt idx="1">
                  <c:v>39263</c:v>
                </c:pt>
                <c:pt idx="2">
                  <c:v>39355</c:v>
                </c:pt>
                <c:pt idx="3">
                  <c:v>39447</c:v>
                </c:pt>
                <c:pt idx="4">
                  <c:v>39538</c:v>
                </c:pt>
                <c:pt idx="5">
                  <c:v>39629</c:v>
                </c:pt>
                <c:pt idx="6">
                  <c:v>39721</c:v>
                </c:pt>
                <c:pt idx="7">
                  <c:v>39813</c:v>
                </c:pt>
                <c:pt idx="8">
                  <c:v>39903</c:v>
                </c:pt>
                <c:pt idx="9">
                  <c:v>39994</c:v>
                </c:pt>
                <c:pt idx="10">
                  <c:v>40086</c:v>
                </c:pt>
                <c:pt idx="11">
                  <c:v>40178</c:v>
                </c:pt>
                <c:pt idx="12">
                  <c:v>40268</c:v>
                </c:pt>
                <c:pt idx="13">
                  <c:v>40359</c:v>
                </c:pt>
                <c:pt idx="14">
                  <c:v>40451</c:v>
                </c:pt>
                <c:pt idx="15">
                  <c:v>40543</c:v>
                </c:pt>
                <c:pt idx="16">
                  <c:v>40633</c:v>
                </c:pt>
                <c:pt idx="17">
                  <c:v>40724</c:v>
                </c:pt>
                <c:pt idx="18">
                  <c:v>40816</c:v>
                </c:pt>
                <c:pt idx="19">
                  <c:v>40908</c:v>
                </c:pt>
                <c:pt idx="20">
                  <c:v>40999</c:v>
                </c:pt>
                <c:pt idx="21">
                  <c:v>41090</c:v>
                </c:pt>
              </c:numCache>
            </c:numRef>
          </c:cat>
          <c:val>
            <c:numRef>
              <c:f>'Year over Year'!$AF$6:$AF$27</c:f>
              <c:numCache>
                <c:formatCode>0.0</c:formatCode>
                <c:ptCount val="22"/>
                <c:pt idx="0">
                  <c:v>0.45996696924164304</c:v>
                </c:pt>
                <c:pt idx="1">
                  <c:v>7.3674492968498262</c:v>
                </c:pt>
                <c:pt idx="2">
                  <c:v>2.1770538942473161</c:v>
                </c:pt>
                <c:pt idx="3">
                  <c:v>40.107033468407138</c:v>
                </c:pt>
                <c:pt idx="4">
                  <c:v>42.4020140409636</c:v>
                </c:pt>
                <c:pt idx="5">
                  <c:v>33.203532233369096</c:v>
                </c:pt>
                <c:pt idx="6">
                  <c:v>36.862161265488957</c:v>
                </c:pt>
                <c:pt idx="7">
                  <c:v>-39.064762941525288</c:v>
                </c:pt>
                <c:pt idx="8">
                  <c:v>-44.682806708795873</c:v>
                </c:pt>
                <c:pt idx="9">
                  <c:v>-46.398331451409511</c:v>
                </c:pt>
                <c:pt idx="10">
                  <c:v>-33.17548917187009</c:v>
                </c:pt>
                <c:pt idx="11">
                  <c:v>23.84454822971367</c:v>
                </c:pt>
                <c:pt idx="12">
                  <c:v>47.848753640822373</c:v>
                </c:pt>
                <c:pt idx="13">
                  <c:v>37.988492778614756</c:v>
                </c:pt>
                <c:pt idx="14">
                  <c:v>10.448727248663436</c:v>
                </c:pt>
                <c:pt idx="15">
                  <c:v>32.119664766162792</c:v>
                </c:pt>
                <c:pt idx="16">
                  <c:v>24.639946307969971</c:v>
                </c:pt>
                <c:pt idx="17">
                  <c:v>29.068479624554367</c:v>
                </c:pt>
                <c:pt idx="18">
                  <c:v>19.529290568819601</c:v>
                </c:pt>
                <c:pt idx="19">
                  <c:v>15.849396741880106</c:v>
                </c:pt>
                <c:pt idx="20">
                  <c:v>15.189745764828256</c:v>
                </c:pt>
                <c:pt idx="21">
                  <c:v>-13.946004815648628</c:v>
                </c:pt>
              </c:numCache>
            </c:numRef>
          </c:val>
          <c:smooth val="0"/>
        </c:ser>
        <c:ser>
          <c:idx val="2"/>
          <c:order val="2"/>
          <c:tx>
            <c:strRef>
              <c:f>'Year over Year'!$AI$5</c:f>
              <c:strCache>
                <c:ptCount val="1"/>
                <c:pt idx="0">
                  <c:v>LatAm HY</c:v>
                </c:pt>
              </c:strCache>
            </c:strRef>
          </c:tx>
          <c:spPr>
            <a:ln w="25400">
              <a:solidFill>
                <a:srgbClr val="FF6600"/>
              </a:solidFill>
              <a:prstDash val="solid"/>
            </a:ln>
          </c:spPr>
          <c:marker>
            <c:symbol val="triangle"/>
            <c:size val="7"/>
            <c:spPr>
              <a:solidFill>
                <a:srgbClr val="FF6600"/>
              </a:solidFill>
              <a:ln>
                <a:solidFill>
                  <a:srgbClr val="FF6600"/>
                </a:solidFill>
                <a:prstDash val="solid"/>
              </a:ln>
            </c:spPr>
          </c:marker>
          <c:val>
            <c:numRef>
              <c:f>'Year over Year'!$AI$6:$AI$27</c:f>
              <c:numCache>
                <c:formatCode>0.0</c:formatCode>
                <c:ptCount val="22"/>
                <c:pt idx="0">
                  <c:v>4.1298348302888144</c:v>
                </c:pt>
                <c:pt idx="1">
                  <c:v>9.8941861570903669</c:v>
                </c:pt>
                <c:pt idx="2">
                  <c:v>18.521542316623083</c:v>
                </c:pt>
                <c:pt idx="3">
                  <c:v>19.866366799680215</c:v>
                </c:pt>
                <c:pt idx="4">
                  <c:v>42.154434021531763</c:v>
                </c:pt>
                <c:pt idx="5">
                  <c:v>35.943622379961468</c:v>
                </c:pt>
                <c:pt idx="6">
                  <c:v>53.517640892153075</c:v>
                </c:pt>
                <c:pt idx="7">
                  <c:v>-5.7734222724878386</c:v>
                </c:pt>
                <c:pt idx="8">
                  <c:v>-25.536927518463102</c:v>
                </c:pt>
                <c:pt idx="9">
                  <c:v>-19.608487220976922</c:v>
                </c:pt>
                <c:pt idx="10">
                  <c:v>-22.984155556503939</c:v>
                </c:pt>
                <c:pt idx="11">
                  <c:v>8.9922941181670204</c:v>
                </c:pt>
                <c:pt idx="12">
                  <c:v>52.519470402989519</c:v>
                </c:pt>
                <c:pt idx="13">
                  <c:v>44.188779024362603</c:v>
                </c:pt>
                <c:pt idx="14">
                  <c:v>33.539811488314974</c:v>
                </c:pt>
                <c:pt idx="15">
                  <c:v>20.316015210283322</c:v>
                </c:pt>
                <c:pt idx="16">
                  <c:v>15.778473884120658</c:v>
                </c:pt>
                <c:pt idx="17">
                  <c:v>6.812509618512852</c:v>
                </c:pt>
                <c:pt idx="18">
                  <c:v>10.674619073600633</c:v>
                </c:pt>
                <c:pt idx="19">
                  <c:v>0.25628565672530801</c:v>
                </c:pt>
                <c:pt idx="20">
                  <c:v>1.0174130874692988</c:v>
                </c:pt>
                <c:pt idx="21">
                  <c:v>2.9112109856647361</c:v>
                </c:pt>
              </c:numCache>
            </c:numRef>
          </c:val>
          <c:smooth val="0"/>
        </c:ser>
        <c:dLbls>
          <c:showLegendKey val="0"/>
          <c:showVal val="0"/>
          <c:showCatName val="0"/>
          <c:showSerName val="0"/>
          <c:showPercent val="0"/>
          <c:showBubbleSize val="0"/>
        </c:dLbls>
        <c:marker val="1"/>
        <c:smooth val="0"/>
        <c:axId val="579622016"/>
        <c:axId val="579623936"/>
      </c:lineChart>
      <c:catAx>
        <c:axId val="579622016"/>
        <c:scaling>
          <c:orientation val="minMax"/>
        </c:scaling>
        <c:delete val="0"/>
        <c:axPos val="b"/>
        <c:numFmt formatCode="yyyy"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Narrow"/>
                <a:ea typeface="Arial Narrow"/>
                <a:cs typeface="Arial Narrow"/>
              </a:defRPr>
            </a:pPr>
            <a:endParaRPr lang="en-US"/>
          </a:p>
        </c:txPr>
        <c:crossAx val="579623936"/>
        <c:crosses val="autoZero"/>
        <c:auto val="0"/>
        <c:lblAlgn val="ctr"/>
        <c:lblOffset val="100"/>
        <c:tickLblSkip val="4"/>
        <c:tickMarkSkip val="1"/>
        <c:noMultiLvlLbl val="0"/>
      </c:catAx>
      <c:valAx>
        <c:axId val="579623936"/>
        <c:scaling>
          <c:orientation val="minMax"/>
          <c:max val="60"/>
          <c:min val="-50"/>
        </c:scaling>
        <c:delete val="0"/>
        <c:axPos val="l"/>
        <c:majorGridlines>
          <c:spPr>
            <a:ln w="12700">
              <a:solidFill>
                <a:srgbClr val="969696"/>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Narrow"/>
                <a:ea typeface="Arial Narrow"/>
                <a:cs typeface="Arial Narrow"/>
              </a:defRPr>
            </a:pPr>
            <a:endParaRPr lang="en-US"/>
          </a:p>
        </c:txPr>
        <c:crossAx val="579622016"/>
        <c:crosses val="autoZero"/>
        <c:crossBetween val="between"/>
      </c:valAx>
      <c:spPr>
        <a:noFill/>
        <a:ln w="12700">
          <a:solidFill>
            <a:srgbClr val="808080"/>
          </a:solidFill>
          <a:prstDash val="solid"/>
        </a:ln>
      </c:spPr>
    </c:plotArea>
    <c:legend>
      <c:legendPos val="b"/>
      <c:layout>
        <c:manualLayout>
          <c:xMode val="edge"/>
          <c:yMode val="edge"/>
          <c:x val="8.3056478405315621E-3"/>
          <c:y val="0.89303699528965352"/>
          <c:w val="0.97840531561461797"/>
          <c:h val="6.2189205800115145E-2"/>
        </c:manualLayout>
      </c:layout>
      <c:overlay val="0"/>
      <c:spPr>
        <a:solidFill>
          <a:srgbClr val="FFFFFF"/>
        </a:solidFill>
        <a:ln w="25400">
          <a:noFill/>
        </a:ln>
      </c:spPr>
      <c:txPr>
        <a:bodyPr/>
        <a:lstStyle/>
        <a:p>
          <a:pPr>
            <a:defRPr sz="1100" b="0" i="0" u="none" strike="noStrike" baseline="0">
              <a:solidFill>
                <a:srgbClr val="000000"/>
              </a:solidFill>
              <a:latin typeface="Arial Narrow"/>
              <a:ea typeface="Arial Narrow"/>
              <a:cs typeface="Arial Narrow"/>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833355848560952"/>
          <c:y val="4.7500057983469221E-2"/>
          <c:w val="0.83000135091365712"/>
          <c:h val="0.77000093994255359"/>
        </c:manualLayout>
      </c:layout>
      <c:barChart>
        <c:barDir val="col"/>
        <c:grouping val="clustered"/>
        <c:varyColors val="0"/>
        <c:ser>
          <c:idx val="1"/>
          <c:order val="0"/>
          <c:tx>
            <c:strRef>
              <c:f>'rtg breakdown'!$L$4</c:f>
              <c:strCache>
                <c:ptCount val="1"/>
                <c:pt idx="0">
                  <c:v>A</c:v>
                </c:pt>
              </c:strCache>
            </c:strRef>
          </c:tx>
          <c:spPr>
            <a:solidFill>
              <a:srgbClr val="003366"/>
            </a:solidFill>
            <a:ln w="12700">
              <a:solidFill>
                <a:srgbClr val="808080"/>
              </a:solidFill>
              <a:prstDash val="solid"/>
            </a:ln>
          </c:spPr>
          <c:invertIfNegative val="0"/>
          <c:cat>
            <c:numRef>
              <c:f>'rtg breakdown'!$A$5:$A$30</c:f>
              <c:numCache>
                <c:formatCode>mm/dd/yyyy</c:formatCode>
                <c:ptCount val="26"/>
                <c:pt idx="0">
                  <c:v>38807</c:v>
                </c:pt>
                <c:pt idx="1">
                  <c:v>38898</c:v>
                </c:pt>
                <c:pt idx="2">
                  <c:v>38990</c:v>
                </c:pt>
                <c:pt idx="3">
                  <c:v>39082</c:v>
                </c:pt>
                <c:pt idx="4">
                  <c:v>39172</c:v>
                </c:pt>
                <c:pt idx="5">
                  <c:v>39263</c:v>
                </c:pt>
                <c:pt idx="6">
                  <c:v>39355</c:v>
                </c:pt>
                <c:pt idx="7">
                  <c:v>39447</c:v>
                </c:pt>
                <c:pt idx="8">
                  <c:v>39538</c:v>
                </c:pt>
                <c:pt idx="9">
                  <c:v>39629</c:v>
                </c:pt>
                <c:pt idx="10">
                  <c:v>39721</c:v>
                </c:pt>
                <c:pt idx="11">
                  <c:v>39813</c:v>
                </c:pt>
                <c:pt idx="12">
                  <c:v>39903</c:v>
                </c:pt>
                <c:pt idx="13">
                  <c:v>39994</c:v>
                </c:pt>
                <c:pt idx="14">
                  <c:v>40086</c:v>
                </c:pt>
                <c:pt idx="15">
                  <c:v>40178</c:v>
                </c:pt>
                <c:pt idx="16">
                  <c:v>40268</c:v>
                </c:pt>
                <c:pt idx="17">
                  <c:v>40359</c:v>
                </c:pt>
                <c:pt idx="18">
                  <c:v>40451</c:v>
                </c:pt>
                <c:pt idx="19">
                  <c:v>40543</c:v>
                </c:pt>
                <c:pt idx="20">
                  <c:v>40633</c:v>
                </c:pt>
                <c:pt idx="21">
                  <c:v>40724</c:v>
                </c:pt>
                <c:pt idx="22">
                  <c:v>40816</c:v>
                </c:pt>
                <c:pt idx="23">
                  <c:v>40908</c:v>
                </c:pt>
                <c:pt idx="24">
                  <c:v>40999</c:v>
                </c:pt>
                <c:pt idx="25">
                  <c:v>41090</c:v>
                </c:pt>
              </c:numCache>
            </c:numRef>
          </c:cat>
          <c:val>
            <c:numRef>
              <c:f>'rtg breakdown'!$L$5:$L$30</c:f>
              <c:numCache>
                <c:formatCode>#,##0</c:formatCode>
                <c:ptCount val="26"/>
                <c:pt idx="0">
                  <c:v>160.15267464516458</c:v>
                </c:pt>
                <c:pt idx="1">
                  <c:v>199.64215910038374</c:v>
                </c:pt>
                <c:pt idx="2">
                  <c:v>168.6157200509046</c:v>
                </c:pt>
                <c:pt idx="3">
                  <c:v>149.20340919050051</c:v>
                </c:pt>
                <c:pt idx="4">
                  <c:v>131.3784347228864</c:v>
                </c:pt>
                <c:pt idx="5">
                  <c:v>122.86982712961185</c:v>
                </c:pt>
                <c:pt idx="6">
                  <c:v>166.75549290938289</c:v>
                </c:pt>
                <c:pt idx="7">
                  <c:v>214.54513273177028</c:v>
                </c:pt>
                <c:pt idx="8">
                  <c:v>295.08561251978347</c:v>
                </c:pt>
                <c:pt idx="9">
                  <c:v>247.49941883757916</c:v>
                </c:pt>
                <c:pt idx="10">
                  <c:v>394.87845508954155</c:v>
                </c:pt>
                <c:pt idx="11">
                  <c:v>524.29391763245974</c:v>
                </c:pt>
                <c:pt idx="12">
                  <c:v>401.19294724642617</c:v>
                </c:pt>
                <c:pt idx="13">
                  <c:v>239.4431033407852</c:v>
                </c:pt>
                <c:pt idx="14">
                  <c:v>176.75245670267793</c:v>
                </c:pt>
                <c:pt idx="15">
                  <c:v>143.47717183118516</c:v>
                </c:pt>
                <c:pt idx="16">
                  <c:v>138.06669585130672</c:v>
                </c:pt>
                <c:pt idx="17">
                  <c:v>175.67449698361918</c:v>
                </c:pt>
                <c:pt idx="18">
                  <c:v>158.54129744207708</c:v>
                </c:pt>
                <c:pt idx="19">
                  <c:v>139.97016284672745</c:v>
                </c:pt>
                <c:pt idx="20">
                  <c:v>130.26174513167553</c:v>
                </c:pt>
                <c:pt idx="21">
                  <c:v>166.85583838948045</c:v>
                </c:pt>
                <c:pt idx="22">
                  <c:v>267.78126173981968</c:v>
                </c:pt>
                <c:pt idx="23">
                  <c:v>212.3997184677828</c:v>
                </c:pt>
                <c:pt idx="24">
                  <c:v>152.45492776410688</c:v>
                </c:pt>
                <c:pt idx="25">
                  <c:v>153.59874066119505</c:v>
                </c:pt>
              </c:numCache>
            </c:numRef>
          </c:val>
        </c:ser>
        <c:ser>
          <c:idx val="2"/>
          <c:order val="1"/>
          <c:tx>
            <c:strRef>
              <c:f>'rtg breakdown'!$M$4</c:f>
              <c:strCache>
                <c:ptCount val="1"/>
                <c:pt idx="0">
                  <c:v>BBB</c:v>
                </c:pt>
              </c:strCache>
            </c:strRef>
          </c:tx>
          <c:spPr>
            <a:solidFill>
              <a:srgbClr val="FF6600"/>
            </a:solidFill>
            <a:ln w="12700">
              <a:solidFill>
                <a:srgbClr val="969696"/>
              </a:solidFill>
              <a:prstDash val="solid"/>
            </a:ln>
          </c:spPr>
          <c:invertIfNegative val="0"/>
          <c:cat>
            <c:numRef>
              <c:f>'rtg breakdown'!$A$5:$A$30</c:f>
              <c:numCache>
                <c:formatCode>mm/dd/yyyy</c:formatCode>
                <c:ptCount val="26"/>
                <c:pt idx="0">
                  <c:v>38807</c:v>
                </c:pt>
                <c:pt idx="1">
                  <c:v>38898</c:v>
                </c:pt>
                <c:pt idx="2">
                  <c:v>38990</c:v>
                </c:pt>
                <c:pt idx="3">
                  <c:v>39082</c:v>
                </c:pt>
                <c:pt idx="4">
                  <c:v>39172</c:v>
                </c:pt>
                <c:pt idx="5">
                  <c:v>39263</c:v>
                </c:pt>
                <c:pt idx="6">
                  <c:v>39355</c:v>
                </c:pt>
                <c:pt idx="7">
                  <c:v>39447</c:v>
                </c:pt>
                <c:pt idx="8">
                  <c:v>39538</c:v>
                </c:pt>
                <c:pt idx="9">
                  <c:v>39629</c:v>
                </c:pt>
                <c:pt idx="10">
                  <c:v>39721</c:v>
                </c:pt>
                <c:pt idx="11">
                  <c:v>39813</c:v>
                </c:pt>
                <c:pt idx="12">
                  <c:v>39903</c:v>
                </c:pt>
                <c:pt idx="13">
                  <c:v>39994</c:v>
                </c:pt>
                <c:pt idx="14">
                  <c:v>40086</c:v>
                </c:pt>
                <c:pt idx="15">
                  <c:v>40178</c:v>
                </c:pt>
                <c:pt idx="16">
                  <c:v>40268</c:v>
                </c:pt>
                <c:pt idx="17">
                  <c:v>40359</c:v>
                </c:pt>
                <c:pt idx="18">
                  <c:v>40451</c:v>
                </c:pt>
                <c:pt idx="19">
                  <c:v>40543</c:v>
                </c:pt>
                <c:pt idx="20">
                  <c:v>40633</c:v>
                </c:pt>
                <c:pt idx="21">
                  <c:v>40724</c:v>
                </c:pt>
                <c:pt idx="22">
                  <c:v>40816</c:v>
                </c:pt>
                <c:pt idx="23">
                  <c:v>40908</c:v>
                </c:pt>
                <c:pt idx="24">
                  <c:v>40999</c:v>
                </c:pt>
                <c:pt idx="25">
                  <c:v>41090</c:v>
                </c:pt>
              </c:numCache>
            </c:numRef>
          </c:cat>
          <c:val>
            <c:numRef>
              <c:f>'rtg breakdown'!$M$5:$M$30</c:f>
              <c:numCache>
                <c:formatCode>#,##0</c:formatCode>
                <c:ptCount val="26"/>
                <c:pt idx="0">
                  <c:v>121.32196976862565</c:v>
                </c:pt>
                <c:pt idx="1">
                  <c:v>149.28960321123148</c:v>
                </c:pt>
                <c:pt idx="2">
                  <c:v>162.70106004740512</c:v>
                </c:pt>
                <c:pt idx="3">
                  <c:v>115.26015055929261</c:v>
                </c:pt>
                <c:pt idx="4">
                  <c:v>114.29234549943509</c:v>
                </c:pt>
                <c:pt idx="5">
                  <c:v>112.6632577207679</c:v>
                </c:pt>
                <c:pt idx="6">
                  <c:v>157.66457048095947</c:v>
                </c:pt>
                <c:pt idx="7">
                  <c:v>247.77498932785892</c:v>
                </c:pt>
                <c:pt idx="8">
                  <c:v>384.6696152697462</c:v>
                </c:pt>
                <c:pt idx="9">
                  <c:v>313.14090277735926</c:v>
                </c:pt>
                <c:pt idx="10">
                  <c:v>570.63959221042819</c:v>
                </c:pt>
                <c:pt idx="11">
                  <c:v>1027.4098299935558</c:v>
                </c:pt>
                <c:pt idx="12">
                  <c:v>743.76810574971989</c:v>
                </c:pt>
                <c:pt idx="13">
                  <c:v>388.74490274535987</c:v>
                </c:pt>
                <c:pt idx="14">
                  <c:v>243.60437150399389</c:v>
                </c:pt>
                <c:pt idx="15">
                  <c:v>194.63724816781087</c:v>
                </c:pt>
                <c:pt idx="16">
                  <c:v>179.52091980392703</c:v>
                </c:pt>
                <c:pt idx="17">
                  <c:v>247.53446575495389</c:v>
                </c:pt>
                <c:pt idx="18">
                  <c:v>234.83901909565088</c:v>
                </c:pt>
                <c:pt idx="19">
                  <c:v>190.38132383404781</c:v>
                </c:pt>
                <c:pt idx="20">
                  <c:v>179.49368257737819</c:v>
                </c:pt>
                <c:pt idx="21">
                  <c:v>193.82467356133395</c:v>
                </c:pt>
                <c:pt idx="22">
                  <c:v>349.27145163782626</c:v>
                </c:pt>
                <c:pt idx="23">
                  <c:v>313.82243104494137</c:v>
                </c:pt>
                <c:pt idx="24">
                  <c:v>240.31203683265173</c:v>
                </c:pt>
                <c:pt idx="25">
                  <c:v>213.69484026472679</c:v>
                </c:pt>
              </c:numCache>
            </c:numRef>
          </c:val>
        </c:ser>
        <c:dLbls>
          <c:showLegendKey val="0"/>
          <c:showVal val="0"/>
          <c:showCatName val="0"/>
          <c:showSerName val="0"/>
          <c:showPercent val="0"/>
          <c:showBubbleSize val="0"/>
        </c:dLbls>
        <c:gapWidth val="25"/>
        <c:axId val="579095936"/>
        <c:axId val="579097728"/>
      </c:barChart>
      <c:catAx>
        <c:axId val="579095936"/>
        <c:scaling>
          <c:orientation val="minMax"/>
        </c:scaling>
        <c:delete val="0"/>
        <c:axPos val="b"/>
        <c:numFmt formatCode="yyyy"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Narrow"/>
                <a:ea typeface="Arial Narrow"/>
                <a:cs typeface="Arial Narrow"/>
              </a:defRPr>
            </a:pPr>
            <a:endParaRPr lang="en-US"/>
          </a:p>
        </c:txPr>
        <c:crossAx val="579097728"/>
        <c:crosses val="autoZero"/>
        <c:auto val="0"/>
        <c:lblAlgn val="ctr"/>
        <c:lblOffset val="100"/>
        <c:tickLblSkip val="4"/>
        <c:tickMarkSkip val="4"/>
        <c:noMultiLvlLbl val="0"/>
      </c:catAx>
      <c:valAx>
        <c:axId val="579097728"/>
        <c:scaling>
          <c:orientation val="minMax"/>
          <c:max val="1000"/>
          <c:min val="0"/>
        </c:scaling>
        <c:delete val="0"/>
        <c:axPos val="l"/>
        <c:majorGridlines>
          <c:spPr>
            <a:ln w="12700">
              <a:solidFill>
                <a:srgbClr val="969696"/>
              </a:solidFill>
              <a:prstDash val="solid"/>
            </a:ln>
          </c:spPr>
        </c:majorGridlines>
        <c:title>
          <c:tx>
            <c:rich>
              <a:bodyPr/>
              <a:lstStyle/>
              <a:p>
                <a:pPr>
                  <a:defRPr sz="1200" b="0" i="0" u="none" strike="noStrike" baseline="0">
                    <a:solidFill>
                      <a:srgbClr val="000000"/>
                    </a:solidFill>
                    <a:latin typeface="Arial Narrow"/>
                    <a:ea typeface="Arial Narrow"/>
                    <a:cs typeface="Arial Narrow"/>
                  </a:defRPr>
                </a:pPr>
                <a:r>
                  <a:rPr lang="en-US"/>
                  <a:t>Spread per Turn of Net Leverage, bps/x</a:t>
                </a:r>
              </a:p>
            </c:rich>
          </c:tx>
          <c:layout>
            <c:manualLayout>
              <c:xMode val="edge"/>
              <c:yMode val="edge"/>
              <c:x val="8.3333468967234647E-3"/>
              <c:y val="0.1300001586915999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Narrow"/>
                <a:ea typeface="Arial Narrow"/>
                <a:cs typeface="Arial Narrow"/>
              </a:defRPr>
            </a:pPr>
            <a:endParaRPr lang="en-US"/>
          </a:p>
        </c:txPr>
        <c:crossAx val="579095936"/>
        <c:crosses val="autoZero"/>
        <c:crossBetween val="between"/>
      </c:valAx>
      <c:spPr>
        <a:noFill/>
        <a:ln w="12700">
          <a:solidFill>
            <a:srgbClr val="808080"/>
          </a:solidFill>
          <a:prstDash val="solid"/>
        </a:ln>
      </c:spPr>
    </c:plotArea>
    <c:legend>
      <c:legendPos val="r"/>
      <c:layout>
        <c:manualLayout>
          <c:xMode val="edge"/>
          <c:yMode val="edge"/>
          <c:x val="0.43000069987093076"/>
          <c:y val="0.91500111694472286"/>
          <c:w val="0.22500036621153355"/>
          <c:h val="6.2500076294038448E-2"/>
        </c:manualLayout>
      </c:layout>
      <c:overlay val="0"/>
      <c:spPr>
        <a:solidFill>
          <a:srgbClr val="FFFFFF"/>
        </a:solidFill>
        <a:ln w="25400">
          <a:noFill/>
        </a:ln>
      </c:spPr>
      <c:txPr>
        <a:bodyPr/>
        <a:lstStyle/>
        <a:p>
          <a:pPr>
            <a:defRPr sz="1080" b="0" i="0" u="none" strike="noStrike" baseline="0">
              <a:solidFill>
                <a:srgbClr val="000000"/>
              </a:solidFill>
              <a:latin typeface="Arial Narrow"/>
              <a:ea typeface="Arial Narrow"/>
              <a:cs typeface="Arial Narrow"/>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957995468418026"/>
          <c:y val="5.0000061035230754E-2"/>
          <c:w val="0.81848806664264928"/>
          <c:h val="0.77000093994255359"/>
        </c:manualLayout>
      </c:layout>
      <c:barChart>
        <c:barDir val="col"/>
        <c:grouping val="clustered"/>
        <c:varyColors val="0"/>
        <c:ser>
          <c:idx val="1"/>
          <c:order val="0"/>
          <c:tx>
            <c:strRef>
              <c:f>'rtg breakdown'!$N$4</c:f>
              <c:strCache>
                <c:ptCount val="1"/>
                <c:pt idx="0">
                  <c:v>BB</c:v>
                </c:pt>
              </c:strCache>
            </c:strRef>
          </c:tx>
          <c:spPr>
            <a:solidFill>
              <a:srgbClr val="003366"/>
            </a:solidFill>
            <a:ln w="12700">
              <a:solidFill>
                <a:srgbClr val="808080"/>
              </a:solidFill>
              <a:prstDash val="solid"/>
            </a:ln>
          </c:spPr>
          <c:invertIfNegative val="0"/>
          <c:cat>
            <c:numRef>
              <c:f>'rtg breakdown'!$A$5:$A$30</c:f>
              <c:numCache>
                <c:formatCode>mm/dd/yyyy</c:formatCode>
                <c:ptCount val="26"/>
                <c:pt idx="0">
                  <c:v>38807</c:v>
                </c:pt>
                <c:pt idx="1">
                  <c:v>38898</c:v>
                </c:pt>
                <c:pt idx="2">
                  <c:v>38990</c:v>
                </c:pt>
                <c:pt idx="3">
                  <c:v>39082</c:v>
                </c:pt>
                <c:pt idx="4">
                  <c:v>39172</c:v>
                </c:pt>
                <c:pt idx="5">
                  <c:v>39263</c:v>
                </c:pt>
                <c:pt idx="6">
                  <c:v>39355</c:v>
                </c:pt>
                <c:pt idx="7">
                  <c:v>39447</c:v>
                </c:pt>
                <c:pt idx="8">
                  <c:v>39538</c:v>
                </c:pt>
                <c:pt idx="9">
                  <c:v>39629</c:v>
                </c:pt>
                <c:pt idx="10">
                  <c:v>39721</c:v>
                </c:pt>
                <c:pt idx="11">
                  <c:v>39813</c:v>
                </c:pt>
                <c:pt idx="12">
                  <c:v>39903</c:v>
                </c:pt>
                <c:pt idx="13">
                  <c:v>39994</c:v>
                </c:pt>
                <c:pt idx="14">
                  <c:v>40086</c:v>
                </c:pt>
                <c:pt idx="15">
                  <c:v>40178</c:v>
                </c:pt>
                <c:pt idx="16">
                  <c:v>40268</c:v>
                </c:pt>
                <c:pt idx="17">
                  <c:v>40359</c:v>
                </c:pt>
                <c:pt idx="18">
                  <c:v>40451</c:v>
                </c:pt>
                <c:pt idx="19">
                  <c:v>40543</c:v>
                </c:pt>
                <c:pt idx="20">
                  <c:v>40633</c:v>
                </c:pt>
                <c:pt idx="21">
                  <c:v>40724</c:v>
                </c:pt>
                <c:pt idx="22">
                  <c:v>40816</c:v>
                </c:pt>
                <c:pt idx="23">
                  <c:v>40908</c:v>
                </c:pt>
                <c:pt idx="24">
                  <c:v>40999</c:v>
                </c:pt>
                <c:pt idx="25">
                  <c:v>41090</c:v>
                </c:pt>
              </c:numCache>
            </c:numRef>
          </c:cat>
          <c:val>
            <c:numRef>
              <c:f>'rtg breakdown'!$N$5:$N$30</c:f>
              <c:numCache>
                <c:formatCode>#,##0</c:formatCode>
                <c:ptCount val="26"/>
                <c:pt idx="0">
                  <c:v>142.23671600000841</c:v>
                </c:pt>
                <c:pt idx="1">
                  <c:v>187.3508289794855</c:v>
                </c:pt>
                <c:pt idx="2">
                  <c:v>185.8243362161827</c:v>
                </c:pt>
                <c:pt idx="3">
                  <c:v>155.90273759509384</c:v>
                </c:pt>
                <c:pt idx="4">
                  <c:v>144.95005953349914</c:v>
                </c:pt>
                <c:pt idx="5">
                  <c:v>161.18384691255218</c:v>
                </c:pt>
                <c:pt idx="6">
                  <c:v>236.41957339763948</c:v>
                </c:pt>
                <c:pt idx="7">
                  <c:v>287.05053557545477</c:v>
                </c:pt>
                <c:pt idx="8">
                  <c:v>377.52724595201363</c:v>
                </c:pt>
                <c:pt idx="9">
                  <c:v>368.24043034134269</c:v>
                </c:pt>
                <c:pt idx="10">
                  <c:v>664.26929999541721</c:v>
                </c:pt>
                <c:pt idx="11">
                  <c:v>1113.3603159431484</c:v>
                </c:pt>
                <c:pt idx="12">
                  <c:v>818.81260580101412</c:v>
                </c:pt>
                <c:pt idx="13">
                  <c:v>502.64331512412241</c:v>
                </c:pt>
                <c:pt idx="14">
                  <c:v>273.8969245796784</c:v>
                </c:pt>
                <c:pt idx="15">
                  <c:v>240.19000020053434</c:v>
                </c:pt>
                <c:pt idx="16">
                  <c:v>184.85261895176728</c:v>
                </c:pt>
                <c:pt idx="17">
                  <c:v>294.04818776387509</c:v>
                </c:pt>
                <c:pt idx="18">
                  <c:v>249.14081629980868</c:v>
                </c:pt>
                <c:pt idx="19">
                  <c:v>219.81223502887639</c:v>
                </c:pt>
                <c:pt idx="20">
                  <c:v>235.73420531907399</c:v>
                </c:pt>
                <c:pt idx="21">
                  <c:v>256.0723392270225</c:v>
                </c:pt>
                <c:pt idx="22">
                  <c:v>457.94445263215908</c:v>
                </c:pt>
                <c:pt idx="23">
                  <c:v>423.83384097784449</c:v>
                </c:pt>
                <c:pt idx="24">
                  <c:v>243.9530566696325</c:v>
                </c:pt>
                <c:pt idx="25">
                  <c:v>307.35096997683354</c:v>
                </c:pt>
              </c:numCache>
            </c:numRef>
          </c:val>
        </c:ser>
        <c:ser>
          <c:idx val="2"/>
          <c:order val="1"/>
          <c:tx>
            <c:strRef>
              <c:f>'rtg breakdown'!$O$4</c:f>
              <c:strCache>
                <c:ptCount val="1"/>
                <c:pt idx="0">
                  <c:v>B</c:v>
                </c:pt>
              </c:strCache>
            </c:strRef>
          </c:tx>
          <c:spPr>
            <a:solidFill>
              <a:srgbClr val="FF6600"/>
            </a:solidFill>
            <a:ln w="12700">
              <a:solidFill>
                <a:srgbClr val="969696"/>
              </a:solidFill>
              <a:prstDash val="solid"/>
            </a:ln>
          </c:spPr>
          <c:invertIfNegative val="0"/>
          <c:cat>
            <c:numRef>
              <c:f>'rtg breakdown'!$A$5:$A$30</c:f>
              <c:numCache>
                <c:formatCode>mm/dd/yyyy</c:formatCode>
                <c:ptCount val="26"/>
                <c:pt idx="0">
                  <c:v>38807</c:v>
                </c:pt>
                <c:pt idx="1">
                  <c:v>38898</c:v>
                </c:pt>
                <c:pt idx="2">
                  <c:v>38990</c:v>
                </c:pt>
                <c:pt idx="3">
                  <c:v>39082</c:v>
                </c:pt>
                <c:pt idx="4">
                  <c:v>39172</c:v>
                </c:pt>
                <c:pt idx="5">
                  <c:v>39263</c:v>
                </c:pt>
                <c:pt idx="6">
                  <c:v>39355</c:v>
                </c:pt>
                <c:pt idx="7">
                  <c:v>39447</c:v>
                </c:pt>
                <c:pt idx="8">
                  <c:v>39538</c:v>
                </c:pt>
                <c:pt idx="9">
                  <c:v>39629</c:v>
                </c:pt>
                <c:pt idx="10">
                  <c:v>39721</c:v>
                </c:pt>
                <c:pt idx="11">
                  <c:v>39813</c:v>
                </c:pt>
                <c:pt idx="12">
                  <c:v>39903</c:v>
                </c:pt>
                <c:pt idx="13">
                  <c:v>39994</c:v>
                </c:pt>
                <c:pt idx="14">
                  <c:v>40086</c:v>
                </c:pt>
                <c:pt idx="15">
                  <c:v>40178</c:v>
                </c:pt>
                <c:pt idx="16">
                  <c:v>40268</c:v>
                </c:pt>
                <c:pt idx="17">
                  <c:v>40359</c:v>
                </c:pt>
                <c:pt idx="18">
                  <c:v>40451</c:v>
                </c:pt>
                <c:pt idx="19">
                  <c:v>40543</c:v>
                </c:pt>
                <c:pt idx="20">
                  <c:v>40633</c:v>
                </c:pt>
                <c:pt idx="21">
                  <c:v>40724</c:v>
                </c:pt>
                <c:pt idx="22">
                  <c:v>40816</c:v>
                </c:pt>
                <c:pt idx="23">
                  <c:v>40908</c:v>
                </c:pt>
                <c:pt idx="24">
                  <c:v>40999</c:v>
                </c:pt>
                <c:pt idx="25">
                  <c:v>41090</c:v>
                </c:pt>
              </c:numCache>
            </c:numRef>
          </c:cat>
          <c:val>
            <c:numRef>
              <c:f>'rtg breakdown'!$O$5:$O$30</c:f>
              <c:numCache>
                <c:formatCode>#,##0</c:formatCode>
                <c:ptCount val="26"/>
                <c:pt idx="0">
                  <c:v>169.27884273270502</c:v>
                </c:pt>
                <c:pt idx="1">
                  <c:v>203.57392115633382</c:v>
                </c:pt>
                <c:pt idx="2">
                  <c:v>182.97950087147629</c:v>
                </c:pt>
                <c:pt idx="3">
                  <c:v>145.37125056308219</c:v>
                </c:pt>
                <c:pt idx="4">
                  <c:v>217.59048279880969</c:v>
                </c:pt>
                <c:pt idx="5">
                  <c:v>155.21942708386581</c:v>
                </c:pt>
                <c:pt idx="6">
                  <c:v>198.06194157609792</c:v>
                </c:pt>
                <c:pt idx="7">
                  <c:v>285.62191043689279</c:v>
                </c:pt>
                <c:pt idx="8">
                  <c:v>515.89163705047861</c:v>
                </c:pt>
                <c:pt idx="9">
                  <c:v>655.48812147633907</c:v>
                </c:pt>
                <c:pt idx="10">
                  <c:v>957.85034362676402</c:v>
                </c:pt>
                <c:pt idx="11">
                  <c:v>1545.4651509139621</c:v>
                </c:pt>
                <c:pt idx="12">
                  <c:v>990.18227361243544</c:v>
                </c:pt>
                <c:pt idx="13">
                  <c:v>382.70457829302336</c:v>
                </c:pt>
                <c:pt idx="14">
                  <c:v>225.10096489443234</c:v>
                </c:pt>
                <c:pt idx="15">
                  <c:v>221.00639959710816</c:v>
                </c:pt>
                <c:pt idx="16">
                  <c:v>198.60667333684847</c:v>
                </c:pt>
                <c:pt idx="17">
                  <c:v>254.42717360266582</c:v>
                </c:pt>
                <c:pt idx="18">
                  <c:v>258.47183999138178</c:v>
                </c:pt>
                <c:pt idx="19">
                  <c:v>208.32388181544951</c:v>
                </c:pt>
                <c:pt idx="20">
                  <c:v>204.73597178512665</c:v>
                </c:pt>
                <c:pt idx="21">
                  <c:v>223.62852551113485</c:v>
                </c:pt>
                <c:pt idx="22">
                  <c:v>422.13499979982106</c:v>
                </c:pt>
                <c:pt idx="23">
                  <c:v>408.75818031475336</c:v>
                </c:pt>
                <c:pt idx="24">
                  <c:v>266.78889841879408</c:v>
                </c:pt>
                <c:pt idx="25">
                  <c:v>330.52628790344357</c:v>
                </c:pt>
              </c:numCache>
            </c:numRef>
          </c:val>
        </c:ser>
        <c:dLbls>
          <c:showLegendKey val="0"/>
          <c:showVal val="0"/>
          <c:showCatName val="0"/>
          <c:showSerName val="0"/>
          <c:showPercent val="0"/>
          <c:showBubbleSize val="0"/>
        </c:dLbls>
        <c:gapWidth val="25"/>
        <c:axId val="579118976"/>
        <c:axId val="579120512"/>
      </c:barChart>
      <c:catAx>
        <c:axId val="579118976"/>
        <c:scaling>
          <c:orientation val="minMax"/>
        </c:scaling>
        <c:delete val="0"/>
        <c:axPos val="b"/>
        <c:numFmt formatCode="yyyy"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Narrow"/>
                <a:ea typeface="Arial Narrow"/>
                <a:cs typeface="Arial Narrow"/>
              </a:defRPr>
            </a:pPr>
            <a:endParaRPr lang="en-US"/>
          </a:p>
        </c:txPr>
        <c:crossAx val="579120512"/>
        <c:crosses val="autoZero"/>
        <c:auto val="0"/>
        <c:lblAlgn val="ctr"/>
        <c:lblOffset val="100"/>
        <c:tickLblSkip val="4"/>
        <c:tickMarkSkip val="4"/>
        <c:noMultiLvlLbl val="0"/>
      </c:catAx>
      <c:valAx>
        <c:axId val="579120512"/>
        <c:scaling>
          <c:orientation val="minMax"/>
          <c:max val="1300"/>
          <c:min val="0"/>
        </c:scaling>
        <c:delete val="0"/>
        <c:axPos val="l"/>
        <c:majorGridlines>
          <c:spPr>
            <a:ln w="12700">
              <a:solidFill>
                <a:srgbClr val="969696"/>
              </a:solidFill>
              <a:prstDash val="solid"/>
            </a:ln>
          </c:spPr>
        </c:majorGridlines>
        <c:title>
          <c:tx>
            <c:rich>
              <a:bodyPr/>
              <a:lstStyle/>
              <a:p>
                <a:pPr>
                  <a:defRPr sz="1200" b="0" i="0" u="none" strike="noStrike" baseline="0">
                    <a:solidFill>
                      <a:srgbClr val="000000"/>
                    </a:solidFill>
                    <a:latin typeface="Arial Narrow"/>
                    <a:ea typeface="Arial Narrow"/>
                    <a:cs typeface="Arial Narrow"/>
                  </a:defRPr>
                </a:pPr>
                <a:r>
                  <a:rPr lang="en-US"/>
                  <a:t>Spread per Turn of Net Leverage, bps/x</a:t>
                </a:r>
              </a:p>
            </c:rich>
          </c:tx>
          <c:layout>
            <c:manualLayout>
              <c:xMode val="edge"/>
              <c:yMode val="edge"/>
              <c:x val="8.4033682406842829E-3"/>
              <c:y val="0.1325001617433615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Narrow"/>
                <a:ea typeface="Arial Narrow"/>
                <a:cs typeface="Arial Narrow"/>
              </a:defRPr>
            </a:pPr>
            <a:endParaRPr lang="en-US"/>
          </a:p>
        </c:txPr>
        <c:crossAx val="579118976"/>
        <c:crosses val="autoZero"/>
        <c:crossBetween val="between"/>
        <c:majorUnit val="150"/>
      </c:valAx>
      <c:spPr>
        <a:noFill/>
        <a:ln w="12700">
          <a:solidFill>
            <a:srgbClr val="808080"/>
          </a:solidFill>
          <a:prstDash val="solid"/>
        </a:ln>
      </c:spPr>
    </c:plotArea>
    <c:legend>
      <c:legendPos val="r"/>
      <c:layout>
        <c:manualLayout>
          <c:xMode val="edge"/>
          <c:yMode val="edge"/>
          <c:x val="0.41176504379352991"/>
          <c:y val="0.91500111694472286"/>
          <c:w val="0.24369767897984423"/>
          <c:h val="6.2500076294038448E-2"/>
        </c:manualLayout>
      </c:layout>
      <c:overlay val="0"/>
      <c:spPr>
        <a:solidFill>
          <a:srgbClr val="FFFFFF"/>
        </a:solidFill>
        <a:ln w="25400">
          <a:noFill/>
        </a:ln>
      </c:spPr>
      <c:txPr>
        <a:bodyPr/>
        <a:lstStyle/>
        <a:p>
          <a:pPr>
            <a:defRPr sz="1080" b="0" i="0" u="none" strike="noStrike" baseline="0">
              <a:solidFill>
                <a:srgbClr val="000000"/>
              </a:solidFill>
              <a:latin typeface="Arial Narrow"/>
              <a:ea typeface="Arial Narrow"/>
              <a:cs typeface="Arial Narrow"/>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8333493381336887E-2"/>
          <c:y val="8.7500106811653822E-2"/>
          <c:w val="0.85166805284513813"/>
          <c:h val="0.72750088806260749"/>
        </c:manualLayout>
      </c:layout>
      <c:barChart>
        <c:barDir val="bar"/>
        <c:grouping val="clustered"/>
        <c:varyColors val="0"/>
        <c:ser>
          <c:idx val="1"/>
          <c:order val="0"/>
          <c:tx>
            <c:v>EM Corporates</c:v>
          </c:tx>
          <c:spPr>
            <a:solidFill>
              <a:srgbClr val="003366"/>
            </a:solidFill>
            <a:ln w="12700">
              <a:solidFill>
                <a:srgbClr val="808080"/>
              </a:solidFill>
              <a:prstDash val="solid"/>
            </a:ln>
          </c:spPr>
          <c:invertIfNegative val="0"/>
          <c:cat>
            <c:strRef>
              <c:f>'rtg breakdown'!$B$4:$E$4</c:f>
              <c:strCache>
                <c:ptCount val="4"/>
                <c:pt idx="0">
                  <c:v>A</c:v>
                </c:pt>
                <c:pt idx="1">
                  <c:v>BBB</c:v>
                </c:pt>
                <c:pt idx="2">
                  <c:v>BB</c:v>
                </c:pt>
                <c:pt idx="3">
                  <c:v>B</c:v>
                </c:pt>
              </c:strCache>
            </c:strRef>
          </c:cat>
          <c:val>
            <c:numRef>
              <c:f>'rtg breakdown'!$B$30:$E$30</c:f>
              <c:numCache>
                <c:formatCode>0.00</c:formatCode>
                <c:ptCount val="4"/>
                <c:pt idx="0">
                  <c:v>1.1504782077687765</c:v>
                </c:pt>
                <c:pt idx="1">
                  <c:v>1.4332833142822039</c:v>
                </c:pt>
                <c:pt idx="2">
                  <c:v>2.0140419936719773</c:v>
                </c:pt>
                <c:pt idx="3">
                  <c:v>3.2114937055908297</c:v>
                </c:pt>
              </c:numCache>
            </c:numRef>
          </c:val>
        </c:ser>
        <c:ser>
          <c:idx val="0"/>
          <c:order val="1"/>
          <c:tx>
            <c:v>US Corporates</c:v>
          </c:tx>
          <c:spPr>
            <a:solidFill>
              <a:srgbClr val="FF6600"/>
            </a:solidFill>
            <a:ln w="12700">
              <a:solidFill>
                <a:srgbClr val="808080"/>
              </a:solidFill>
              <a:prstDash val="solid"/>
            </a:ln>
          </c:spPr>
          <c:invertIfNegative val="0"/>
          <c:val>
            <c:numRef>
              <c:f>'rtg breakdown'!$X$5:$X$8</c:f>
              <c:numCache>
                <c:formatCode>0.00</c:formatCode>
                <c:ptCount val="4"/>
                <c:pt idx="0">
                  <c:v>1.315638811817547</c:v>
                </c:pt>
                <c:pt idx="1">
                  <c:v>2.331355461314534</c:v>
                </c:pt>
                <c:pt idx="2">
                  <c:v>2.9659637535967125</c:v>
                </c:pt>
                <c:pt idx="3">
                  <c:v>3.6565554771333098</c:v>
                </c:pt>
              </c:numCache>
            </c:numRef>
          </c:val>
        </c:ser>
        <c:dLbls>
          <c:showLegendKey val="0"/>
          <c:showVal val="0"/>
          <c:showCatName val="0"/>
          <c:showSerName val="0"/>
          <c:showPercent val="0"/>
          <c:showBubbleSize val="0"/>
        </c:dLbls>
        <c:gapWidth val="75"/>
        <c:axId val="579154304"/>
        <c:axId val="579155840"/>
      </c:barChart>
      <c:catAx>
        <c:axId val="579154304"/>
        <c:scaling>
          <c:orientation val="maxMin"/>
        </c:scaling>
        <c:delete val="0"/>
        <c:axPos val="l"/>
        <c:numFmt formatCode="yyyy" sourceLinked="0"/>
        <c:majorTickMark val="out"/>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Arial Narrow"/>
                <a:ea typeface="Arial Narrow"/>
                <a:cs typeface="Arial Narrow"/>
              </a:defRPr>
            </a:pPr>
            <a:endParaRPr lang="en-US"/>
          </a:p>
        </c:txPr>
        <c:crossAx val="579155840"/>
        <c:crosses val="autoZero"/>
        <c:auto val="0"/>
        <c:lblAlgn val="ctr"/>
        <c:lblOffset val="100"/>
        <c:tickLblSkip val="1"/>
        <c:tickMarkSkip val="1"/>
        <c:noMultiLvlLbl val="0"/>
      </c:catAx>
      <c:valAx>
        <c:axId val="579155840"/>
        <c:scaling>
          <c:orientation val="minMax"/>
          <c:max val="4"/>
        </c:scaling>
        <c:delete val="0"/>
        <c:axPos val="t"/>
        <c:majorGridlines>
          <c:spPr>
            <a:ln w="12700">
              <a:solidFill>
                <a:srgbClr val="969696"/>
              </a:solidFill>
              <a:prstDash val="solid"/>
            </a:ln>
          </c:spPr>
        </c:majorGridlines>
        <c:title>
          <c:tx>
            <c:rich>
              <a:bodyPr/>
              <a:lstStyle/>
              <a:p>
                <a:pPr>
                  <a:defRPr sz="1150" b="0" i="0" u="none" strike="noStrike" baseline="0">
                    <a:solidFill>
                      <a:srgbClr val="000000"/>
                    </a:solidFill>
                    <a:latin typeface="Arial Narrow"/>
                    <a:ea typeface="Arial Narrow"/>
                    <a:cs typeface="Arial Narrow"/>
                  </a:defRPr>
                </a:pPr>
                <a:r>
                  <a:rPr lang="en-US"/>
                  <a:t>Net Leverage, x</a:t>
                </a:r>
              </a:p>
            </c:rich>
          </c:tx>
          <c:layout>
            <c:manualLayout>
              <c:xMode val="edge"/>
              <c:yMode val="edge"/>
              <c:x val="0.46500075683716935"/>
              <c:y val="0.90750110778943827"/>
            </c:manualLayout>
          </c:layout>
          <c:overlay val="0"/>
          <c:spPr>
            <a:noFill/>
            <a:ln w="25400">
              <a:noFill/>
            </a:ln>
          </c:spPr>
        </c:title>
        <c:numFmt formatCode="0.0" sourceLinked="0"/>
        <c:majorTickMark val="none"/>
        <c:minorTickMark val="none"/>
        <c:tickLblPos val="high"/>
        <c:spPr>
          <a:ln w="3175">
            <a:solidFill>
              <a:srgbClr val="000000"/>
            </a:solidFill>
            <a:prstDash val="solid"/>
          </a:ln>
        </c:spPr>
        <c:txPr>
          <a:bodyPr rot="0" vert="horz"/>
          <a:lstStyle/>
          <a:p>
            <a:pPr>
              <a:defRPr sz="1150" b="0" i="0" u="none" strike="noStrike" baseline="0">
                <a:solidFill>
                  <a:srgbClr val="000000"/>
                </a:solidFill>
                <a:latin typeface="Arial Narrow"/>
                <a:ea typeface="Arial Narrow"/>
                <a:cs typeface="Arial Narrow"/>
              </a:defRPr>
            </a:pPr>
            <a:endParaRPr lang="en-US"/>
          </a:p>
        </c:txPr>
        <c:crossAx val="579154304"/>
        <c:crosses val="autoZero"/>
        <c:crossBetween val="between"/>
      </c:valAx>
      <c:spPr>
        <a:noFill/>
        <a:ln w="12700">
          <a:solidFill>
            <a:srgbClr val="808080"/>
          </a:solidFill>
          <a:prstDash val="solid"/>
        </a:ln>
      </c:spPr>
    </c:plotArea>
    <c:legend>
      <c:legendPos val="r"/>
      <c:layout>
        <c:manualLayout>
          <c:xMode val="edge"/>
          <c:yMode val="edge"/>
          <c:x val="0.71333449435952856"/>
          <c:y val="0.13500016479512303"/>
          <c:w val="0.19000030924529498"/>
          <c:h val="0.12250014953631536"/>
        </c:manualLayout>
      </c:layout>
      <c:overlay val="0"/>
      <c:spPr>
        <a:solidFill>
          <a:srgbClr val="FFFFFF"/>
        </a:solidFill>
        <a:ln w="25400">
          <a:noFill/>
        </a:ln>
      </c:spPr>
      <c:txPr>
        <a:bodyPr/>
        <a:lstStyle/>
        <a:p>
          <a:pPr>
            <a:defRPr sz="1100" b="0" i="0" u="none" strike="noStrike" baseline="0">
              <a:solidFill>
                <a:srgbClr val="000000"/>
              </a:solidFill>
              <a:latin typeface="Arial Narrow"/>
              <a:ea typeface="Arial Narrow"/>
              <a:cs typeface="Arial Narrow"/>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166676703575364E-2"/>
          <c:y val="4.7500057983469221E-2"/>
          <c:w val="0.90500147298416822"/>
          <c:h val="0.75000091552846138"/>
        </c:manualLayout>
      </c:layout>
      <c:lineChart>
        <c:grouping val="standard"/>
        <c:varyColors val="0"/>
        <c:ser>
          <c:idx val="0"/>
          <c:order val="0"/>
          <c:tx>
            <c:strRef>
              <c:f>D.EM!$AJ$3</c:f>
              <c:strCache>
                <c:ptCount val="1"/>
                <c:pt idx="0">
                  <c:v>LatAm IG vs. US</c:v>
                </c:pt>
              </c:strCache>
            </c:strRef>
          </c:tx>
          <c:spPr>
            <a:ln w="25400">
              <a:solidFill>
                <a:srgbClr val="003366"/>
              </a:solidFill>
              <a:prstDash val="solid"/>
            </a:ln>
          </c:spPr>
          <c:marker>
            <c:symbol val="diamond"/>
            <c:size val="7"/>
            <c:spPr>
              <a:solidFill>
                <a:srgbClr val="000080"/>
              </a:solidFill>
              <a:ln>
                <a:solidFill>
                  <a:srgbClr val="000080"/>
                </a:solidFill>
                <a:prstDash val="solid"/>
              </a:ln>
            </c:spPr>
          </c:marker>
          <c:cat>
            <c:numRef>
              <c:f>D.EM!$AE$4:$AE$29</c:f>
              <c:numCache>
                <c:formatCode>mm/dd/yyyy</c:formatCode>
                <c:ptCount val="26"/>
                <c:pt idx="0">
                  <c:v>38807</c:v>
                </c:pt>
                <c:pt idx="1">
                  <c:v>38898</c:v>
                </c:pt>
                <c:pt idx="2">
                  <c:v>38990</c:v>
                </c:pt>
                <c:pt idx="3">
                  <c:v>39082</c:v>
                </c:pt>
                <c:pt idx="4">
                  <c:v>39172</c:v>
                </c:pt>
                <c:pt idx="5">
                  <c:v>39263</c:v>
                </c:pt>
                <c:pt idx="6">
                  <c:v>39355</c:v>
                </c:pt>
                <c:pt idx="7">
                  <c:v>39447</c:v>
                </c:pt>
                <c:pt idx="8">
                  <c:v>39538</c:v>
                </c:pt>
                <c:pt idx="9">
                  <c:v>39629</c:v>
                </c:pt>
                <c:pt idx="10">
                  <c:v>39721</c:v>
                </c:pt>
                <c:pt idx="11">
                  <c:v>39813</c:v>
                </c:pt>
                <c:pt idx="12">
                  <c:v>39903</c:v>
                </c:pt>
                <c:pt idx="13">
                  <c:v>39994</c:v>
                </c:pt>
                <c:pt idx="14">
                  <c:v>40086</c:v>
                </c:pt>
                <c:pt idx="15">
                  <c:v>40178</c:v>
                </c:pt>
                <c:pt idx="16">
                  <c:v>40268</c:v>
                </c:pt>
                <c:pt idx="17">
                  <c:v>40359</c:v>
                </c:pt>
                <c:pt idx="18">
                  <c:v>40451</c:v>
                </c:pt>
                <c:pt idx="19">
                  <c:v>40543</c:v>
                </c:pt>
                <c:pt idx="20">
                  <c:v>40633</c:v>
                </c:pt>
                <c:pt idx="21">
                  <c:v>40724</c:v>
                </c:pt>
                <c:pt idx="22">
                  <c:v>40816</c:v>
                </c:pt>
                <c:pt idx="23">
                  <c:v>40908</c:v>
                </c:pt>
                <c:pt idx="24">
                  <c:v>40999</c:v>
                </c:pt>
                <c:pt idx="25">
                  <c:v>41090</c:v>
                </c:pt>
              </c:numCache>
            </c:numRef>
          </c:cat>
          <c:val>
            <c:numRef>
              <c:f>D.EM!$AJ$4:$AJ$29</c:f>
              <c:numCache>
                <c:formatCode>#,##0.0</c:formatCode>
                <c:ptCount val="26"/>
                <c:pt idx="0">
                  <c:v>3.1066188373354793</c:v>
                </c:pt>
                <c:pt idx="1">
                  <c:v>3.5066747765192581</c:v>
                </c:pt>
                <c:pt idx="2">
                  <c:v>3.2578349205627957</c:v>
                </c:pt>
                <c:pt idx="3">
                  <c:v>2.8448567397799298</c:v>
                </c:pt>
                <c:pt idx="4">
                  <c:v>2.616776416493571</c:v>
                </c:pt>
                <c:pt idx="5">
                  <c:v>2.4668770903549251</c:v>
                </c:pt>
                <c:pt idx="6">
                  <c:v>2.2656196679162837</c:v>
                </c:pt>
                <c:pt idx="7">
                  <c:v>2.6874286174937376</c:v>
                </c:pt>
                <c:pt idx="8">
                  <c:v>2.6680325887070278</c:v>
                </c:pt>
                <c:pt idx="9">
                  <c:v>2.3446018646209037</c:v>
                </c:pt>
                <c:pt idx="10">
                  <c:v>2.1534362990537326</c:v>
                </c:pt>
                <c:pt idx="11">
                  <c:v>2.4811601290367018</c:v>
                </c:pt>
                <c:pt idx="12">
                  <c:v>1.8428039157887812</c:v>
                </c:pt>
                <c:pt idx="13">
                  <c:v>1.5209343419981391</c:v>
                </c:pt>
                <c:pt idx="14">
                  <c:v>1.5474478004720778</c:v>
                </c:pt>
                <c:pt idx="15">
                  <c:v>1.4432427408114412</c:v>
                </c:pt>
                <c:pt idx="16">
                  <c:v>1.6849812122530499</c:v>
                </c:pt>
                <c:pt idx="17">
                  <c:v>2.015371294340393</c:v>
                </c:pt>
                <c:pt idx="18">
                  <c:v>2.0836812893844532</c:v>
                </c:pt>
                <c:pt idx="19">
                  <c:v>1.6795985634866542</c:v>
                </c:pt>
                <c:pt idx="20">
                  <c:v>1.9429327071593563</c:v>
                </c:pt>
                <c:pt idx="21">
                  <c:v>1.9053783098123354</c:v>
                </c:pt>
                <c:pt idx="22">
                  <c:v>2.0390595111033822</c:v>
                </c:pt>
                <c:pt idx="23">
                  <c:v>1.7085133616835129</c:v>
                </c:pt>
                <c:pt idx="24">
                  <c:v>1.7237004680059975</c:v>
                </c:pt>
                <c:pt idx="25">
                  <c:v>1.7168508905958755</c:v>
                </c:pt>
              </c:numCache>
            </c:numRef>
          </c:val>
          <c:smooth val="0"/>
        </c:ser>
        <c:ser>
          <c:idx val="1"/>
          <c:order val="1"/>
          <c:tx>
            <c:strRef>
              <c:f>D.EM!$AM$3</c:f>
              <c:strCache>
                <c:ptCount val="1"/>
                <c:pt idx="0">
                  <c:v>EMEA IG vs. US</c:v>
                </c:pt>
              </c:strCache>
            </c:strRef>
          </c:tx>
          <c:spPr>
            <a:ln w="25400">
              <a:solidFill>
                <a:srgbClr val="008080"/>
              </a:solidFill>
              <a:prstDash val="solid"/>
            </a:ln>
          </c:spPr>
          <c:marker>
            <c:symbol val="triangle"/>
            <c:size val="7"/>
            <c:spPr>
              <a:solidFill>
                <a:srgbClr val="008080"/>
              </a:solidFill>
              <a:ln>
                <a:solidFill>
                  <a:srgbClr val="008080"/>
                </a:solidFill>
                <a:prstDash val="solid"/>
              </a:ln>
            </c:spPr>
          </c:marker>
          <c:cat>
            <c:numRef>
              <c:f>D.EM!$AE$4:$AE$29</c:f>
              <c:numCache>
                <c:formatCode>mm/dd/yyyy</c:formatCode>
                <c:ptCount val="26"/>
                <c:pt idx="0">
                  <c:v>38807</c:v>
                </c:pt>
                <c:pt idx="1">
                  <c:v>38898</c:v>
                </c:pt>
                <c:pt idx="2">
                  <c:v>38990</c:v>
                </c:pt>
                <c:pt idx="3">
                  <c:v>39082</c:v>
                </c:pt>
                <c:pt idx="4">
                  <c:v>39172</c:v>
                </c:pt>
                <c:pt idx="5">
                  <c:v>39263</c:v>
                </c:pt>
                <c:pt idx="6">
                  <c:v>39355</c:v>
                </c:pt>
                <c:pt idx="7">
                  <c:v>39447</c:v>
                </c:pt>
                <c:pt idx="8">
                  <c:v>39538</c:v>
                </c:pt>
                <c:pt idx="9">
                  <c:v>39629</c:v>
                </c:pt>
                <c:pt idx="10">
                  <c:v>39721</c:v>
                </c:pt>
                <c:pt idx="11">
                  <c:v>39813</c:v>
                </c:pt>
                <c:pt idx="12">
                  <c:v>39903</c:v>
                </c:pt>
                <c:pt idx="13">
                  <c:v>39994</c:v>
                </c:pt>
                <c:pt idx="14">
                  <c:v>40086</c:v>
                </c:pt>
                <c:pt idx="15">
                  <c:v>40178</c:v>
                </c:pt>
                <c:pt idx="16">
                  <c:v>40268</c:v>
                </c:pt>
                <c:pt idx="17">
                  <c:v>40359</c:v>
                </c:pt>
                <c:pt idx="18">
                  <c:v>40451</c:v>
                </c:pt>
                <c:pt idx="19">
                  <c:v>40543</c:v>
                </c:pt>
                <c:pt idx="20">
                  <c:v>40633</c:v>
                </c:pt>
                <c:pt idx="21">
                  <c:v>40724</c:v>
                </c:pt>
                <c:pt idx="22">
                  <c:v>40816</c:v>
                </c:pt>
                <c:pt idx="23">
                  <c:v>40908</c:v>
                </c:pt>
                <c:pt idx="24">
                  <c:v>40999</c:v>
                </c:pt>
                <c:pt idx="25">
                  <c:v>41090</c:v>
                </c:pt>
              </c:numCache>
            </c:numRef>
          </c:cat>
          <c:val>
            <c:numRef>
              <c:f>D.EM!$AM$4:$AM$29</c:f>
              <c:numCache>
                <c:formatCode>#,##0.0</c:formatCode>
                <c:ptCount val="26"/>
                <c:pt idx="0">
                  <c:v>3.7761207563882553</c:v>
                </c:pt>
                <c:pt idx="1">
                  <c:v>4.7393363875485237</c:v>
                </c:pt>
                <c:pt idx="2">
                  <c:v>3.8214964332946111</c:v>
                </c:pt>
                <c:pt idx="3">
                  <c:v>3.317300832918729</c:v>
                </c:pt>
                <c:pt idx="4">
                  <c:v>3.8200474905954684</c:v>
                </c:pt>
                <c:pt idx="5">
                  <c:v>3.1230512822701386</c:v>
                </c:pt>
                <c:pt idx="6">
                  <c:v>3.0344270207294759</c:v>
                </c:pt>
                <c:pt idx="7">
                  <c:v>2.2948809025070029</c:v>
                </c:pt>
                <c:pt idx="8">
                  <c:v>2.5029843565556864</c:v>
                </c:pt>
                <c:pt idx="9">
                  <c:v>2.9267502710515867</c:v>
                </c:pt>
                <c:pt idx="10">
                  <c:v>3.8250572689991857</c:v>
                </c:pt>
                <c:pt idx="11">
                  <c:v>5.4237347547135766</c:v>
                </c:pt>
                <c:pt idx="12">
                  <c:v>2.8139059626867327</c:v>
                </c:pt>
                <c:pt idx="13">
                  <c:v>2.6301557308529731</c:v>
                </c:pt>
                <c:pt idx="14">
                  <c:v>1.9815996750836193</c:v>
                </c:pt>
                <c:pt idx="15">
                  <c:v>2.2191926151988546</c:v>
                </c:pt>
                <c:pt idx="16">
                  <c:v>2.6975041066128491</c:v>
                </c:pt>
                <c:pt idx="17">
                  <c:v>3.5902237887276689</c:v>
                </c:pt>
                <c:pt idx="18">
                  <c:v>3.6342800137191795</c:v>
                </c:pt>
                <c:pt idx="19">
                  <c:v>2.8596351129430158</c:v>
                </c:pt>
                <c:pt idx="20">
                  <c:v>2.6295110090512996</c:v>
                </c:pt>
                <c:pt idx="21">
                  <c:v>2.7009802471176334</c:v>
                </c:pt>
                <c:pt idx="22">
                  <c:v>3.8913583413152324</c:v>
                </c:pt>
                <c:pt idx="23">
                  <c:v>3.2169425875603226</c:v>
                </c:pt>
                <c:pt idx="24">
                  <c:v>3.7971760875532197</c:v>
                </c:pt>
                <c:pt idx="25">
                  <c:v>2.5098944708633875</c:v>
                </c:pt>
              </c:numCache>
            </c:numRef>
          </c:val>
          <c:smooth val="0"/>
        </c:ser>
        <c:ser>
          <c:idx val="2"/>
          <c:order val="2"/>
          <c:tx>
            <c:strRef>
              <c:f>D.EM!$AP$3</c:f>
              <c:strCache>
                <c:ptCount val="1"/>
                <c:pt idx="0">
                  <c:v>Asia IG vs. US</c:v>
                </c:pt>
              </c:strCache>
            </c:strRef>
          </c:tx>
          <c:spPr>
            <a:ln w="25400">
              <a:solidFill>
                <a:srgbClr val="FF6600"/>
              </a:solidFill>
              <a:prstDash val="solid"/>
            </a:ln>
          </c:spPr>
          <c:marker>
            <c:symbol val="square"/>
            <c:size val="7"/>
            <c:spPr>
              <a:solidFill>
                <a:srgbClr val="FF6600"/>
              </a:solidFill>
              <a:ln>
                <a:solidFill>
                  <a:srgbClr val="FF6600"/>
                </a:solidFill>
                <a:prstDash val="solid"/>
              </a:ln>
            </c:spPr>
          </c:marker>
          <c:cat>
            <c:numRef>
              <c:f>D.EM!$AE$4:$AE$29</c:f>
              <c:numCache>
                <c:formatCode>mm/dd/yyyy</c:formatCode>
                <c:ptCount val="26"/>
                <c:pt idx="0">
                  <c:v>38807</c:v>
                </c:pt>
                <c:pt idx="1">
                  <c:v>38898</c:v>
                </c:pt>
                <c:pt idx="2">
                  <c:v>38990</c:v>
                </c:pt>
                <c:pt idx="3">
                  <c:v>39082</c:v>
                </c:pt>
                <c:pt idx="4">
                  <c:v>39172</c:v>
                </c:pt>
                <c:pt idx="5">
                  <c:v>39263</c:v>
                </c:pt>
                <c:pt idx="6">
                  <c:v>39355</c:v>
                </c:pt>
                <c:pt idx="7">
                  <c:v>39447</c:v>
                </c:pt>
                <c:pt idx="8">
                  <c:v>39538</c:v>
                </c:pt>
                <c:pt idx="9">
                  <c:v>39629</c:v>
                </c:pt>
                <c:pt idx="10">
                  <c:v>39721</c:v>
                </c:pt>
                <c:pt idx="11">
                  <c:v>39813</c:v>
                </c:pt>
                <c:pt idx="12">
                  <c:v>39903</c:v>
                </c:pt>
                <c:pt idx="13">
                  <c:v>39994</c:v>
                </c:pt>
                <c:pt idx="14">
                  <c:v>40086</c:v>
                </c:pt>
                <c:pt idx="15">
                  <c:v>40178</c:v>
                </c:pt>
                <c:pt idx="16">
                  <c:v>40268</c:v>
                </c:pt>
                <c:pt idx="17">
                  <c:v>40359</c:v>
                </c:pt>
                <c:pt idx="18">
                  <c:v>40451</c:v>
                </c:pt>
                <c:pt idx="19">
                  <c:v>40543</c:v>
                </c:pt>
                <c:pt idx="20">
                  <c:v>40633</c:v>
                </c:pt>
                <c:pt idx="21">
                  <c:v>40724</c:v>
                </c:pt>
                <c:pt idx="22">
                  <c:v>40816</c:v>
                </c:pt>
                <c:pt idx="23">
                  <c:v>40908</c:v>
                </c:pt>
                <c:pt idx="24">
                  <c:v>40999</c:v>
                </c:pt>
                <c:pt idx="25">
                  <c:v>41090</c:v>
                </c:pt>
              </c:numCache>
            </c:numRef>
          </c:cat>
          <c:val>
            <c:numRef>
              <c:f>D.EM!$AP$4:$AP$29</c:f>
              <c:numCache>
                <c:formatCode>#,##0.0</c:formatCode>
                <c:ptCount val="26"/>
                <c:pt idx="0">
                  <c:v>1.5927296264053483</c:v>
                </c:pt>
                <c:pt idx="1">
                  <c:v>1.591560869914602</c:v>
                </c:pt>
                <c:pt idx="2">
                  <c:v>1.3582185724866183</c:v>
                </c:pt>
                <c:pt idx="3">
                  <c:v>1.2987269728411279</c:v>
                </c:pt>
                <c:pt idx="4">
                  <c:v>1.2457292433255891</c:v>
                </c:pt>
                <c:pt idx="5">
                  <c:v>1.2291409817799672</c:v>
                </c:pt>
                <c:pt idx="6">
                  <c:v>1.1489865392903165</c:v>
                </c:pt>
                <c:pt idx="7">
                  <c:v>1.1474965583297445</c:v>
                </c:pt>
                <c:pt idx="8">
                  <c:v>1.2631499061870635</c:v>
                </c:pt>
                <c:pt idx="9">
                  <c:v>1.2682806818070291</c:v>
                </c:pt>
                <c:pt idx="10">
                  <c:v>0.96407956058002242</c:v>
                </c:pt>
                <c:pt idx="11">
                  <c:v>1.2536451962721353</c:v>
                </c:pt>
                <c:pt idx="12">
                  <c:v>0.86387760634774158</c:v>
                </c:pt>
                <c:pt idx="13">
                  <c:v>0.69947009806051463</c:v>
                </c:pt>
                <c:pt idx="14">
                  <c:v>0.64631129844172763</c:v>
                </c:pt>
                <c:pt idx="15">
                  <c:v>0.74496756949337017</c:v>
                </c:pt>
                <c:pt idx="16">
                  <c:v>0.72638490492860963</c:v>
                </c:pt>
                <c:pt idx="17">
                  <c:v>0.93509271431387464</c:v>
                </c:pt>
                <c:pt idx="18">
                  <c:v>0.95950057763753027</c:v>
                </c:pt>
                <c:pt idx="19">
                  <c:v>0.80268330134173005</c:v>
                </c:pt>
                <c:pt idx="20">
                  <c:v>0.9545576252733855</c:v>
                </c:pt>
                <c:pt idx="21">
                  <c:v>1.0046607609703457</c:v>
                </c:pt>
                <c:pt idx="22">
                  <c:v>1.0138797982787315</c:v>
                </c:pt>
                <c:pt idx="23">
                  <c:v>1.0442530261792584</c:v>
                </c:pt>
                <c:pt idx="24">
                  <c:v>1.3291197939396007</c:v>
                </c:pt>
                <c:pt idx="25">
                  <c:v>1.3179967128246679</c:v>
                </c:pt>
              </c:numCache>
            </c:numRef>
          </c:val>
          <c:smooth val="0"/>
        </c:ser>
        <c:dLbls>
          <c:showLegendKey val="0"/>
          <c:showVal val="0"/>
          <c:showCatName val="0"/>
          <c:showSerName val="0"/>
          <c:showPercent val="0"/>
          <c:showBubbleSize val="0"/>
        </c:dLbls>
        <c:marker val="1"/>
        <c:smooth val="0"/>
        <c:axId val="574960000"/>
        <c:axId val="574961920"/>
      </c:lineChart>
      <c:dateAx>
        <c:axId val="574960000"/>
        <c:scaling>
          <c:orientation val="minMax"/>
        </c:scaling>
        <c:delete val="0"/>
        <c:axPos val="b"/>
        <c:numFmt formatCode="yyyy"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Narrow"/>
                <a:ea typeface="Arial Narrow"/>
                <a:cs typeface="Arial Narrow"/>
              </a:defRPr>
            </a:pPr>
            <a:endParaRPr lang="en-US"/>
          </a:p>
        </c:txPr>
        <c:crossAx val="574961920"/>
        <c:crosses val="autoZero"/>
        <c:auto val="1"/>
        <c:lblOffset val="100"/>
        <c:baseTimeUnit val="months"/>
        <c:majorUnit val="1"/>
        <c:majorTimeUnit val="years"/>
        <c:minorUnit val="6"/>
        <c:minorTimeUnit val="months"/>
      </c:dateAx>
      <c:valAx>
        <c:axId val="574961920"/>
        <c:scaling>
          <c:orientation val="minMax"/>
          <c:max val="6"/>
          <c:min val="0"/>
        </c:scaling>
        <c:delete val="0"/>
        <c:axPos val="l"/>
        <c:majorGridlines>
          <c:spPr>
            <a:ln w="3175">
              <a:solidFill>
                <a:srgbClr val="969696"/>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Narrow"/>
                <a:ea typeface="Arial Narrow"/>
                <a:cs typeface="Arial Narrow"/>
              </a:defRPr>
            </a:pPr>
            <a:endParaRPr lang="en-US"/>
          </a:p>
        </c:txPr>
        <c:crossAx val="574960000"/>
        <c:crosses val="autoZero"/>
        <c:crossBetween val="between"/>
      </c:valAx>
      <c:spPr>
        <a:solidFill>
          <a:srgbClr val="FFFFFF"/>
        </a:solidFill>
        <a:ln w="3175">
          <a:solidFill>
            <a:srgbClr val="000000"/>
          </a:solidFill>
          <a:prstDash val="solid"/>
        </a:ln>
      </c:spPr>
    </c:plotArea>
    <c:legend>
      <c:legendPos val="b"/>
      <c:layout>
        <c:manualLayout>
          <c:xMode val="edge"/>
          <c:yMode val="edge"/>
          <c:x val="1.3333355034757544E-2"/>
          <c:y val="0.89750109558239211"/>
          <c:w val="0.98000159505467943"/>
          <c:h val="6.5000079345799988E-2"/>
        </c:manualLayout>
      </c:layout>
      <c:overlay val="0"/>
      <c:spPr>
        <a:solidFill>
          <a:srgbClr val="FFFFFF"/>
        </a:solidFill>
        <a:ln w="25400">
          <a:noFill/>
        </a:ln>
      </c:spPr>
      <c:txPr>
        <a:bodyPr/>
        <a:lstStyle/>
        <a:p>
          <a:pPr>
            <a:defRPr sz="1100" b="0" i="0" u="none" strike="noStrike" baseline="0">
              <a:solidFill>
                <a:srgbClr val="000000"/>
              </a:solidFill>
              <a:latin typeface="Arial Narrow"/>
              <a:ea typeface="Arial Narrow"/>
              <a:cs typeface="Arial Narrow"/>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34899328859061"/>
          <c:y val="3.7500045776423067E-2"/>
          <c:w val="0.84731543624161076"/>
          <c:h val="0.76500093383903056"/>
        </c:manualLayout>
      </c:layout>
      <c:barChart>
        <c:barDir val="bar"/>
        <c:grouping val="clustered"/>
        <c:varyColors val="0"/>
        <c:ser>
          <c:idx val="1"/>
          <c:order val="0"/>
          <c:tx>
            <c:v>EM Corporates</c:v>
          </c:tx>
          <c:spPr>
            <a:solidFill>
              <a:srgbClr val="003366"/>
            </a:solidFill>
            <a:ln w="12700">
              <a:solidFill>
                <a:srgbClr val="808080"/>
              </a:solidFill>
              <a:prstDash val="solid"/>
            </a:ln>
          </c:spPr>
          <c:invertIfNegative val="0"/>
          <c:cat>
            <c:strRef>
              <c:f>'rtg breakdown'!$L$4:$O$4</c:f>
              <c:strCache>
                <c:ptCount val="4"/>
                <c:pt idx="0">
                  <c:v>A</c:v>
                </c:pt>
                <c:pt idx="1">
                  <c:v>BBB</c:v>
                </c:pt>
                <c:pt idx="2">
                  <c:v>BB</c:v>
                </c:pt>
                <c:pt idx="3">
                  <c:v>B</c:v>
                </c:pt>
              </c:strCache>
            </c:strRef>
          </c:cat>
          <c:val>
            <c:numRef>
              <c:f>'rtg breakdown'!$L$30:$O$30</c:f>
              <c:numCache>
                <c:formatCode>#,##0</c:formatCode>
                <c:ptCount val="4"/>
                <c:pt idx="0">
                  <c:v>153.59874066119505</c:v>
                </c:pt>
                <c:pt idx="1">
                  <c:v>213.69484026472679</c:v>
                </c:pt>
                <c:pt idx="2">
                  <c:v>307.35096997683354</c:v>
                </c:pt>
                <c:pt idx="3">
                  <c:v>330.52628790344357</c:v>
                </c:pt>
              </c:numCache>
            </c:numRef>
          </c:val>
        </c:ser>
        <c:ser>
          <c:idx val="0"/>
          <c:order val="1"/>
          <c:tx>
            <c:v>US Corporates</c:v>
          </c:tx>
          <c:spPr>
            <a:solidFill>
              <a:srgbClr val="FF6600"/>
            </a:solidFill>
            <a:ln w="12700">
              <a:solidFill>
                <a:srgbClr val="808080"/>
              </a:solidFill>
              <a:prstDash val="solid"/>
            </a:ln>
          </c:spPr>
          <c:invertIfNegative val="0"/>
          <c:val>
            <c:numRef>
              <c:f>'rtg breakdown'!$AA$5:$AA$8</c:f>
              <c:numCache>
                <c:formatCode>#,##0</c:formatCode>
                <c:ptCount val="4"/>
                <c:pt idx="0">
                  <c:v>115.53322890346547</c:v>
                </c:pt>
                <c:pt idx="1">
                  <c:v>104.23120971136017</c:v>
                </c:pt>
                <c:pt idx="2">
                  <c:v>140.93226847196198</c:v>
                </c:pt>
                <c:pt idx="3">
                  <c:v>155.88441186372273</c:v>
                </c:pt>
              </c:numCache>
            </c:numRef>
          </c:val>
        </c:ser>
        <c:dLbls>
          <c:showLegendKey val="0"/>
          <c:showVal val="0"/>
          <c:showCatName val="0"/>
          <c:showSerName val="0"/>
          <c:showPercent val="0"/>
          <c:showBubbleSize val="0"/>
        </c:dLbls>
        <c:gapWidth val="75"/>
        <c:axId val="579177088"/>
        <c:axId val="579187072"/>
      </c:barChart>
      <c:catAx>
        <c:axId val="579177088"/>
        <c:scaling>
          <c:orientation val="maxMin"/>
        </c:scaling>
        <c:delete val="0"/>
        <c:axPos val="l"/>
        <c:numFmt formatCode="yyyy"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Narrow"/>
                <a:ea typeface="Arial Narrow"/>
                <a:cs typeface="Arial Narrow"/>
              </a:defRPr>
            </a:pPr>
            <a:endParaRPr lang="en-US"/>
          </a:p>
        </c:txPr>
        <c:crossAx val="579187072"/>
        <c:crosses val="autoZero"/>
        <c:auto val="0"/>
        <c:lblAlgn val="ctr"/>
        <c:lblOffset val="100"/>
        <c:tickLblSkip val="1"/>
        <c:tickMarkSkip val="1"/>
        <c:noMultiLvlLbl val="0"/>
      </c:catAx>
      <c:valAx>
        <c:axId val="579187072"/>
        <c:scaling>
          <c:orientation val="minMax"/>
          <c:max val="350"/>
        </c:scaling>
        <c:delete val="0"/>
        <c:axPos val="t"/>
        <c:majorGridlines>
          <c:spPr>
            <a:ln w="12700">
              <a:solidFill>
                <a:srgbClr val="969696"/>
              </a:solidFill>
              <a:prstDash val="solid"/>
            </a:ln>
          </c:spPr>
        </c:majorGridlines>
        <c:title>
          <c:tx>
            <c:rich>
              <a:bodyPr/>
              <a:lstStyle/>
              <a:p>
                <a:pPr>
                  <a:defRPr sz="1200" b="0" i="0" u="none" strike="noStrike" baseline="0">
                    <a:solidFill>
                      <a:srgbClr val="000000"/>
                    </a:solidFill>
                    <a:latin typeface="Arial Narrow"/>
                    <a:ea typeface="Arial Narrow"/>
                    <a:cs typeface="Arial Narrow"/>
                  </a:defRPr>
                </a:pPr>
                <a:r>
                  <a:rPr lang="en-US"/>
                  <a:t>Spread per Turn of Net Leverage, bps/x</a:t>
                </a:r>
              </a:p>
            </c:rich>
          </c:tx>
          <c:layout>
            <c:manualLayout>
              <c:xMode val="edge"/>
              <c:yMode val="edge"/>
              <c:x val="0.35067114093959734"/>
              <c:y val="0.91250111389296129"/>
            </c:manualLayout>
          </c:layout>
          <c:overlay val="0"/>
          <c:spPr>
            <a:noFill/>
            <a:ln w="25400">
              <a:noFill/>
            </a:ln>
          </c:spPr>
        </c:title>
        <c:numFmt formatCode="0" sourceLinked="0"/>
        <c:majorTickMark val="none"/>
        <c:minorTickMark val="none"/>
        <c:tickLblPos val="high"/>
        <c:spPr>
          <a:ln w="3175">
            <a:solidFill>
              <a:srgbClr val="000000"/>
            </a:solidFill>
            <a:prstDash val="solid"/>
          </a:ln>
        </c:spPr>
        <c:txPr>
          <a:bodyPr rot="0" vert="horz"/>
          <a:lstStyle/>
          <a:p>
            <a:pPr>
              <a:defRPr sz="1200" b="0" i="0" u="none" strike="noStrike" baseline="0">
                <a:solidFill>
                  <a:srgbClr val="000000"/>
                </a:solidFill>
                <a:latin typeface="Arial Narrow"/>
                <a:ea typeface="Arial Narrow"/>
                <a:cs typeface="Arial Narrow"/>
              </a:defRPr>
            </a:pPr>
            <a:endParaRPr lang="en-US"/>
          </a:p>
        </c:txPr>
        <c:crossAx val="579177088"/>
        <c:crosses val="autoZero"/>
        <c:crossBetween val="between"/>
        <c:majorUnit val="25"/>
      </c:valAx>
      <c:spPr>
        <a:noFill/>
        <a:ln w="12700">
          <a:solidFill>
            <a:srgbClr val="808080"/>
          </a:solidFill>
          <a:prstDash val="solid"/>
        </a:ln>
      </c:spPr>
    </c:plotArea>
    <c:legend>
      <c:legendPos val="r"/>
      <c:layout>
        <c:manualLayout>
          <c:xMode val="edge"/>
          <c:yMode val="edge"/>
          <c:x val="0.71308724832214765"/>
          <c:y val="9.0000109863415362E-2"/>
          <c:w val="0.1912751677852349"/>
          <c:h val="0.12250014953631536"/>
        </c:manualLayout>
      </c:layout>
      <c:overlay val="0"/>
      <c:spPr>
        <a:solidFill>
          <a:srgbClr val="FFFFFF"/>
        </a:solidFill>
        <a:ln w="25400">
          <a:noFill/>
        </a:ln>
      </c:spPr>
      <c:txPr>
        <a:bodyPr/>
        <a:lstStyle/>
        <a:p>
          <a:pPr>
            <a:defRPr sz="1100" b="0" i="0" u="none" strike="noStrike" baseline="0">
              <a:solidFill>
                <a:srgbClr val="000000"/>
              </a:solidFill>
              <a:latin typeface="Arial Narrow"/>
              <a:ea typeface="Arial Narrow"/>
              <a:cs typeface="Arial Narrow"/>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666791449855873E-2"/>
          <c:y val="3.0000036621138454E-2"/>
          <c:w val="0.89500145670810016"/>
          <c:h val="0.78000095214959975"/>
        </c:manualLayout>
      </c:layout>
      <c:barChart>
        <c:barDir val="bar"/>
        <c:grouping val="clustered"/>
        <c:varyColors val="0"/>
        <c:ser>
          <c:idx val="2"/>
          <c:order val="0"/>
          <c:tx>
            <c:strRef>
              <c:f>'rtg breakdown'!$V$23</c:f>
              <c:strCache>
                <c:ptCount val="1"/>
                <c:pt idx="0">
                  <c:v>ASIA</c:v>
                </c:pt>
              </c:strCache>
            </c:strRef>
          </c:tx>
          <c:spPr>
            <a:solidFill>
              <a:srgbClr val="FF6600"/>
            </a:solidFill>
            <a:ln w="12700">
              <a:solidFill>
                <a:srgbClr val="808080"/>
              </a:solidFill>
              <a:prstDash val="solid"/>
            </a:ln>
          </c:spPr>
          <c:invertIfNegative val="0"/>
          <c:cat>
            <c:strRef>
              <c:f>'rtg breakdown'!$V$11:$V$14</c:f>
              <c:strCache>
                <c:ptCount val="4"/>
                <c:pt idx="0">
                  <c:v>A</c:v>
                </c:pt>
                <c:pt idx="1">
                  <c:v>BBB</c:v>
                </c:pt>
                <c:pt idx="2">
                  <c:v>BB</c:v>
                </c:pt>
                <c:pt idx="3">
                  <c:v>B</c:v>
                </c:pt>
              </c:strCache>
            </c:strRef>
          </c:cat>
          <c:val>
            <c:numRef>
              <c:f>'rtg breakdown'!$X$24:$X$27</c:f>
              <c:numCache>
                <c:formatCode>0.00</c:formatCode>
                <c:ptCount val="4"/>
                <c:pt idx="0">
                  <c:v>1.6354601158803317</c:v>
                </c:pt>
                <c:pt idx="1">
                  <c:v>1.8196734542829107</c:v>
                </c:pt>
                <c:pt idx="2">
                  <c:v>2.4116846427803531</c:v>
                </c:pt>
                <c:pt idx="3">
                  <c:v>2.4134734417529873</c:v>
                </c:pt>
              </c:numCache>
            </c:numRef>
          </c:val>
        </c:ser>
        <c:ser>
          <c:idx val="1"/>
          <c:order val="1"/>
          <c:tx>
            <c:strRef>
              <c:f>'rtg breakdown'!$V$10</c:f>
              <c:strCache>
                <c:ptCount val="1"/>
                <c:pt idx="0">
                  <c:v>LATAM</c:v>
                </c:pt>
              </c:strCache>
            </c:strRef>
          </c:tx>
          <c:spPr>
            <a:solidFill>
              <a:srgbClr val="003366"/>
            </a:solidFill>
            <a:ln w="12700">
              <a:solidFill>
                <a:srgbClr val="808080"/>
              </a:solidFill>
              <a:prstDash val="solid"/>
            </a:ln>
          </c:spPr>
          <c:invertIfNegative val="0"/>
          <c:cat>
            <c:strRef>
              <c:f>'rtg breakdown'!$V$11:$V$14</c:f>
              <c:strCache>
                <c:ptCount val="4"/>
                <c:pt idx="0">
                  <c:v>A</c:v>
                </c:pt>
                <c:pt idx="1">
                  <c:v>BBB</c:v>
                </c:pt>
                <c:pt idx="2">
                  <c:v>BB</c:v>
                </c:pt>
                <c:pt idx="3">
                  <c:v>B</c:v>
                </c:pt>
              </c:strCache>
            </c:strRef>
          </c:cat>
          <c:val>
            <c:numRef>
              <c:f>'rtg breakdown'!$X$11:$X$14</c:f>
              <c:numCache>
                <c:formatCode>0.00</c:formatCode>
                <c:ptCount val="4"/>
                <c:pt idx="0">
                  <c:v>0.96109397659733931</c:v>
                </c:pt>
                <c:pt idx="1">
                  <c:v>1.1418385772692532</c:v>
                </c:pt>
                <c:pt idx="2">
                  <c:v>2.2446005154885929</c:v>
                </c:pt>
                <c:pt idx="3">
                  <c:v>3.9921788432177863</c:v>
                </c:pt>
              </c:numCache>
            </c:numRef>
          </c:val>
        </c:ser>
        <c:ser>
          <c:idx val="0"/>
          <c:order val="2"/>
          <c:tx>
            <c:strRef>
              <c:f>'rtg breakdown'!$V$16</c:f>
              <c:strCache>
                <c:ptCount val="1"/>
                <c:pt idx="0">
                  <c:v>EEMEA</c:v>
                </c:pt>
              </c:strCache>
            </c:strRef>
          </c:tx>
          <c:spPr>
            <a:solidFill>
              <a:srgbClr val="008080"/>
            </a:solidFill>
            <a:ln w="12700">
              <a:solidFill>
                <a:srgbClr val="808080"/>
              </a:solidFill>
              <a:prstDash val="solid"/>
            </a:ln>
          </c:spPr>
          <c:invertIfNegative val="0"/>
          <c:val>
            <c:numRef>
              <c:f>'rtg breakdown'!$X$16:$X$19</c:f>
              <c:numCache>
                <c:formatCode>0.00</c:formatCode>
                <c:ptCount val="4"/>
                <c:pt idx="0" formatCode="General">
                  <c:v>0</c:v>
                </c:pt>
                <c:pt idx="1">
                  <c:v>1.3141728736449807</c:v>
                </c:pt>
                <c:pt idx="2">
                  <c:v>0.71484140901382176</c:v>
                </c:pt>
                <c:pt idx="3">
                  <c:v>1.3653010636767657</c:v>
                </c:pt>
              </c:numCache>
            </c:numRef>
          </c:val>
        </c:ser>
        <c:dLbls>
          <c:showLegendKey val="0"/>
          <c:showVal val="0"/>
          <c:showCatName val="0"/>
          <c:showSerName val="0"/>
          <c:showPercent val="0"/>
          <c:showBubbleSize val="0"/>
        </c:dLbls>
        <c:gapWidth val="75"/>
        <c:axId val="579204992"/>
        <c:axId val="579206528"/>
      </c:barChart>
      <c:catAx>
        <c:axId val="579204992"/>
        <c:scaling>
          <c:orientation val="maxMin"/>
        </c:scaling>
        <c:delete val="0"/>
        <c:axPos val="l"/>
        <c:numFmt formatCode="yyyy"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Narrow"/>
                <a:ea typeface="Arial Narrow"/>
                <a:cs typeface="Arial Narrow"/>
              </a:defRPr>
            </a:pPr>
            <a:endParaRPr lang="en-US"/>
          </a:p>
        </c:txPr>
        <c:crossAx val="579206528"/>
        <c:crosses val="autoZero"/>
        <c:auto val="0"/>
        <c:lblAlgn val="ctr"/>
        <c:lblOffset val="100"/>
        <c:tickLblSkip val="1"/>
        <c:tickMarkSkip val="1"/>
        <c:noMultiLvlLbl val="0"/>
      </c:catAx>
      <c:valAx>
        <c:axId val="579206528"/>
        <c:scaling>
          <c:orientation val="minMax"/>
        </c:scaling>
        <c:delete val="0"/>
        <c:axPos val="t"/>
        <c:majorGridlines>
          <c:spPr>
            <a:ln w="12700">
              <a:solidFill>
                <a:srgbClr val="969696"/>
              </a:solidFill>
              <a:prstDash val="solid"/>
            </a:ln>
          </c:spPr>
        </c:majorGridlines>
        <c:title>
          <c:tx>
            <c:rich>
              <a:bodyPr/>
              <a:lstStyle/>
              <a:p>
                <a:pPr>
                  <a:defRPr sz="1175" b="0" i="0" u="none" strike="noStrike" baseline="0">
                    <a:solidFill>
                      <a:srgbClr val="000000"/>
                    </a:solidFill>
                    <a:latin typeface="Arial Narrow"/>
                    <a:ea typeface="Arial Narrow"/>
                    <a:cs typeface="Arial Narrow"/>
                  </a:defRPr>
                </a:pPr>
                <a:r>
                  <a:rPr lang="en-US"/>
                  <a:t>Net Leverage, x</a:t>
                </a:r>
              </a:p>
            </c:rich>
          </c:tx>
          <c:layout>
            <c:manualLayout>
              <c:xMode val="edge"/>
              <c:yMode val="edge"/>
              <c:x val="0.44666739366437769"/>
              <c:y val="0.90000109863415356"/>
            </c:manualLayout>
          </c:layout>
          <c:overlay val="0"/>
          <c:spPr>
            <a:noFill/>
            <a:ln w="25400">
              <a:noFill/>
            </a:ln>
          </c:spPr>
        </c:title>
        <c:numFmt formatCode="0.0" sourceLinked="0"/>
        <c:majorTickMark val="none"/>
        <c:minorTickMark val="none"/>
        <c:tickLblPos val="high"/>
        <c:spPr>
          <a:ln w="3175">
            <a:solidFill>
              <a:srgbClr val="000000"/>
            </a:solidFill>
            <a:prstDash val="solid"/>
          </a:ln>
        </c:spPr>
        <c:txPr>
          <a:bodyPr rot="0" vert="horz"/>
          <a:lstStyle/>
          <a:p>
            <a:pPr>
              <a:defRPr sz="1175" b="0" i="0" u="none" strike="noStrike" baseline="0">
                <a:solidFill>
                  <a:srgbClr val="000000"/>
                </a:solidFill>
                <a:latin typeface="Arial Narrow"/>
                <a:ea typeface="Arial Narrow"/>
                <a:cs typeface="Arial Narrow"/>
              </a:defRPr>
            </a:pPr>
            <a:endParaRPr lang="en-US"/>
          </a:p>
        </c:txPr>
        <c:crossAx val="579204992"/>
        <c:crosses val="autoZero"/>
        <c:crossBetween val="between"/>
      </c:valAx>
      <c:spPr>
        <a:noFill/>
        <a:ln w="12700">
          <a:solidFill>
            <a:srgbClr val="808080"/>
          </a:solidFill>
          <a:prstDash val="solid"/>
        </a:ln>
      </c:spPr>
    </c:plotArea>
    <c:legend>
      <c:legendPos val="r"/>
      <c:layout>
        <c:manualLayout>
          <c:xMode val="edge"/>
          <c:yMode val="edge"/>
          <c:x val="0.54500088704571459"/>
          <c:y val="9.5000115966938442E-2"/>
          <c:w val="0.39833398166338163"/>
          <c:h val="6.5000079345799988E-2"/>
        </c:manualLayout>
      </c:layout>
      <c:overlay val="0"/>
      <c:spPr>
        <a:solidFill>
          <a:srgbClr val="FFFFFF"/>
        </a:solidFill>
        <a:ln w="25400">
          <a:noFill/>
        </a:ln>
      </c:spPr>
      <c:txPr>
        <a:bodyPr/>
        <a:lstStyle/>
        <a:p>
          <a:pPr>
            <a:defRPr sz="1100" b="0" i="0" u="none" strike="noStrike" baseline="0">
              <a:solidFill>
                <a:srgbClr val="000000"/>
              </a:solidFill>
              <a:latin typeface="Arial Narrow"/>
              <a:ea typeface="Arial Narrow"/>
              <a:cs typeface="Arial Narrow"/>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75"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310987814295407E-2"/>
          <c:y val="6.2500076294038448E-2"/>
          <c:w val="0.8873956862162603"/>
          <c:h val="0.74000090332141522"/>
        </c:manualLayout>
      </c:layout>
      <c:barChart>
        <c:barDir val="bar"/>
        <c:grouping val="clustered"/>
        <c:varyColors val="0"/>
        <c:ser>
          <c:idx val="1"/>
          <c:order val="0"/>
          <c:tx>
            <c:strRef>
              <c:f>'rtg breakdown'!$V$10</c:f>
              <c:strCache>
                <c:ptCount val="1"/>
                <c:pt idx="0">
                  <c:v>LATAM</c:v>
                </c:pt>
              </c:strCache>
            </c:strRef>
          </c:tx>
          <c:spPr>
            <a:solidFill>
              <a:srgbClr val="003366"/>
            </a:solidFill>
            <a:ln w="12700">
              <a:solidFill>
                <a:srgbClr val="808080"/>
              </a:solidFill>
              <a:prstDash val="solid"/>
            </a:ln>
          </c:spPr>
          <c:invertIfNegative val="0"/>
          <c:cat>
            <c:strRef>
              <c:f>'rtg breakdown'!$V$11:$V$14</c:f>
              <c:strCache>
                <c:ptCount val="4"/>
                <c:pt idx="0">
                  <c:v>A</c:v>
                </c:pt>
                <c:pt idx="1">
                  <c:v>BBB</c:v>
                </c:pt>
                <c:pt idx="2">
                  <c:v>BB</c:v>
                </c:pt>
                <c:pt idx="3">
                  <c:v>B</c:v>
                </c:pt>
              </c:strCache>
            </c:strRef>
          </c:cat>
          <c:val>
            <c:numRef>
              <c:f>'rtg breakdown'!$AA$11:$AA$14</c:f>
              <c:numCache>
                <c:formatCode>#,##0</c:formatCode>
                <c:ptCount val="4"/>
                <c:pt idx="0">
                  <c:v>162.14803238218798</c:v>
                </c:pt>
                <c:pt idx="1">
                  <c:v>262.83576021814736</c:v>
                </c:pt>
                <c:pt idx="2">
                  <c:v>272.73378920621025</c:v>
                </c:pt>
                <c:pt idx="3">
                  <c:v>287.31876125104714</c:v>
                </c:pt>
              </c:numCache>
            </c:numRef>
          </c:val>
        </c:ser>
        <c:ser>
          <c:idx val="2"/>
          <c:order val="1"/>
          <c:tx>
            <c:strRef>
              <c:f>'rtg breakdown'!$V$23</c:f>
              <c:strCache>
                <c:ptCount val="1"/>
                <c:pt idx="0">
                  <c:v>ASIA</c:v>
                </c:pt>
              </c:strCache>
            </c:strRef>
          </c:tx>
          <c:spPr>
            <a:solidFill>
              <a:srgbClr val="FF6600"/>
            </a:solidFill>
            <a:ln w="12700">
              <a:solidFill>
                <a:srgbClr val="808080"/>
              </a:solidFill>
              <a:prstDash val="solid"/>
            </a:ln>
          </c:spPr>
          <c:invertIfNegative val="0"/>
          <c:cat>
            <c:strRef>
              <c:f>'rtg breakdown'!$V$11:$V$14</c:f>
              <c:strCache>
                <c:ptCount val="4"/>
                <c:pt idx="0">
                  <c:v>A</c:v>
                </c:pt>
                <c:pt idx="1">
                  <c:v>BBB</c:v>
                </c:pt>
                <c:pt idx="2">
                  <c:v>BB</c:v>
                </c:pt>
                <c:pt idx="3">
                  <c:v>B</c:v>
                </c:pt>
              </c:strCache>
            </c:strRef>
          </c:cat>
          <c:val>
            <c:numRef>
              <c:f>'rtg breakdown'!$AA$24:$AA$27</c:f>
              <c:numCache>
                <c:formatCode>#,##0</c:formatCode>
                <c:ptCount val="4"/>
                <c:pt idx="0">
                  <c:v>144.54262323971594</c:v>
                </c:pt>
                <c:pt idx="1">
                  <c:v>257.0135354453887</c:v>
                </c:pt>
                <c:pt idx="2">
                  <c:v>302.46032675074537</c:v>
                </c:pt>
                <c:pt idx="3">
                  <c:v>345.40336066243287</c:v>
                </c:pt>
              </c:numCache>
            </c:numRef>
          </c:val>
        </c:ser>
        <c:ser>
          <c:idx val="0"/>
          <c:order val="2"/>
          <c:tx>
            <c:strRef>
              <c:f>'rtg breakdown'!$V$16</c:f>
              <c:strCache>
                <c:ptCount val="1"/>
                <c:pt idx="0">
                  <c:v>EEMEA</c:v>
                </c:pt>
              </c:strCache>
            </c:strRef>
          </c:tx>
          <c:spPr>
            <a:solidFill>
              <a:srgbClr val="008080"/>
            </a:solidFill>
            <a:ln w="12700">
              <a:solidFill>
                <a:srgbClr val="808080"/>
              </a:solidFill>
              <a:prstDash val="solid"/>
            </a:ln>
          </c:spPr>
          <c:invertIfNegative val="0"/>
          <c:val>
            <c:numRef>
              <c:f>'rtg breakdown'!$AA$16:$AA$19</c:f>
              <c:numCache>
                <c:formatCode>#,##0</c:formatCode>
                <c:ptCount val="4"/>
                <c:pt idx="0" formatCode="General">
                  <c:v>0</c:v>
                </c:pt>
                <c:pt idx="1">
                  <c:v>161.39094756211398</c:v>
                </c:pt>
                <c:pt idx="2">
                  <c:v>451.96390592768188</c:v>
                </c:pt>
                <c:pt idx="3">
                  <c:v>380.84030841388488</c:v>
                </c:pt>
              </c:numCache>
            </c:numRef>
          </c:val>
        </c:ser>
        <c:dLbls>
          <c:showLegendKey val="0"/>
          <c:showVal val="0"/>
          <c:showCatName val="0"/>
          <c:showSerName val="0"/>
          <c:showPercent val="0"/>
          <c:showBubbleSize val="0"/>
        </c:dLbls>
        <c:gapWidth val="75"/>
        <c:axId val="579253376"/>
        <c:axId val="579254912"/>
      </c:barChart>
      <c:catAx>
        <c:axId val="579253376"/>
        <c:scaling>
          <c:orientation val="maxMin"/>
        </c:scaling>
        <c:delete val="0"/>
        <c:axPos val="l"/>
        <c:numFmt formatCode="yyyy"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Narrow"/>
                <a:ea typeface="Arial Narrow"/>
                <a:cs typeface="Arial Narrow"/>
              </a:defRPr>
            </a:pPr>
            <a:endParaRPr lang="en-US"/>
          </a:p>
        </c:txPr>
        <c:crossAx val="579254912"/>
        <c:crosses val="autoZero"/>
        <c:auto val="0"/>
        <c:lblAlgn val="ctr"/>
        <c:lblOffset val="100"/>
        <c:tickLblSkip val="1"/>
        <c:tickMarkSkip val="1"/>
        <c:noMultiLvlLbl val="0"/>
      </c:catAx>
      <c:valAx>
        <c:axId val="579254912"/>
        <c:scaling>
          <c:orientation val="minMax"/>
          <c:max val="500"/>
        </c:scaling>
        <c:delete val="0"/>
        <c:axPos val="t"/>
        <c:majorGridlines>
          <c:spPr>
            <a:ln w="12700">
              <a:solidFill>
                <a:srgbClr val="969696"/>
              </a:solidFill>
              <a:prstDash val="solid"/>
            </a:ln>
          </c:spPr>
        </c:majorGridlines>
        <c:title>
          <c:tx>
            <c:rich>
              <a:bodyPr/>
              <a:lstStyle/>
              <a:p>
                <a:pPr>
                  <a:defRPr sz="1175" b="0" i="0" u="none" strike="noStrike" baseline="0">
                    <a:solidFill>
                      <a:srgbClr val="000000"/>
                    </a:solidFill>
                    <a:latin typeface="Arial Narrow"/>
                    <a:ea typeface="Arial Narrow"/>
                    <a:cs typeface="Arial Narrow"/>
                  </a:defRPr>
                </a:pPr>
                <a:r>
                  <a:rPr lang="en-US"/>
                  <a:t>Spread per Turn of Net Leverage, bps/x</a:t>
                </a:r>
              </a:p>
            </c:rich>
          </c:tx>
          <c:layout>
            <c:manualLayout>
              <c:xMode val="edge"/>
              <c:yMode val="edge"/>
              <c:x val="0.34285742421991877"/>
              <c:y val="0.8900010864271074"/>
            </c:manualLayout>
          </c:layout>
          <c:overlay val="0"/>
          <c:spPr>
            <a:noFill/>
            <a:ln w="25400">
              <a:noFill/>
            </a:ln>
          </c:spPr>
        </c:title>
        <c:numFmt formatCode="0" sourceLinked="0"/>
        <c:majorTickMark val="none"/>
        <c:minorTickMark val="none"/>
        <c:tickLblPos val="high"/>
        <c:spPr>
          <a:ln w="3175">
            <a:solidFill>
              <a:srgbClr val="000000"/>
            </a:solidFill>
            <a:prstDash val="solid"/>
          </a:ln>
        </c:spPr>
        <c:txPr>
          <a:bodyPr rot="0" vert="horz"/>
          <a:lstStyle/>
          <a:p>
            <a:pPr>
              <a:defRPr sz="1200" b="0" i="0" u="none" strike="noStrike" baseline="0">
                <a:solidFill>
                  <a:srgbClr val="000000"/>
                </a:solidFill>
                <a:latin typeface="Arial Narrow"/>
                <a:ea typeface="Arial Narrow"/>
                <a:cs typeface="Arial Narrow"/>
              </a:defRPr>
            </a:pPr>
            <a:endParaRPr lang="en-US"/>
          </a:p>
        </c:txPr>
        <c:crossAx val="579253376"/>
        <c:crosses val="autoZero"/>
        <c:crossBetween val="between"/>
        <c:majorUnit val="50"/>
      </c:valAx>
      <c:spPr>
        <a:noFill/>
        <a:ln w="12700">
          <a:solidFill>
            <a:srgbClr val="808080"/>
          </a:solidFill>
          <a:prstDash val="solid"/>
        </a:ln>
      </c:spPr>
    </c:plotArea>
    <c:legend>
      <c:legendPos val="r"/>
      <c:layout>
        <c:manualLayout>
          <c:xMode val="edge"/>
          <c:yMode val="edge"/>
          <c:x val="0.58487442955162616"/>
          <c:y val="0.12250014953631536"/>
          <c:w val="0.3647061816456979"/>
          <c:h val="8.2500100708130741E-2"/>
        </c:manualLayout>
      </c:layout>
      <c:overlay val="0"/>
      <c:spPr>
        <a:solidFill>
          <a:srgbClr val="FFFFFF"/>
        </a:solidFill>
        <a:ln w="25400">
          <a:noFill/>
        </a:ln>
      </c:spPr>
      <c:txPr>
        <a:bodyPr/>
        <a:lstStyle/>
        <a:p>
          <a:pPr>
            <a:defRPr sz="1080" b="0" i="0" u="none" strike="noStrike" baseline="0">
              <a:solidFill>
                <a:srgbClr val="000000"/>
              </a:solidFill>
              <a:latin typeface="Arial Narrow"/>
              <a:ea typeface="Arial Narrow"/>
              <a:cs typeface="Arial Narrow"/>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166676703575364E-2"/>
          <c:y val="6.0000073242276908E-2"/>
          <c:w val="0.90500147298416822"/>
          <c:h val="0.73500089721789208"/>
        </c:manualLayout>
      </c:layout>
      <c:lineChart>
        <c:grouping val="standard"/>
        <c:varyColors val="0"/>
        <c:ser>
          <c:idx val="0"/>
          <c:order val="0"/>
          <c:tx>
            <c:strRef>
              <c:f>D.EM!$AK$3</c:f>
              <c:strCache>
                <c:ptCount val="1"/>
                <c:pt idx="0">
                  <c:v>LatAm HY vs. US</c:v>
                </c:pt>
              </c:strCache>
            </c:strRef>
          </c:tx>
          <c:spPr>
            <a:ln w="25400">
              <a:solidFill>
                <a:srgbClr val="003366"/>
              </a:solidFill>
              <a:prstDash val="solid"/>
            </a:ln>
          </c:spPr>
          <c:marker>
            <c:symbol val="diamond"/>
            <c:size val="7"/>
            <c:spPr>
              <a:solidFill>
                <a:srgbClr val="000080"/>
              </a:solidFill>
              <a:ln>
                <a:solidFill>
                  <a:srgbClr val="000080"/>
                </a:solidFill>
                <a:prstDash val="solid"/>
              </a:ln>
            </c:spPr>
          </c:marker>
          <c:cat>
            <c:numRef>
              <c:f>D.EM!$AE$4:$AE$29</c:f>
              <c:numCache>
                <c:formatCode>mm/dd/yyyy</c:formatCode>
                <c:ptCount val="26"/>
                <c:pt idx="0">
                  <c:v>38807</c:v>
                </c:pt>
                <c:pt idx="1">
                  <c:v>38898</c:v>
                </c:pt>
                <c:pt idx="2">
                  <c:v>38990</c:v>
                </c:pt>
                <c:pt idx="3">
                  <c:v>39082</c:v>
                </c:pt>
                <c:pt idx="4">
                  <c:v>39172</c:v>
                </c:pt>
                <c:pt idx="5">
                  <c:v>39263</c:v>
                </c:pt>
                <c:pt idx="6">
                  <c:v>39355</c:v>
                </c:pt>
                <c:pt idx="7">
                  <c:v>39447</c:v>
                </c:pt>
                <c:pt idx="8">
                  <c:v>39538</c:v>
                </c:pt>
                <c:pt idx="9">
                  <c:v>39629</c:v>
                </c:pt>
                <c:pt idx="10">
                  <c:v>39721</c:v>
                </c:pt>
                <c:pt idx="11">
                  <c:v>39813</c:v>
                </c:pt>
                <c:pt idx="12">
                  <c:v>39903</c:v>
                </c:pt>
                <c:pt idx="13">
                  <c:v>39994</c:v>
                </c:pt>
                <c:pt idx="14">
                  <c:v>40086</c:v>
                </c:pt>
                <c:pt idx="15">
                  <c:v>40178</c:v>
                </c:pt>
                <c:pt idx="16">
                  <c:v>40268</c:v>
                </c:pt>
                <c:pt idx="17">
                  <c:v>40359</c:v>
                </c:pt>
                <c:pt idx="18">
                  <c:v>40451</c:v>
                </c:pt>
                <c:pt idx="19">
                  <c:v>40543</c:v>
                </c:pt>
                <c:pt idx="20">
                  <c:v>40633</c:v>
                </c:pt>
                <c:pt idx="21">
                  <c:v>40724</c:v>
                </c:pt>
                <c:pt idx="22">
                  <c:v>40816</c:v>
                </c:pt>
                <c:pt idx="23">
                  <c:v>40908</c:v>
                </c:pt>
                <c:pt idx="24">
                  <c:v>40999</c:v>
                </c:pt>
                <c:pt idx="25">
                  <c:v>41090</c:v>
                </c:pt>
              </c:numCache>
            </c:numRef>
          </c:cat>
          <c:val>
            <c:numRef>
              <c:f>D.EM!$AK$4:$AK$29</c:f>
              <c:numCache>
                <c:formatCode>#,##0.0</c:formatCode>
                <c:ptCount val="26"/>
                <c:pt idx="0">
                  <c:v>1.4378481211927063</c:v>
                </c:pt>
                <c:pt idx="1">
                  <c:v>1.6649708663656688</c:v>
                </c:pt>
                <c:pt idx="2">
                  <c:v>1.3949995734413412</c:v>
                </c:pt>
                <c:pt idx="3">
                  <c:v>1.3042777940272283</c:v>
                </c:pt>
                <c:pt idx="4">
                  <c:v>1.3399738448051308</c:v>
                </c:pt>
                <c:pt idx="5">
                  <c:v>1.2234229194631969</c:v>
                </c:pt>
                <c:pt idx="6">
                  <c:v>1.2325035733759413</c:v>
                </c:pt>
                <c:pt idx="7">
                  <c:v>1.1075275111001144</c:v>
                </c:pt>
                <c:pt idx="8">
                  <c:v>1.7053321975603104</c:v>
                </c:pt>
                <c:pt idx="9">
                  <c:v>2.0237957107293325</c:v>
                </c:pt>
                <c:pt idx="10">
                  <c:v>2.3191271971527772</c:v>
                </c:pt>
                <c:pt idx="11">
                  <c:v>1.9589423442161853</c:v>
                </c:pt>
                <c:pt idx="12">
                  <c:v>1.7393978079195505</c:v>
                </c:pt>
                <c:pt idx="13">
                  <c:v>1.4462229918855485</c:v>
                </c:pt>
                <c:pt idx="14">
                  <c:v>1.2130689413451969</c:v>
                </c:pt>
                <c:pt idx="15">
                  <c:v>1.3952289781848313</c:v>
                </c:pt>
                <c:pt idx="16">
                  <c:v>1.3206481837992452</c:v>
                </c:pt>
                <c:pt idx="17">
                  <c:v>1.2579672886394555</c:v>
                </c:pt>
                <c:pt idx="18">
                  <c:v>1.2450302702669065</c:v>
                </c:pt>
                <c:pt idx="19">
                  <c:v>1.2007086641716396</c:v>
                </c:pt>
                <c:pt idx="20">
                  <c:v>1.1594657136841424</c:v>
                </c:pt>
                <c:pt idx="21">
                  <c:v>1.2186091806734676</c:v>
                </c:pt>
                <c:pt idx="22">
                  <c:v>1.4106694754570779</c:v>
                </c:pt>
                <c:pt idx="23">
                  <c:v>1.4755928970768641</c:v>
                </c:pt>
                <c:pt idx="24">
                  <c:v>1.3691167672063778</c:v>
                </c:pt>
                <c:pt idx="25">
                  <c:v>1.6992060404256428</c:v>
                </c:pt>
              </c:numCache>
            </c:numRef>
          </c:val>
          <c:smooth val="0"/>
        </c:ser>
        <c:ser>
          <c:idx val="1"/>
          <c:order val="1"/>
          <c:tx>
            <c:strRef>
              <c:f>D.EM!$AN$3</c:f>
              <c:strCache>
                <c:ptCount val="1"/>
                <c:pt idx="0">
                  <c:v>EMEA HY vs. US</c:v>
                </c:pt>
              </c:strCache>
            </c:strRef>
          </c:tx>
          <c:spPr>
            <a:ln w="25400">
              <a:solidFill>
                <a:srgbClr val="008080"/>
              </a:solidFill>
              <a:prstDash val="solid"/>
            </a:ln>
          </c:spPr>
          <c:marker>
            <c:symbol val="triangle"/>
            <c:size val="7"/>
            <c:spPr>
              <a:solidFill>
                <a:srgbClr val="008080"/>
              </a:solidFill>
              <a:ln>
                <a:solidFill>
                  <a:srgbClr val="008080"/>
                </a:solidFill>
                <a:prstDash val="solid"/>
              </a:ln>
            </c:spPr>
          </c:marker>
          <c:cat>
            <c:numRef>
              <c:f>D.EM!$AE$4:$AE$29</c:f>
              <c:numCache>
                <c:formatCode>mm/dd/yyyy</c:formatCode>
                <c:ptCount val="26"/>
                <c:pt idx="0">
                  <c:v>38807</c:v>
                </c:pt>
                <c:pt idx="1">
                  <c:v>38898</c:v>
                </c:pt>
                <c:pt idx="2">
                  <c:v>38990</c:v>
                </c:pt>
                <c:pt idx="3">
                  <c:v>39082</c:v>
                </c:pt>
                <c:pt idx="4">
                  <c:v>39172</c:v>
                </c:pt>
                <c:pt idx="5">
                  <c:v>39263</c:v>
                </c:pt>
                <c:pt idx="6">
                  <c:v>39355</c:v>
                </c:pt>
                <c:pt idx="7">
                  <c:v>39447</c:v>
                </c:pt>
                <c:pt idx="8">
                  <c:v>39538</c:v>
                </c:pt>
                <c:pt idx="9">
                  <c:v>39629</c:v>
                </c:pt>
                <c:pt idx="10">
                  <c:v>39721</c:v>
                </c:pt>
                <c:pt idx="11">
                  <c:v>39813</c:v>
                </c:pt>
                <c:pt idx="12">
                  <c:v>39903</c:v>
                </c:pt>
                <c:pt idx="13">
                  <c:v>39994</c:v>
                </c:pt>
                <c:pt idx="14">
                  <c:v>40086</c:v>
                </c:pt>
                <c:pt idx="15">
                  <c:v>40178</c:v>
                </c:pt>
                <c:pt idx="16">
                  <c:v>40268</c:v>
                </c:pt>
                <c:pt idx="17">
                  <c:v>40359</c:v>
                </c:pt>
                <c:pt idx="18">
                  <c:v>40451</c:v>
                </c:pt>
                <c:pt idx="19">
                  <c:v>40543</c:v>
                </c:pt>
                <c:pt idx="20">
                  <c:v>40633</c:v>
                </c:pt>
                <c:pt idx="21">
                  <c:v>40724</c:v>
                </c:pt>
                <c:pt idx="22">
                  <c:v>40816</c:v>
                </c:pt>
                <c:pt idx="23">
                  <c:v>40908</c:v>
                </c:pt>
                <c:pt idx="24">
                  <c:v>40999</c:v>
                </c:pt>
                <c:pt idx="25">
                  <c:v>41090</c:v>
                </c:pt>
              </c:numCache>
            </c:numRef>
          </c:cat>
          <c:val>
            <c:numRef>
              <c:f>D.EM!$AN$4:$AN$29</c:f>
              <c:numCache>
                <c:formatCode>#,##0.0</c:formatCode>
                <c:ptCount val="26"/>
                <c:pt idx="0">
                  <c:v>2.7416628075171503</c:v>
                </c:pt>
                <c:pt idx="1">
                  <c:v>3.4462558370331879</c:v>
                </c:pt>
                <c:pt idx="2">
                  <c:v>2.3981465980741561</c:v>
                </c:pt>
                <c:pt idx="3">
                  <c:v>2.4083132276128927</c:v>
                </c:pt>
                <c:pt idx="4">
                  <c:v>2.9927928800683627</c:v>
                </c:pt>
                <c:pt idx="5">
                  <c:v>2.8374383103602034</c:v>
                </c:pt>
                <c:pt idx="6">
                  <c:v>2.7177053017522197</c:v>
                </c:pt>
                <c:pt idx="7">
                  <c:v>2.6068390331221121</c:v>
                </c:pt>
                <c:pt idx="8">
                  <c:v>1.7143074322685987</c:v>
                </c:pt>
                <c:pt idx="9">
                  <c:v>1.9474699283252459</c:v>
                </c:pt>
                <c:pt idx="10">
                  <c:v>3.3835120169072104</c:v>
                </c:pt>
                <c:pt idx="11">
                  <c:v>3.4683261683760773</c:v>
                </c:pt>
                <c:pt idx="12">
                  <c:v>2.6030226969132446</c:v>
                </c:pt>
                <c:pt idx="13">
                  <c:v>2.1351061442990393</c:v>
                </c:pt>
                <c:pt idx="14">
                  <c:v>1.3304008912037724</c:v>
                </c:pt>
                <c:pt idx="15">
                  <c:v>1.378128186024544</c:v>
                </c:pt>
                <c:pt idx="16">
                  <c:v>1.0703449053510132</c:v>
                </c:pt>
                <c:pt idx="17">
                  <c:v>1.2817611159985565</c:v>
                </c:pt>
                <c:pt idx="18">
                  <c:v>1.209730294370039</c:v>
                </c:pt>
                <c:pt idx="19">
                  <c:v>1.2440798418385146</c:v>
                </c:pt>
                <c:pt idx="20">
                  <c:v>1.4306872206593826</c:v>
                </c:pt>
                <c:pt idx="21">
                  <c:v>1.3962420843857222</c:v>
                </c:pt>
                <c:pt idx="22">
                  <c:v>1.6906760562269294</c:v>
                </c:pt>
                <c:pt idx="23">
                  <c:v>2.0412858529550171</c:v>
                </c:pt>
                <c:pt idx="24">
                  <c:v>1.6953834685880775</c:v>
                </c:pt>
                <c:pt idx="25">
                  <c:v>2.0684888689393257</c:v>
                </c:pt>
              </c:numCache>
            </c:numRef>
          </c:val>
          <c:smooth val="0"/>
        </c:ser>
        <c:ser>
          <c:idx val="2"/>
          <c:order val="2"/>
          <c:tx>
            <c:strRef>
              <c:f>D.EM!$AQ$3</c:f>
              <c:strCache>
                <c:ptCount val="1"/>
                <c:pt idx="0">
                  <c:v>Asia HY vs. US</c:v>
                </c:pt>
              </c:strCache>
            </c:strRef>
          </c:tx>
          <c:spPr>
            <a:ln w="25400">
              <a:solidFill>
                <a:srgbClr val="FF6600"/>
              </a:solidFill>
              <a:prstDash val="solid"/>
            </a:ln>
          </c:spPr>
          <c:marker>
            <c:symbol val="square"/>
            <c:size val="7"/>
            <c:spPr>
              <a:solidFill>
                <a:srgbClr val="FF6600"/>
              </a:solidFill>
              <a:ln>
                <a:solidFill>
                  <a:srgbClr val="FF6600"/>
                </a:solidFill>
                <a:prstDash val="solid"/>
              </a:ln>
            </c:spPr>
          </c:marker>
          <c:cat>
            <c:numRef>
              <c:f>D.EM!$AE$4:$AE$29</c:f>
              <c:numCache>
                <c:formatCode>mm/dd/yyyy</c:formatCode>
                <c:ptCount val="26"/>
                <c:pt idx="0">
                  <c:v>38807</c:v>
                </c:pt>
                <c:pt idx="1">
                  <c:v>38898</c:v>
                </c:pt>
                <c:pt idx="2">
                  <c:v>38990</c:v>
                </c:pt>
                <c:pt idx="3">
                  <c:v>39082</c:v>
                </c:pt>
                <c:pt idx="4">
                  <c:v>39172</c:v>
                </c:pt>
                <c:pt idx="5">
                  <c:v>39263</c:v>
                </c:pt>
                <c:pt idx="6">
                  <c:v>39355</c:v>
                </c:pt>
                <c:pt idx="7">
                  <c:v>39447</c:v>
                </c:pt>
                <c:pt idx="8">
                  <c:v>39538</c:v>
                </c:pt>
                <c:pt idx="9">
                  <c:v>39629</c:v>
                </c:pt>
                <c:pt idx="10">
                  <c:v>39721</c:v>
                </c:pt>
                <c:pt idx="11">
                  <c:v>39813</c:v>
                </c:pt>
                <c:pt idx="12">
                  <c:v>39903</c:v>
                </c:pt>
                <c:pt idx="13">
                  <c:v>39994</c:v>
                </c:pt>
                <c:pt idx="14">
                  <c:v>40086</c:v>
                </c:pt>
                <c:pt idx="15">
                  <c:v>40178</c:v>
                </c:pt>
                <c:pt idx="16">
                  <c:v>40268</c:v>
                </c:pt>
                <c:pt idx="17">
                  <c:v>40359</c:v>
                </c:pt>
                <c:pt idx="18">
                  <c:v>40451</c:v>
                </c:pt>
                <c:pt idx="19">
                  <c:v>40543</c:v>
                </c:pt>
                <c:pt idx="20">
                  <c:v>40633</c:v>
                </c:pt>
                <c:pt idx="21">
                  <c:v>40724</c:v>
                </c:pt>
                <c:pt idx="22">
                  <c:v>40816</c:v>
                </c:pt>
                <c:pt idx="23">
                  <c:v>40908</c:v>
                </c:pt>
                <c:pt idx="24">
                  <c:v>40999</c:v>
                </c:pt>
                <c:pt idx="25">
                  <c:v>41090</c:v>
                </c:pt>
              </c:numCache>
            </c:numRef>
          </c:cat>
          <c:val>
            <c:numRef>
              <c:f>D.EM!$AQ$4:$AQ$29</c:f>
              <c:numCache>
                <c:formatCode>#,##0.0</c:formatCode>
                <c:ptCount val="26"/>
                <c:pt idx="0">
                  <c:v>1.4074084225769405</c:v>
                </c:pt>
                <c:pt idx="1">
                  <c:v>1.7196910198691882</c:v>
                </c:pt>
                <c:pt idx="2">
                  <c:v>1.5987341232415742</c:v>
                </c:pt>
                <c:pt idx="3">
                  <c:v>1.7606259923305192</c:v>
                </c:pt>
                <c:pt idx="4">
                  <c:v>1.7777060076442082</c:v>
                </c:pt>
                <c:pt idx="5">
                  <c:v>1.6802165425683873</c:v>
                </c:pt>
                <c:pt idx="6">
                  <c:v>1.3891568714298337</c:v>
                </c:pt>
                <c:pt idx="7">
                  <c:v>1.3609919926567637</c:v>
                </c:pt>
                <c:pt idx="8">
                  <c:v>1.2898916187539733</c:v>
                </c:pt>
                <c:pt idx="9">
                  <c:v>1.3552083579193781</c:v>
                </c:pt>
                <c:pt idx="10">
                  <c:v>1.2365001622209935</c:v>
                </c:pt>
                <c:pt idx="11">
                  <c:v>1.5412127125277768</c:v>
                </c:pt>
                <c:pt idx="12">
                  <c:v>1.5877608634693035</c:v>
                </c:pt>
                <c:pt idx="13">
                  <c:v>1.4514653823278751</c:v>
                </c:pt>
                <c:pt idx="14">
                  <c:v>1.2296788552818567</c:v>
                </c:pt>
                <c:pt idx="15">
                  <c:v>1.4377154402649632</c:v>
                </c:pt>
                <c:pt idx="16">
                  <c:v>1.1786755401418492</c:v>
                </c:pt>
                <c:pt idx="17">
                  <c:v>1.4835039202976852</c:v>
                </c:pt>
                <c:pt idx="18">
                  <c:v>1.5081563772520956</c:v>
                </c:pt>
                <c:pt idx="19">
                  <c:v>1.6296718179686056</c:v>
                </c:pt>
                <c:pt idx="20">
                  <c:v>2.3020749964089116</c:v>
                </c:pt>
                <c:pt idx="21">
                  <c:v>1.9975476331180699</c:v>
                </c:pt>
                <c:pt idx="22">
                  <c:v>2.205291754528734</c:v>
                </c:pt>
                <c:pt idx="23">
                  <c:v>2.3918996597345257</c:v>
                </c:pt>
                <c:pt idx="24">
                  <c:v>1.7417167737738473</c:v>
                </c:pt>
                <c:pt idx="25">
                  <c:v>1.8861333019924786</c:v>
                </c:pt>
              </c:numCache>
            </c:numRef>
          </c:val>
          <c:smooth val="0"/>
        </c:ser>
        <c:dLbls>
          <c:showLegendKey val="0"/>
          <c:showVal val="0"/>
          <c:showCatName val="0"/>
          <c:showSerName val="0"/>
          <c:showPercent val="0"/>
          <c:showBubbleSize val="0"/>
        </c:dLbls>
        <c:marker val="1"/>
        <c:smooth val="0"/>
        <c:axId val="574991360"/>
        <c:axId val="575001728"/>
      </c:lineChart>
      <c:dateAx>
        <c:axId val="574991360"/>
        <c:scaling>
          <c:orientation val="minMax"/>
        </c:scaling>
        <c:delete val="0"/>
        <c:axPos val="b"/>
        <c:numFmt formatCode="yyyy"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Narrow"/>
                <a:ea typeface="Arial Narrow"/>
                <a:cs typeface="Arial Narrow"/>
              </a:defRPr>
            </a:pPr>
            <a:endParaRPr lang="en-US"/>
          </a:p>
        </c:txPr>
        <c:crossAx val="575001728"/>
        <c:crosses val="autoZero"/>
        <c:auto val="1"/>
        <c:lblOffset val="100"/>
        <c:baseTimeUnit val="months"/>
        <c:majorUnit val="1"/>
        <c:majorTimeUnit val="years"/>
        <c:minorUnit val="6"/>
        <c:minorTimeUnit val="months"/>
      </c:dateAx>
      <c:valAx>
        <c:axId val="575001728"/>
        <c:scaling>
          <c:orientation val="minMax"/>
          <c:max val="3.5"/>
          <c:min val="1"/>
        </c:scaling>
        <c:delete val="0"/>
        <c:axPos val="l"/>
        <c:majorGridlines>
          <c:spPr>
            <a:ln w="3175">
              <a:solidFill>
                <a:srgbClr val="969696"/>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Narrow"/>
                <a:ea typeface="Arial Narrow"/>
                <a:cs typeface="Arial Narrow"/>
              </a:defRPr>
            </a:pPr>
            <a:endParaRPr lang="en-US"/>
          </a:p>
        </c:txPr>
        <c:crossAx val="574991360"/>
        <c:crosses val="autoZero"/>
        <c:crossBetween val="between"/>
      </c:valAx>
      <c:spPr>
        <a:solidFill>
          <a:srgbClr val="FFFFFF"/>
        </a:solidFill>
        <a:ln w="3175">
          <a:solidFill>
            <a:srgbClr val="000000"/>
          </a:solidFill>
          <a:prstDash val="solid"/>
        </a:ln>
      </c:spPr>
    </c:plotArea>
    <c:legend>
      <c:legendPos val="b"/>
      <c:layout>
        <c:manualLayout>
          <c:xMode val="edge"/>
          <c:yMode val="edge"/>
          <c:x val="1.3333355034757544E-2"/>
          <c:y val="0.89750109558239211"/>
          <c:w val="0.98000159505467943"/>
          <c:h val="6.5000079345799988E-2"/>
        </c:manualLayout>
      </c:layout>
      <c:overlay val="0"/>
      <c:spPr>
        <a:solidFill>
          <a:srgbClr val="FFFFFF"/>
        </a:solidFill>
        <a:ln w="25400">
          <a:noFill/>
        </a:ln>
      </c:spPr>
      <c:txPr>
        <a:bodyPr/>
        <a:lstStyle/>
        <a:p>
          <a:pPr>
            <a:defRPr sz="1100" b="0" i="0" u="none" strike="noStrike" baseline="0">
              <a:solidFill>
                <a:srgbClr val="000000"/>
              </a:solidFill>
              <a:latin typeface="Arial Narrow"/>
              <a:ea typeface="Arial Narrow"/>
              <a:cs typeface="Arial Narrow"/>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500021972692014"/>
          <c:y val="4.7500057983469221E-2"/>
          <c:w val="0.8316680202930018"/>
          <c:h val="0.73250089416613062"/>
        </c:manualLayout>
      </c:layout>
      <c:lineChart>
        <c:grouping val="standard"/>
        <c:varyColors val="0"/>
        <c:ser>
          <c:idx val="0"/>
          <c:order val="0"/>
          <c:tx>
            <c:strRef>
              <c:f>D.EM!$AI$3</c:f>
              <c:strCache>
                <c:ptCount val="1"/>
                <c:pt idx="0">
                  <c:v>LatAm vs. US</c:v>
                </c:pt>
              </c:strCache>
            </c:strRef>
          </c:tx>
          <c:spPr>
            <a:ln w="25400">
              <a:solidFill>
                <a:srgbClr val="003366"/>
              </a:solidFill>
              <a:prstDash val="solid"/>
            </a:ln>
          </c:spPr>
          <c:marker>
            <c:symbol val="diamond"/>
            <c:size val="7"/>
            <c:spPr>
              <a:solidFill>
                <a:srgbClr val="000080"/>
              </a:solidFill>
              <a:ln>
                <a:solidFill>
                  <a:srgbClr val="000080"/>
                </a:solidFill>
                <a:prstDash val="solid"/>
              </a:ln>
            </c:spPr>
          </c:marker>
          <c:cat>
            <c:numRef>
              <c:f>D.EM!$AE$4:$AE$29</c:f>
              <c:numCache>
                <c:formatCode>mm/dd/yyyy</c:formatCode>
                <c:ptCount val="26"/>
                <c:pt idx="0">
                  <c:v>38807</c:v>
                </c:pt>
                <c:pt idx="1">
                  <c:v>38898</c:v>
                </c:pt>
                <c:pt idx="2">
                  <c:v>38990</c:v>
                </c:pt>
                <c:pt idx="3">
                  <c:v>39082</c:v>
                </c:pt>
                <c:pt idx="4">
                  <c:v>39172</c:v>
                </c:pt>
                <c:pt idx="5">
                  <c:v>39263</c:v>
                </c:pt>
                <c:pt idx="6">
                  <c:v>39355</c:v>
                </c:pt>
                <c:pt idx="7">
                  <c:v>39447</c:v>
                </c:pt>
                <c:pt idx="8">
                  <c:v>39538</c:v>
                </c:pt>
                <c:pt idx="9">
                  <c:v>39629</c:v>
                </c:pt>
                <c:pt idx="10">
                  <c:v>39721</c:v>
                </c:pt>
                <c:pt idx="11">
                  <c:v>39813</c:v>
                </c:pt>
                <c:pt idx="12">
                  <c:v>39903</c:v>
                </c:pt>
                <c:pt idx="13">
                  <c:v>39994</c:v>
                </c:pt>
                <c:pt idx="14">
                  <c:v>40086</c:v>
                </c:pt>
                <c:pt idx="15">
                  <c:v>40178</c:v>
                </c:pt>
                <c:pt idx="16">
                  <c:v>40268</c:v>
                </c:pt>
                <c:pt idx="17">
                  <c:v>40359</c:v>
                </c:pt>
                <c:pt idx="18">
                  <c:v>40451</c:v>
                </c:pt>
                <c:pt idx="19">
                  <c:v>40543</c:v>
                </c:pt>
                <c:pt idx="20">
                  <c:v>40633</c:v>
                </c:pt>
                <c:pt idx="21">
                  <c:v>40724</c:v>
                </c:pt>
                <c:pt idx="22">
                  <c:v>40816</c:v>
                </c:pt>
                <c:pt idx="23">
                  <c:v>40908</c:v>
                </c:pt>
                <c:pt idx="24">
                  <c:v>40999</c:v>
                </c:pt>
                <c:pt idx="25">
                  <c:v>41090</c:v>
                </c:pt>
              </c:numCache>
            </c:numRef>
          </c:cat>
          <c:val>
            <c:numRef>
              <c:f>D.EM!$AI$4:$AI$29</c:f>
              <c:numCache>
                <c:formatCode>#,##0.0</c:formatCode>
                <c:ptCount val="26"/>
                <c:pt idx="0">
                  <c:v>2.1260150313263342</c:v>
                </c:pt>
                <c:pt idx="1">
                  <c:v>2.4526774445930193</c:v>
                </c:pt>
                <c:pt idx="2">
                  <c:v>2.3121622798338963</c:v>
                </c:pt>
                <c:pt idx="3">
                  <c:v>2.0914713811386356</c:v>
                </c:pt>
                <c:pt idx="4">
                  <c:v>2.0515321640407351</c:v>
                </c:pt>
                <c:pt idx="5">
                  <c:v>1.9626068704894739</c:v>
                </c:pt>
                <c:pt idx="6">
                  <c:v>1.8553766769041362</c:v>
                </c:pt>
                <c:pt idx="7">
                  <c:v>2.1140107214551573</c:v>
                </c:pt>
                <c:pt idx="8">
                  <c:v>2.5229679929536672</c:v>
                </c:pt>
                <c:pt idx="9">
                  <c:v>2.3962947707734275</c:v>
                </c:pt>
                <c:pt idx="10">
                  <c:v>2.4244890430654147</c:v>
                </c:pt>
                <c:pt idx="11">
                  <c:v>2.64272041391441</c:v>
                </c:pt>
                <c:pt idx="12">
                  <c:v>2.0641563773303861</c:v>
                </c:pt>
                <c:pt idx="13">
                  <c:v>1.7385596160970009</c:v>
                </c:pt>
                <c:pt idx="14">
                  <c:v>1.5580086867950607</c:v>
                </c:pt>
                <c:pt idx="15">
                  <c:v>1.5352557692956526</c:v>
                </c:pt>
                <c:pt idx="16">
                  <c:v>1.6784940842437264</c:v>
                </c:pt>
                <c:pt idx="17">
                  <c:v>1.7841322126883841</c:v>
                </c:pt>
                <c:pt idx="18">
                  <c:v>1.9017239633852185</c:v>
                </c:pt>
                <c:pt idx="19">
                  <c:v>1.6143141944338668</c:v>
                </c:pt>
                <c:pt idx="20">
                  <c:v>1.7852454745441571</c:v>
                </c:pt>
                <c:pt idx="21">
                  <c:v>1.8431957298964605</c:v>
                </c:pt>
                <c:pt idx="22">
                  <c:v>2.0521103838781403</c:v>
                </c:pt>
                <c:pt idx="23">
                  <c:v>1.8574769043018711</c:v>
                </c:pt>
                <c:pt idx="24">
                  <c:v>1.7695713685636032</c:v>
                </c:pt>
                <c:pt idx="25">
                  <c:v>1.8408881155697203</c:v>
                </c:pt>
              </c:numCache>
            </c:numRef>
          </c:val>
          <c:smooth val="0"/>
        </c:ser>
        <c:ser>
          <c:idx val="1"/>
          <c:order val="1"/>
          <c:tx>
            <c:strRef>
              <c:f>D.EM!$AJ$3</c:f>
              <c:strCache>
                <c:ptCount val="1"/>
                <c:pt idx="0">
                  <c:v>LatAm IG vs. US</c:v>
                </c:pt>
              </c:strCache>
            </c:strRef>
          </c:tx>
          <c:spPr>
            <a:ln w="25400">
              <a:solidFill>
                <a:srgbClr val="008080"/>
              </a:solidFill>
              <a:prstDash val="solid"/>
            </a:ln>
          </c:spPr>
          <c:marker>
            <c:symbol val="triangle"/>
            <c:size val="7"/>
            <c:spPr>
              <a:solidFill>
                <a:srgbClr val="008080"/>
              </a:solidFill>
              <a:ln>
                <a:solidFill>
                  <a:srgbClr val="008080"/>
                </a:solidFill>
                <a:prstDash val="solid"/>
              </a:ln>
            </c:spPr>
          </c:marker>
          <c:cat>
            <c:numRef>
              <c:f>D.EM!$AE$4:$AE$29</c:f>
              <c:numCache>
                <c:formatCode>mm/dd/yyyy</c:formatCode>
                <c:ptCount val="26"/>
                <c:pt idx="0">
                  <c:v>38807</c:v>
                </c:pt>
                <c:pt idx="1">
                  <c:v>38898</c:v>
                </c:pt>
                <c:pt idx="2">
                  <c:v>38990</c:v>
                </c:pt>
                <c:pt idx="3">
                  <c:v>39082</c:v>
                </c:pt>
                <c:pt idx="4">
                  <c:v>39172</c:v>
                </c:pt>
                <c:pt idx="5">
                  <c:v>39263</c:v>
                </c:pt>
                <c:pt idx="6">
                  <c:v>39355</c:v>
                </c:pt>
                <c:pt idx="7">
                  <c:v>39447</c:v>
                </c:pt>
                <c:pt idx="8">
                  <c:v>39538</c:v>
                </c:pt>
                <c:pt idx="9">
                  <c:v>39629</c:v>
                </c:pt>
                <c:pt idx="10">
                  <c:v>39721</c:v>
                </c:pt>
                <c:pt idx="11">
                  <c:v>39813</c:v>
                </c:pt>
                <c:pt idx="12">
                  <c:v>39903</c:v>
                </c:pt>
                <c:pt idx="13">
                  <c:v>39994</c:v>
                </c:pt>
                <c:pt idx="14">
                  <c:v>40086</c:v>
                </c:pt>
                <c:pt idx="15">
                  <c:v>40178</c:v>
                </c:pt>
                <c:pt idx="16">
                  <c:v>40268</c:v>
                </c:pt>
                <c:pt idx="17">
                  <c:v>40359</c:v>
                </c:pt>
                <c:pt idx="18">
                  <c:v>40451</c:v>
                </c:pt>
                <c:pt idx="19">
                  <c:v>40543</c:v>
                </c:pt>
                <c:pt idx="20">
                  <c:v>40633</c:v>
                </c:pt>
                <c:pt idx="21">
                  <c:v>40724</c:v>
                </c:pt>
                <c:pt idx="22">
                  <c:v>40816</c:v>
                </c:pt>
                <c:pt idx="23">
                  <c:v>40908</c:v>
                </c:pt>
                <c:pt idx="24">
                  <c:v>40999</c:v>
                </c:pt>
                <c:pt idx="25">
                  <c:v>41090</c:v>
                </c:pt>
              </c:numCache>
            </c:numRef>
          </c:cat>
          <c:val>
            <c:numRef>
              <c:f>D.EM!$AJ$4:$AJ$29</c:f>
              <c:numCache>
                <c:formatCode>#,##0.0</c:formatCode>
                <c:ptCount val="26"/>
                <c:pt idx="0">
                  <c:v>3.1066188373354793</c:v>
                </c:pt>
                <c:pt idx="1">
                  <c:v>3.5066747765192581</c:v>
                </c:pt>
                <c:pt idx="2">
                  <c:v>3.2578349205627957</c:v>
                </c:pt>
                <c:pt idx="3">
                  <c:v>2.8448567397799298</c:v>
                </c:pt>
                <c:pt idx="4">
                  <c:v>2.616776416493571</c:v>
                </c:pt>
                <c:pt idx="5">
                  <c:v>2.4668770903549251</c:v>
                </c:pt>
                <c:pt idx="6">
                  <c:v>2.2656196679162837</c:v>
                </c:pt>
                <c:pt idx="7">
                  <c:v>2.6874286174937376</c:v>
                </c:pt>
                <c:pt idx="8">
                  <c:v>2.6680325887070278</c:v>
                </c:pt>
                <c:pt idx="9">
                  <c:v>2.3446018646209037</c:v>
                </c:pt>
                <c:pt idx="10">
                  <c:v>2.1534362990537326</c:v>
                </c:pt>
                <c:pt idx="11">
                  <c:v>2.4811601290367018</c:v>
                </c:pt>
                <c:pt idx="12">
                  <c:v>1.8428039157887812</c:v>
                </c:pt>
                <c:pt idx="13">
                  <c:v>1.5209343419981391</c:v>
                </c:pt>
                <c:pt idx="14">
                  <c:v>1.5474478004720778</c:v>
                </c:pt>
                <c:pt idx="15">
                  <c:v>1.4432427408114412</c:v>
                </c:pt>
                <c:pt idx="16">
                  <c:v>1.6849812122530499</c:v>
                </c:pt>
                <c:pt idx="17">
                  <c:v>2.015371294340393</c:v>
                </c:pt>
                <c:pt idx="18">
                  <c:v>2.0836812893844532</c:v>
                </c:pt>
                <c:pt idx="19">
                  <c:v>1.6795985634866542</c:v>
                </c:pt>
                <c:pt idx="20">
                  <c:v>1.9429327071593563</c:v>
                </c:pt>
                <c:pt idx="21">
                  <c:v>1.9053783098123354</c:v>
                </c:pt>
                <c:pt idx="22">
                  <c:v>2.0390595111033822</c:v>
                </c:pt>
                <c:pt idx="23">
                  <c:v>1.7085133616835129</c:v>
                </c:pt>
                <c:pt idx="24">
                  <c:v>1.7237004680059975</c:v>
                </c:pt>
                <c:pt idx="25">
                  <c:v>1.7168508905958755</c:v>
                </c:pt>
              </c:numCache>
            </c:numRef>
          </c:val>
          <c:smooth val="0"/>
        </c:ser>
        <c:ser>
          <c:idx val="2"/>
          <c:order val="2"/>
          <c:tx>
            <c:strRef>
              <c:f>D.EM!$AK$3</c:f>
              <c:strCache>
                <c:ptCount val="1"/>
                <c:pt idx="0">
                  <c:v>LatAm HY vs. US</c:v>
                </c:pt>
              </c:strCache>
            </c:strRef>
          </c:tx>
          <c:spPr>
            <a:ln w="25400">
              <a:solidFill>
                <a:srgbClr val="FF6600"/>
              </a:solidFill>
              <a:prstDash val="solid"/>
            </a:ln>
          </c:spPr>
          <c:marker>
            <c:symbol val="square"/>
            <c:size val="7"/>
            <c:spPr>
              <a:solidFill>
                <a:srgbClr val="FF6600"/>
              </a:solidFill>
              <a:ln>
                <a:solidFill>
                  <a:srgbClr val="FF6600"/>
                </a:solidFill>
                <a:prstDash val="solid"/>
              </a:ln>
            </c:spPr>
          </c:marker>
          <c:cat>
            <c:numRef>
              <c:f>D.EM!$AE$4:$AE$29</c:f>
              <c:numCache>
                <c:formatCode>mm/dd/yyyy</c:formatCode>
                <c:ptCount val="26"/>
                <c:pt idx="0">
                  <c:v>38807</c:v>
                </c:pt>
                <c:pt idx="1">
                  <c:v>38898</c:v>
                </c:pt>
                <c:pt idx="2">
                  <c:v>38990</c:v>
                </c:pt>
                <c:pt idx="3">
                  <c:v>39082</c:v>
                </c:pt>
                <c:pt idx="4">
                  <c:v>39172</c:v>
                </c:pt>
                <c:pt idx="5">
                  <c:v>39263</c:v>
                </c:pt>
                <c:pt idx="6">
                  <c:v>39355</c:v>
                </c:pt>
                <c:pt idx="7">
                  <c:v>39447</c:v>
                </c:pt>
                <c:pt idx="8">
                  <c:v>39538</c:v>
                </c:pt>
                <c:pt idx="9">
                  <c:v>39629</c:v>
                </c:pt>
                <c:pt idx="10">
                  <c:v>39721</c:v>
                </c:pt>
                <c:pt idx="11">
                  <c:v>39813</c:v>
                </c:pt>
                <c:pt idx="12">
                  <c:v>39903</c:v>
                </c:pt>
                <c:pt idx="13">
                  <c:v>39994</c:v>
                </c:pt>
                <c:pt idx="14">
                  <c:v>40086</c:v>
                </c:pt>
                <c:pt idx="15">
                  <c:v>40178</c:v>
                </c:pt>
                <c:pt idx="16">
                  <c:v>40268</c:v>
                </c:pt>
                <c:pt idx="17">
                  <c:v>40359</c:v>
                </c:pt>
                <c:pt idx="18">
                  <c:v>40451</c:v>
                </c:pt>
                <c:pt idx="19">
                  <c:v>40543</c:v>
                </c:pt>
                <c:pt idx="20">
                  <c:v>40633</c:v>
                </c:pt>
                <c:pt idx="21">
                  <c:v>40724</c:v>
                </c:pt>
                <c:pt idx="22">
                  <c:v>40816</c:v>
                </c:pt>
                <c:pt idx="23">
                  <c:v>40908</c:v>
                </c:pt>
                <c:pt idx="24">
                  <c:v>40999</c:v>
                </c:pt>
                <c:pt idx="25">
                  <c:v>41090</c:v>
                </c:pt>
              </c:numCache>
            </c:numRef>
          </c:cat>
          <c:val>
            <c:numRef>
              <c:f>D.EM!$AK$4:$AK$29</c:f>
              <c:numCache>
                <c:formatCode>#,##0.0</c:formatCode>
                <c:ptCount val="26"/>
                <c:pt idx="0">
                  <c:v>1.4378481211927063</c:v>
                </c:pt>
                <c:pt idx="1">
                  <c:v>1.6649708663656688</c:v>
                </c:pt>
                <c:pt idx="2">
                  <c:v>1.3949995734413412</c:v>
                </c:pt>
                <c:pt idx="3">
                  <c:v>1.3042777940272283</c:v>
                </c:pt>
                <c:pt idx="4">
                  <c:v>1.3399738448051308</c:v>
                </c:pt>
                <c:pt idx="5">
                  <c:v>1.2234229194631969</c:v>
                </c:pt>
                <c:pt idx="6">
                  <c:v>1.2325035733759413</c:v>
                </c:pt>
                <c:pt idx="7">
                  <c:v>1.1075275111001144</c:v>
                </c:pt>
                <c:pt idx="8">
                  <c:v>1.7053321975603104</c:v>
                </c:pt>
                <c:pt idx="9">
                  <c:v>2.0237957107293325</c:v>
                </c:pt>
                <c:pt idx="10">
                  <c:v>2.3191271971527772</c:v>
                </c:pt>
                <c:pt idx="11">
                  <c:v>1.9589423442161853</c:v>
                </c:pt>
                <c:pt idx="12">
                  <c:v>1.7393978079195505</c:v>
                </c:pt>
                <c:pt idx="13">
                  <c:v>1.4462229918855485</c:v>
                </c:pt>
                <c:pt idx="14">
                  <c:v>1.2130689413451969</c:v>
                </c:pt>
                <c:pt idx="15">
                  <c:v>1.3952289781848313</c:v>
                </c:pt>
                <c:pt idx="16">
                  <c:v>1.3206481837992452</c:v>
                </c:pt>
                <c:pt idx="17">
                  <c:v>1.2579672886394555</c:v>
                </c:pt>
                <c:pt idx="18">
                  <c:v>1.2450302702669065</c:v>
                </c:pt>
                <c:pt idx="19">
                  <c:v>1.2007086641716396</c:v>
                </c:pt>
                <c:pt idx="20">
                  <c:v>1.1594657136841424</c:v>
                </c:pt>
                <c:pt idx="21">
                  <c:v>1.2186091806734676</c:v>
                </c:pt>
                <c:pt idx="22">
                  <c:v>1.4106694754570779</c:v>
                </c:pt>
                <c:pt idx="23">
                  <c:v>1.4755928970768641</c:v>
                </c:pt>
                <c:pt idx="24">
                  <c:v>1.3691167672063778</c:v>
                </c:pt>
                <c:pt idx="25">
                  <c:v>1.6992060404256428</c:v>
                </c:pt>
              </c:numCache>
            </c:numRef>
          </c:val>
          <c:smooth val="0"/>
        </c:ser>
        <c:dLbls>
          <c:showLegendKey val="0"/>
          <c:showVal val="0"/>
          <c:showCatName val="0"/>
          <c:showSerName val="0"/>
          <c:showPercent val="0"/>
          <c:showBubbleSize val="0"/>
        </c:dLbls>
        <c:marker val="1"/>
        <c:smooth val="0"/>
        <c:axId val="575035264"/>
        <c:axId val="575049728"/>
      </c:lineChart>
      <c:dateAx>
        <c:axId val="575035264"/>
        <c:scaling>
          <c:orientation val="minMax"/>
        </c:scaling>
        <c:delete val="0"/>
        <c:axPos val="b"/>
        <c:numFmt formatCode="yyyy"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Narrow"/>
                <a:ea typeface="Arial Narrow"/>
                <a:cs typeface="Arial Narrow"/>
              </a:defRPr>
            </a:pPr>
            <a:endParaRPr lang="en-US"/>
          </a:p>
        </c:txPr>
        <c:crossAx val="575049728"/>
        <c:crosses val="autoZero"/>
        <c:auto val="1"/>
        <c:lblOffset val="100"/>
        <c:baseTimeUnit val="months"/>
        <c:majorUnit val="1"/>
        <c:majorTimeUnit val="years"/>
        <c:minorUnit val="6"/>
        <c:minorTimeUnit val="months"/>
      </c:dateAx>
      <c:valAx>
        <c:axId val="575049728"/>
        <c:scaling>
          <c:orientation val="minMax"/>
          <c:max val="3.5"/>
          <c:min val="1"/>
        </c:scaling>
        <c:delete val="0"/>
        <c:axPos val="l"/>
        <c:majorGridlines>
          <c:spPr>
            <a:ln w="3175">
              <a:solidFill>
                <a:srgbClr val="969696"/>
              </a:solidFill>
              <a:prstDash val="solid"/>
            </a:ln>
          </c:spPr>
        </c:majorGridlines>
        <c:title>
          <c:tx>
            <c:rich>
              <a:bodyPr/>
              <a:lstStyle/>
              <a:p>
                <a:pPr>
                  <a:defRPr sz="1200" b="0" i="0" u="none" strike="noStrike" baseline="0">
                    <a:solidFill>
                      <a:srgbClr val="000000"/>
                    </a:solidFill>
                    <a:latin typeface="Arial Narrow"/>
                    <a:ea typeface="Arial Narrow"/>
                    <a:cs typeface="Arial Narrow"/>
                  </a:defRPr>
                </a:pPr>
                <a:r>
                  <a:rPr lang="en-US"/>
                  <a:t>Spread per turn of leverage ratio vs US, x   </a:t>
                </a:r>
              </a:p>
            </c:rich>
          </c:tx>
          <c:layout>
            <c:manualLayout>
              <c:xMode val="edge"/>
              <c:yMode val="edge"/>
              <c:x val="2.1666701931481007E-2"/>
              <c:y val="0.13750016784688457"/>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Narrow"/>
                <a:ea typeface="Arial Narrow"/>
                <a:cs typeface="Arial Narrow"/>
              </a:defRPr>
            </a:pPr>
            <a:endParaRPr lang="en-US"/>
          </a:p>
        </c:txPr>
        <c:crossAx val="575035264"/>
        <c:crosses val="autoZero"/>
        <c:crossBetween val="between"/>
      </c:valAx>
      <c:spPr>
        <a:solidFill>
          <a:srgbClr val="FFFFFF"/>
        </a:solidFill>
        <a:ln w="3175">
          <a:solidFill>
            <a:srgbClr val="000000"/>
          </a:solidFill>
          <a:prstDash val="solid"/>
        </a:ln>
      </c:spPr>
    </c:plotArea>
    <c:legend>
      <c:legendPos val="b"/>
      <c:layout>
        <c:manualLayout>
          <c:xMode val="edge"/>
          <c:yMode val="edge"/>
          <c:x val="0.12833354220954135"/>
          <c:y val="0.88500108032358438"/>
          <c:w val="0.7250011800149414"/>
          <c:h val="6.5000079345799988E-2"/>
        </c:manualLayout>
      </c:layout>
      <c:overlay val="0"/>
      <c:spPr>
        <a:solidFill>
          <a:srgbClr val="FFFFFF"/>
        </a:solidFill>
        <a:ln w="25400">
          <a:noFill/>
        </a:ln>
      </c:spPr>
      <c:txPr>
        <a:bodyPr/>
        <a:lstStyle/>
        <a:p>
          <a:pPr>
            <a:defRPr sz="1100" b="0" i="0" u="none" strike="noStrike" baseline="0">
              <a:solidFill>
                <a:srgbClr val="000000"/>
              </a:solidFill>
              <a:latin typeface="Arial Narrow"/>
              <a:ea typeface="Arial Narrow"/>
              <a:cs typeface="Arial Narrow"/>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33354220954135"/>
          <c:y val="4.7500057983469221E-2"/>
          <c:w val="0.83666802843103583"/>
          <c:h val="0.76250093078726899"/>
        </c:manualLayout>
      </c:layout>
      <c:barChart>
        <c:barDir val="col"/>
        <c:grouping val="clustered"/>
        <c:varyColors val="0"/>
        <c:ser>
          <c:idx val="0"/>
          <c:order val="0"/>
          <c:tx>
            <c:strRef>
              <c:f>'Leverage &amp; Liquidity'!$I$6</c:f>
              <c:strCache>
                <c:ptCount val="1"/>
                <c:pt idx="0">
                  <c:v>LatAm Net Leverage</c:v>
                </c:pt>
              </c:strCache>
            </c:strRef>
          </c:tx>
          <c:spPr>
            <a:solidFill>
              <a:srgbClr val="FF6600"/>
            </a:solidFill>
            <a:ln w="12700">
              <a:solidFill>
                <a:srgbClr val="808080"/>
              </a:solidFill>
              <a:prstDash val="solid"/>
            </a:ln>
          </c:spPr>
          <c:invertIfNegative val="0"/>
          <c:cat>
            <c:numRef>
              <c:f>'Leverage &amp; Liquidity'!$B$7:$B$32</c:f>
              <c:numCache>
                <c:formatCode>mm/dd/yyyy</c:formatCode>
                <c:ptCount val="26"/>
                <c:pt idx="0">
                  <c:v>38807</c:v>
                </c:pt>
                <c:pt idx="1">
                  <c:v>38898</c:v>
                </c:pt>
                <c:pt idx="2">
                  <c:v>38990</c:v>
                </c:pt>
                <c:pt idx="3">
                  <c:v>39082</c:v>
                </c:pt>
                <c:pt idx="4">
                  <c:v>39172</c:v>
                </c:pt>
                <c:pt idx="5">
                  <c:v>39263</c:v>
                </c:pt>
                <c:pt idx="6">
                  <c:v>39355</c:v>
                </c:pt>
                <c:pt idx="7">
                  <c:v>39447</c:v>
                </c:pt>
                <c:pt idx="8">
                  <c:v>39538</c:v>
                </c:pt>
                <c:pt idx="9">
                  <c:v>39629</c:v>
                </c:pt>
                <c:pt idx="10">
                  <c:v>39721</c:v>
                </c:pt>
                <c:pt idx="11">
                  <c:v>39813</c:v>
                </c:pt>
                <c:pt idx="12">
                  <c:v>39903</c:v>
                </c:pt>
                <c:pt idx="13">
                  <c:v>39994</c:v>
                </c:pt>
                <c:pt idx="14">
                  <c:v>40086</c:v>
                </c:pt>
                <c:pt idx="15">
                  <c:v>40178</c:v>
                </c:pt>
                <c:pt idx="16">
                  <c:v>40268</c:v>
                </c:pt>
                <c:pt idx="17">
                  <c:v>40359</c:v>
                </c:pt>
                <c:pt idx="18">
                  <c:v>40451</c:v>
                </c:pt>
                <c:pt idx="19">
                  <c:v>40543</c:v>
                </c:pt>
                <c:pt idx="20">
                  <c:v>40633</c:v>
                </c:pt>
                <c:pt idx="21">
                  <c:v>40724</c:v>
                </c:pt>
                <c:pt idx="22">
                  <c:v>40816</c:v>
                </c:pt>
                <c:pt idx="23">
                  <c:v>40908</c:v>
                </c:pt>
                <c:pt idx="24">
                  <c:v>40999</c:v>
                </c:pt>
                <c:pt idx="25">
                  <c:v>41090</c:v>
                </c:pt>
              </c:numCache>
            </c:numRef>
          </c:cat>
          <c:val>
            <c:numRef>
              <c:f>'Leverage &amp; Liquidity'!$I$7:$I$32</c:f>
              <c:numCache>
                <c:formatCode>0.00</c:formatCode>
                <c:ptCount val="26"/>
                <c:pt idx="0">
                  <c:v>1.6913531163755651</c:v>
                </c:pt>
                <c:pt idx="1">
                  <c:v>1.6715056223563178</c:v>
                </c:pt>
                <c:pt idx="2">
                  <c:v>1.6714823885324332</c:v>
                </c:pt>
                <c:pt idx="3">
                  <c:v>1.7630708165102598</c:v>
                </c:pt>
                <c:pt idx="4">
                  <c:v>2.04592230799499</c:v>
                </c:pt>
                <c:pt idx="5">
                  <c:v>2.0292521013545834</c:v>
                </c:pt>
                <c:pt idx="6">
                  <c:v>1.9702782491216613</c:v>
                </c:pt>
                <c:pt idx="7">
                  <c:v>2.1449940988960274</c:v>
                </c:pt>
                <c:pt idx="8">
                  <c:v>1.4610664024923403</c:v>
                </c:pt>
                <c:pt idx="9">
                  <c:v>1.2894300242423837</c:v>
                </c:pt>
                <c:pt idx="10">
                  <c:v>1.3277723204277623</c:v>
                </c:pt>
                <c:pt idx="11">
                  <c:v>1.7856705164843116</c:v>
                </c:pt>
                <c:pt idx="12">
                  <c:v>2.3181790949892509</c:v>
                </c:pt>
                <c:pt idx="13">
                  <c:v>2.8198439667051618</c:v>
                </c:pt>
                <c:pt idx="14">
                  <c:v>3.0014171075963256</c:v>
                </c:pt>
                <c:pt idx="15">
                  <c:v>2.9184363233411563</c:v>
                </c:pt>
                <c:pt idx="16">
                  <c:v>2.6359677261963492</c:v>
                </c:pt>
                <c:pt idx="17">
                  <c:v>2.4228881742910535</c:v>
                </c:pt>
                <c:pt idx="18">
                  <c:v>2.3652939282319947</c:v>
                </c:pt>
                <c:pt idx="19">
                  <c:v>2.7462277118902203</c:v>
                </c:pt>
                <c:pt idx="20">
                  <c:v>2.7433098920676438</c:v>
                </c:pt>
                <c:pt idx="21">
                  <c:v>2.8463382597615809</c:v>
                </c:pt>
                <c:pt idx="22">
                  <c:v>2.6933260048397174</c:v>
                </c:pt>
                <c:pt idx="23">
                  <c:v>2.6846372623343746</c:v>
                </c:pt>
                <c:pt idx="24">
                  <c:v>2.883270592785268</c:v>
                </c:pt>
                <c:pt idx="25">
                  <c:v>2.8756658117929819</c:v>
                </c:pt>
              </c:numCache>
            </c:numRef>
          </c:val>
        </c:ser>
        <c:ser>
          <c:idx val="1"/>
          <c:order val="1"/>
          <c:tx>
            <c:strRef>
              <c:f>'Leverage &amp; Liquidity'!$U$6</c:f>
              <c:strCache>
                <c:ptCount val="1"/>
                <c:pt idx="0">
                  <c:v>US HY Corporates</c:v>
                </c:pt>
              </c:strCache>
            </c:strRef>
          </c:tx>
          <c:spPr>
            <a:solidFill>
              <a:srgbClr val="003366"/>
            </a:solidFill>
            <a:ln w="12700">
              <a:solidFill>
                <a:srgbClr val="808080"/>
              </a:solidFill>
              <a:prstDash val="solid"/>
            </a:ln>
          </c:spPr>
          <c:invertIfNegative val="0"/>
          <c:cat>
            <c:numRef>
              <c:f>'Leverage &amp; Liquidity'!$B$7:$B$32</c:f>
              <c:numCache>
                <c:formatCode>mm/dd/yyyy</c:formatCode>
                <c:ptCount val="26"/>
                <c:pt idx="0">
                  <c:v>38807</c:v>
                </c:pt>
                <c:pt idx="1">
                  <c:v>38898</c:v>
                </c:pt>
                <c:pt idx="2">
                  <c:v>38990</c:v>
                </c:pt>
                <c:pt idx="3">
                  <c:v>39082</c:v>
                </c:pt>
                <c:pt idx="4">
                  <c:v>39172</c:v>
                </c:pt>
                <c:pt idx="5">
                  <c:v>39263</c:v>
                </c:pt>
                <c:pt idx="6">
                  <c:v>39355</c:v>
                </c:pt>
                <c:pt idx="7">
                  <c:v>39447</c:v>
                </c:pt>
                <c:pt idx="8">
                  <c:v>39538</c:v>
                </c:pt>
                <c:pt idx="9">
                  <c:v>39629</c:v>
                </c:pt>
                <c:pt idx="10">
                  <c:v>39721</c:v>
                </c:pt>
                <c:pt idx="11">
                  <c:v>39813</c:v>
                </c:pt>
                <c:pt idx="12">
                  <c:v>39903</c:v>
                </c:pt>
                <c:pt idx="13">
                  <c:v>39994</c:v>
                </c:pt>
                <c:pt idx="14">
                  <c:v>40086</c:v>
                </c:pt>
                <c:pt idx="15">
                  <c:v>40178</c:v>
                </c:pt>
                <c:pt idx="16">
                  <c:v>40268</c:v>
                </c:pt>
                <c:pt idx="17">
                  <c:v>40359</c:v>
                </c:pt>
                <c:pt idx="18">
                  <c:v>40451</c:v>
                </c:pt>
                <c:pt idx="19">
                  <c:v>40543</c:v>
                </c:pt>
                <c:pt idx="20">
                  <c:v>40633</c:v>
                </c:pt>
                <c:pt idx="21">
                  <c:v>40724</c:v>
                </c:pt>
                <c:pt idx="22">
                  <c:v>40816</c:v>
                </c:pt>
                <c:pt idx="23">
                  <c:v>40908</c:v>
                </c:pt>
                <c:pt idx="24">
                  <c:v>40999</c:v>
                </c:pt>
                <c:pt idx="25">
                  <c:v>41090</c:v>
                </c:pt>
              </c:numCache>
            </c:numRef>
          </c:cat>
          <c:val>
            <c:numRef>
              <c:f>'Leverage &amp; Liquidity'!$U$7:$U$32</c:f>
              <c:numCache>
                <c:formatCode>0.00</c:formatCode>
                <c:ptCount val="26"/>
                <c:pt idx="0">
                  <c:v>2.813159375857559</c:v>
                </c:pt>
                <c:pt idx="1">
                  <c:v>2.9041979176125707</c:v>
                </c:pt>
                <c:pt idx="2">
                  <c:v>2.9304856471630361</c:v>
                </c:pt>
                <c:pt idx="3">
                  <c:v>2.9253537458742582</c:v>
                </c:pt>
                <c:pt idx="4">
                  <c:v>3.1031459899575582</c:v>
                </c:pt>
                <c:pt idx="5">
                  <c:v>3.0412772626257092</c:v>
                </c:pt>
                <c:pt idx="6">
                  <c:v>2.9449473556475265</c:v>
                </c:pt>
                <c:pt idx="7">
                  <c:v>3.1764172516824281</c:v>
                </c:pt>
                <c:pt idx="8">
                  <c:v>3.3296629908711157</c:v>
                </c:pt>
                <c:pt idx="9">
                  <c:v>3.3242946227220966</c:v>
                </c:pt>
                <c:pt idx="10">
                  <c:v>3.648448395840064</c:v>
                </c:pt>
                <c:pt idx="11">
                  <c:v>3.6748758163688464</c:v>
                </c:pt>
                <c:pt idx="12">
                  <c:v>4.0286863122095848</c:v>
                </c:pt>
                <c:pt idx="13">
                  <c:v>3.9036228416453693</c:v>
                </c:pt>
                <c:pt idx="14">
                  <c:v>3.9282106953526319</c:v>
                </c:pt>
                <c:pt idx="15">
                  <c:v>3.7514726404006264</c:v>
                </c:pt>
                <c:pt idx="16">
                  <c:v>3.4948412400017572</c:v>
                </c:pt>
                <c:pt idx="17">
                  <c:v>3.3487989489502081</c:v>
                </c:pt>
                <c:pt idx="18">
                  <c:v>3.2540313498326441</c:v>
                </c:pt>
                <c:pt idx="19">
                  <c:v>3.3876055476208147</c:v>
                </c:pt>
                <c:pt idx="20">
                  <c:v>3.3828778968210775</c:v>
                </c:pt>
                <c:pt idx="21">
                  <c:v>3.4619367020940128</c:v>
                </c:pt>
                <c:pt idx="22">
                  <c:v>3.3834363596068306</c:v>
                </c:pt>
                <c:pt idx="23">
                  <c:v>3.3315981005776778</c:v>
                </c:pt>
                <c:pt idx="24">
                  <c:v>3.4887520470133158</c:v>
                </c:pt>
                <c:pt idx="25">
                  <c:v>3.5501297081383911</c:v>
                </c:pt>
              </c:numCache>
            </c:numRef>
          </c:val>
        </c:ser>
        <c:dLbls>
          <c:showLegendKey val="0"/>
          <c:showVal val="0"/>
          <c:showCatName val="0"/>
          <c:showSerName val="0"/>
          <c:showPercent val="0"/>
          <c:showBubbleSize val="0"/>
        </c:dLbls>
        <c:gapWidth val="25"/>
        <c:axId val="575346176"/>
        <c:axId val="575347712"/>
      </c:barChart>
      <c:catAx>
        <c:axId val="575346176"/>
        <c:scaling>
          <c:orientation val="minMax"/>
        </c:scaling>
        <c:delete val="0"/>
        <c:axPos val="b"/>
        <c:numFmt formatCode="yyyy"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Narrow"/>
                <a:ea typeface="Arial Narrow"/>
                <a:cs typeface="Arial Narrow"/>
              </a:defRPr>
            </a:pPr>
            <a:endParaRPr lang="en-US"/>
          </a:p>
        </c:txPr>
        <c:crossAx val="575347712"/>
        <c:crosses val="autoZero"/>
        <c:auto val="0"/>
        <c:lblAlgn val="ctr"/>
        <c:lblOffset val="100"/>
        <c:tickLblSkip val="4"/>
        <c:tickMarkSkip val="4"/>
        <c:noMultiLvlLbl val="0"/>
      </c:catAx>
      <c:valAx>
        <c:axId val="575347712"/>
        <c:scaling>
          <c:orientation val="minMax"/>
        </c:scaling>
        <c:delete val="0"/>
        <c:axPos val="l"/>
        <c:majorGridlines>
          <c:spPr>
            <a:ln w="12700">
              <a:solidFill>
                <a:srgbClr val="969696"/>
              </a:solidFill>
              <a:prstDash val="solid"/>
            </a:ln>
          </c:spPr>
        </c:majorGridlines>
        <c:title>
          <c:tx>
            <c:rich>
              <a:bodyPr/>
              <a:lstStyle/>
              <a:p>
                <a:pPr>
                  <a:defRPr sz="1200" b="0" i="0" u="none" strike="noStrike" baseline="0">
                    <a:solidFill>
                      <a:srgbClr val="000000"/>
                    </a:solidFill>
                    <a:latin typeface="Arial Narrow"/>
                    <a:ea typeface="Arial Narrow"/>
                    <a:cs typeface="Arial Narrow"/>
                  </a:defRPr>
                </a:pPr>
                <a:r>
                  <a:rPr lang="en-US"/>
                  <a:t>Net Leverage (Net Debt/LTM EBITDA, x)</a:t>
                </a:r>
              </a:p>
            </c:rich>
          </c:tx>
          <c:layout>
            <c:manualLayout>
              <c:xMode val="edge"/>
              <c:yMode val="edge"/>
              <c:x val="8.3333468967234647E-3"/>
              <c:y val="0.125000152588076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Narrow"/>
                <a:ea typeface="Arial Narrow"/>
                <a:cs typeface="Arial Narrow"/>
              </a:defRPr>
            </a:pPr>
            <a:endParaRPr lang="en-US"/>
          </a:p>
        </c:txPr>
        <c:crossAx val="575346176"/>
        <c:crosses val="autoZero"/>
        <c:crossBetween val="between"/>
        <c:majorUnit val="0.25"/>
      </c:valAx>
      <c:spPr>
        <a:noFill/>
        <a:ln w="12700">
          <a:solidFill>
            <a:srgbClr val="808080"/>
          </a:solidFill>
          <a:prstDash val="solid"/>
        </a:ln>
      </c:spPr>
    </c:plotArea>
    <c:legend>
      <c:legendPos val="b"/>
      <c:layout>
        <c:manualLayout>
          <c:xMode val="edge"/>
          <c:yMode val="edge"/>
          <c:x val="0.26833377007449555"/>
          <c:y val="0.91250111389296129"/>
          <c:w val="0.53333420139030174"/>
          <c:h val="6.2500076294038448E-2"/>
        </c:manualLayout>
      </c:layout>
      <c:overlay val="0"/>
      <c:spPr>
        <a:solidFill>
          <a:srgbClr val="FFFFFF"/>
        </a:solidFill>
        <a:ln w="25400">
          <a:noFill/>
        </a:ln>
      </c:spPr>
      <c:txPr>
        <a:bodyPr/>
        <a:lstStyle/>
        <a:p>
          <a:pPr>
            <a:defRPr sz="1100" b="0" i="0" u="none" strike="noStrike" baseline="0">
              <a:solidFill>
                <a:srgbClr val="000000"/>
              </a:solidFill>
              <a:latin typeface="Arial Narrow"/>
              <a:ea typeface="Arial Narrow"/>
              <a:cs typeface="Arial Narrow"/>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66685655412851"/>
          <c:y val="4.7500057983469221E-2"/>
          <c:w val="0.85333472222448281"/>
          <c:h val="0.76000092773550754"/>
        </c:manualLayout>
      </c:layout>
      <c:barChart>
        <c:barDir val="col"/>
        <c:grouping val="clustered"/>
        <c:varyColors val="0"/>
        <c:ser>
          <c:idx val="1"/>
          <c:order val="0"/>
          <c:tx>
            <c:strRef>
              <c:f>'Leverage &amp; Liquidity'!$P$6</c:f>
              <c:strCache>
                <c:ptCount val="1"/>
                <c:pt idx="0">
                  <c:v>LatAm HY Corporates</c:v>
                </c:pt>
              </c:strCache>
            </c:strRef>
          </c:tx>
          <c:spPr>
            <a:solidFill>
              <a:srgbClr val="FF6600"/>
            </a:solidFill>
            <a:ln w="12700">
              <a:solidFill>
                <a:srgbClr val="808080"/>
              </a:solidFill>
              <a:prstDash val="solid"/>
            </a:ln>
          </c:spPr>
          <c:invertIfNegative val="0"/>
          <c:cat>
            <c:numRef>
              <c:f>'Leverage &amp; Liquidity'!$B$7:$B$32</c:f>
              <c:numCache>
                <c:formatCode>mm/dd/yyyy</c:formatCode>
                <c:ptCount val="26"/>
                <c:pt idx="0">
                  <c:v>38807</c:v>
                </c:pt>
                <c:pt idx="1">
                  <c:v>38898</c:v>
                </c:pt>
                <c:pt idx="2">
                  <c:v>38990</c:v>
                </c:pt>
                <c:pt idx="3">
                  <c:v>39082</c:v>
                </c:pt>
                <c:pt idx="4">
                  <c:v>39172</c:v>
                </c:pt>
                <c:pt idx="5">
                  <c:v>39263</c:v>
                </c:pt>
                <c:pt idx="6">
                  <c:v>39355</c:v>
                </c:pt>
                <c:pt idx="7">
                  <c:v>39447</c:v>
                </c:pt>
                <c:pt idx="8">
                  <c:v>39538</c:v>
                </c:pt>
                <c:pt idx="9">
                  <c:v>39629</c:v>
                </c:pt>
                <c:pt idx="10">
                  <c:v>39721</c:v>
                </c:pt>
                <c:pt idx="11">
                  <c:v>39813</c:v>
                </c:pt>
                <c:pt idx="12">
                  <c:v>39903</c:v>
                </c:pt>
                <c:pt idx="13">
                  <c:v>39994</c:v>
                </c:pt>
                <c:pt idx="14">
                  <c:v>40086</c:v>
                </c:pt>
                <c:pt idx="15">
                  <c:v>40178</c:v>
                </c:pt>
                <c:pt idx="16">
                  <c:v>40268</c:v>
                </c:pt>
                <c:pt idx="17">
                  <c:v>40359</c:v>
                </c:pt>
                <c:pt idx="18">
                  <c:v>40451</c:v>
                </c:pt>
                <c:pt idx="19">
                  <c:v>40543</c:v>
                </c:pt>
                <c:pt idx="20">
                  <c:v>40633</c:v>
                </c:pt>
                <c:pt idx="21">
                  <c:v>40724</c:v>
                </c:pt>
                <c:pt idx="22">
                  <c:v>40816</c:v>
                </c:pt>
                <c:pt idx="23">
                  <c:v>40908</c:v>
                </c:pt>
                <c:pt idx="24">
                  <c:v>40999</c:v>
                </c:pt>
                <c:pt idx="25">
                  <c:v>41090</c:v>
                </c:pt>
              </c:numCache>
            </c:numRef>
          </c:cat>
          <c:val>
            <c:numRef>
              <c:f>'Leverage &amp; Liquidity'!$P$7:$P$32</c:f>
              <c:numCache>
                <c:formatCode>#,##0</c:formatCode>
                <c:ptCount val="26"/>
                <c:pt idx="0">
                  <c:v>159.97901355877698</c:v>
                </c:pt>
                <c:pt idx="1">
                  <c:v>192.05483099134523</c:v>
                </c:pt>
                <c:pt idx="2">
                  <c:v>163.75437761600594</c:v>
                </c:pt>
                <c:pt idx="3">
                  <c:v>128.85152197592413</c:v>
                </c:pt>
                <c:pt idx="4">
                  <c:v>123.0662517990929</c:v>
                </c:pt>
                <c:pt idx="5">
                  <c:v>119.87727474911965</c:v>
                </c:pt>
                <c:pt idx="6">
                  <c:v>175.77614751761007</c:v>
                </c:pt>
                <c:pt idx="7">
                  <c:v>206.41377836113674</c:v>
                </c:pt>
                <c:pt idx="8">
                  <c:v>420.48631889641257</c:v>
                </c:pt>
                <c:pt idx="9">
                  <c:v>447.46029344656262</c:v>
                </c:pt>
                <c:pt idx="10">
                  <c:v>696.6696886757519</c:v>
                </c:pt>
                <c:pt idx="11">
                  <c:v>965.91115049626342</c:v>
                </c:pt>
                <c:pt idx="12">
                  <c:v>735.27553086215357</c:v>
                </c:pt>
                <c:pt idx="13">
                  <c:v>390.85877871237847</c:v>
                </c:pt>
                <c:pt idx="14">
                  <c:v>244.88596592459169</c:v>
                </c:pt>
                <c:pt idx="15">
                  <c:v>237.65369030250926</c:v>
                </c:pt>
                <c:pt idx="16">
                  <c:v>220.68485701466983</c:v>
                </c:pt>
                <c:pt idx="17">
                  <c:v>267.83652601214067</c:v>
                </c:pt>
                <c:pt idx="18">
                  <c:v>239.51488642762084</c:v>
                </c:pt>
                <c:pt idx="19">
                  <c:v>191.75295889247582</c:v>
                </c:pt>
                <c:pt idx="20">
                  <c:v>163.48953828545115</c:v>
                </c:pt>
                <c:pt idx="21">
                  <c:v>190.78516817638891</c:v>
                </c:pt>
                <c:pt idx="22">
                  <c:v>350.64144933326423</c:v>
                </c:pt>
                <c:pt idx="23">
                  <c:v>320.22279770227601</c:v>
                </c:pt>
                <c:pt idx="24">
                  <c:v>235.06999996136162</c:v>
                </c:pt>
                <c:pt idx="25">
                  <c:v>308.23907293458711</c:v>
                </c:pt>
              </c:numCache>
            </c:numRef>
          </c:val>
        </c:ser>
        <c:ser>
          <c:idx val="0"/>
          <c:order val="1"/>
          <c:tx>
            <c:strRef>
              <c:f>'Leverage &amp; Liquidity'!$W$6</c:f>
              <c:strCache>
                <c:ptCount val="1"/>
                <c:pt idx="0">
                  <c:v>US HY Corporates</c:v>
                </c:pt>
              </c:strCache>
            </c:strRef>
          </c:tx>
          <c:spPr>
            <a:solidFill>
              <a:srgbClr val="003366"/>
            </a:solidFill>
            <a:ln w="12700">
              <a:solidFill>
                <a:srgbClr val="808080"/>
              </a:solidFill>
              <a:prstDash val="solid"/>
            </a:ln>
          </c:spPr>
          <c:invertIfNegative val="0"/>
          <c:cat>
            <c:numRef>
              <c:f>'Leverage &amp; Liquidity'!$B$7:$B$32</c:f>
              <c:numCache>
                <c:formatCode>mm/dd/yyyy</c:formatCode>
                <c:ptCount val="26"/>
                <c:pt idx="0">
                  <c:v>38807</c:v>
                </c:pt>
                <c:pt idx="1">
                  <c:v>38898</c:v>
                </c:pt>
                <c:pt idx="2">
                  <c:v>38990</c:v>
                </c:pt>
                <c:pt idx="3">
                  <c:v>39082</c:v>
                </c:pt>
                <c:pt idx="4">
                  <c:v>39172</c:v>
                </c:pt>
                <c:pt idx="5">
                  <c:v>39263</c:v>
                </c:pt>
                <c:pt idx="6">
                  <c:v>39355</c:v>
                </c:pt>
                <c:pt idx="7">
                  <c:v>39447</c:v>
                </c:pt>
                <c:pt idx="8">
                  <c:v>39538</c:v>
                </c:pt>
                <c:pt idx="9">
                  <c:v>39629</c:v>
                </c:pt>
                <c:pt idx="10">
                  <c:v>39721</c:v>
                </c:pt>
                <c:pt idx="11">
                  <c:v>39813</c:v>
                </c:pt>
                <c:pt idx="12">
                  <c:v>39903</c:v>
                </c:pt>
                <c:pt idx="13">
                  <c:v>39994</c:v>
                </c:pt>
                <c:pt idx="14">
                  <c:v>40086</c:v>
                </c:pt>
                <c:pt idx="15">
                  <c:v>40178</c:v>
                </c:pt>
                <c:pt idx="16">
                  <c:v>40268</c:v>
                </c:pt>
                <c:pt idx="17">
                  <c:v>40359</c:v>
                </c:pt>
                <c:pt idx="18">
                  <c:v>40451</c:v>
                </c:pt>
                <c:pt idx="19">
                  <c:v>40543</c:v>
                </c:pt>
                <c:pt idx="20">
                  <c:v>40633</c:v>
                </c:pt>
                <c:pt idx="21">
                  <c:v>40724</c:v>
                </c:pt>
                <c:pt idx="22">
                  <c:v>40816</c:v>
                </c:pt>
                <c:pt idx="23">
                  <c:v>40908</c:v>
                </c:pt>
                <c:pt idx="24">
                  <c:v>40999</c:v>
                </c:pt>
                <c:pt idx="25">
                  <c:v>41090</c:v>
                </c:pt>
              </c:numCache>
            </c:numRef>
          </c:cat>
          <c:val>
            <c:numRef>
              <c:f>'Leverage &amp; Liquidity'!$W$7:$W$32</c:f>
              <c:numCache>
                <c:formatCode>0</c:formatCode>
                <c:ptCount val="26"/>
                <c:pt idx="0">
                  <c:v>111.26280390871405</c:v>
                </c:pt>
                <c:pt idx="1">
                  <c:v>115.35026520347849</c:v>
                </c:pt>
                <c:pt idx="2">
                  <c:v>117.38668651492007</c:v>
                </c:pt>
                <c:pt idx="3">
                  <c:v>98.791471085364662</c:v>
                </c:pt>
                <c:pt idx="4">
                  <c:v>91.842279068506841</c:v>
                </c:pt>
                <c:pt idx="5">
                  <c:v>97.985147116353176</c:v>
                </c:pt>
                <c:pt idx="6">
                  <c:v>142.61715042021578</c:v>
                </c:pt>
                <c:pt idx="7">
                  <c:v>186.37349979334107</c:v>
                </c:pt>
                <c:pt idx="8">
                  <c:v>246.57150055453741</c:v>
                </c:pt>
                <c:pt idx="9">
                  <c:v>221.0995364177877</c:v>
                </c:pt>
                <c:pt idx="10">
                  <c:v>300.40167246154607</c:v>
                </c:pt>
                <c:pt idx="11">
                  <c:v>493.0778863135684</c:v>
                </c:pt>
                <c:pt idx="12">
                  <c:v>422.71844170115287</c:v>
                </c:pt>
                <c:pt idx="13">
                  <c:v>270.26176523634632</c:v>
                </c:pt>
                <c:pt idx="14">
                  <c:v>201.87308204679005</c:v>
                </c:pt>
                <c:pt idx="15">
                  <c:v>170.33310948837416</c:v>
                </c:pt>
                <c:pt idx="16">
                  <c:v>167.10344187185635</c:v>
                </c:pt>
                <c:pt idx="17">
                  <c:v>212.91215473640585</c:v>
                </c:pt>
                <c:pt idx="18">
                  <c:v>192.37675753560131</c:v>
                </c:pt>
                <c:pt idx="19">
                  <c:v>159.69982112585555</c:v>
                </c:pt>
                <c:pt idx="20">
                  <c:v>141.00420250114303</c:v>
                </c:pt>
                <c:pt idx="21">
                  <c:v>156.55976600385611</c:v>
                </c:pt>
                <c:pt idx="22">
                  <c:v>248.56385952467795</c:v>
                </c:pt>
                <c:pt idx="23">
                  <c:v>217.01297040439434</c:v>
                </c:pt>
                <c:pt idx="24">
                  <c:v>171.6946323292874</c:v>
                </c:pt>
                <c:pt idx="25">
                  <c:v>181.40182273444293</c:v>
                </c:pt>
              </c:numCache>
            </c:numRef>
          </c:val>
        </c:ser>
        <c:dLbls>
          <c:showLegendKey val="0"/>
          <c:showVal val="0"/>
          <c:showCatName val="0"/>
          <c:showSerName val="0"/>
          <c:showPercent val="0"/>
          <c:showBubbleSize val="0"/>
        </c:dLbls>
        <c:gapWidth val="25"/>
        <c:axId val="575364480"/>
        <c:axId val="575374464"/>
      </c:barChart>
      <c:catAx>
        <c:axId val="575364480"/>
        <c:scaling>
          <c:orientation val="minMax"/>
        </c:scaling>
        <c:delete val="0"/>
        <c:axPos val="b"/>
        <c:numFmt formatCode="yyyy"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Narrow"/>
                <a:ea typeface="Arial Narrow"/>
                <a:cs typeface="Arial Narrow"/>
              </a:defRPr>
            </a:pPr>
            <a:endParaRPr lang="en-US"/>
          </a:p>
        </c:txPr>
        <c:crossAx val="575374464"/>
        <c:crosses val="autoZero"/>
        <c:auto val="0"/>
        <c:lblAlgn val="ctr"/>
        <c:lblOffset val="100"/>
        <c:tickLblSkip val="4"/>
        <c:tickMarkSkip val="4"/>
        <c:noMultiLvlLbl val="0"/>
      </c:catAx>
      <c:valAx>
        <c:axId val="575374464"/>
        <c:scaling>
          <c:orientation val="minMax"/>
          <c:max val="1200"/>
          <c:min val="0"/>
        </c:scaling>
        <c:delete val="0"/>
        <c:axPos val="l"/>
        <c:majorGridlines>
          <c:spPr>
            <a:ln w="12700">
              <a:solidFill>
                <a:srgbClr val="969696"/>
              </a:solidFill>
              <a:prstDash val="solid"/>
            </a:ln>
          </c:spPr>
        </c:majorGridlines>
        <c:title>
          <c:tx>
            <c:rich>
              <a:bodyPr/>
              <a:lstStyle/>
              <a:p>
                <a:pPr>
                  <a:defRPr sz="1200" b="0" i="0" u="none" strike="noStrike" baseline="0">
                    <a:solidFill>
                      <a:srgbClr val="000000"/>
                    </a:solidFill>
                    <a:latin typeface="Arial Narrow"/>
                    <a:ea typeface="Arial Narrow"/>
                    <a:cs typeface="Arial Narrow"/>
                  </a:defRPr>
                </a:pPr>
                <a:r>
                  <a:rPr lang="en-US"/>
                  <a:t>Spread per turn of Leverage, bps/x</a:t>
                </a:r>
              </a:p>
            </c:rich>
          </c:tx>
          <c:layout>
            <c:manualLayout>
              <c:xMode val="edge"/>
              <c:yMode val="edge"/>
              <c:x val="8.3333468967234647E-3"/>
              <c:y val="0.1600001953127384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Narrow"/>
                <a:ea typeface="Arial Narrow"/>
                <a:cs typeface="Arial Narrow"/>
              </a:defRPr>
            </a:pPr>
            <a:endParaRPr lang="en-US"/>
          </a:p>
        </c:txPr>
        <c:crossAx val="575364480"/>
        <c:crosses val="autoZero"/>
        <c:crossBetween val="between"/>
        <c:majorUnit val="200"/>
      </c:valAx>
      <c:spPr>
        <a:noFill/>
        <a:ln w="12700">
          <a:solidFill>
            <a:srgbClr val="808080"/>
          </a:solidFill>
          <a:prstDash val="solid"/>
        </a:ln>
      </c:spPr>
    </c:plotArea>
    <c:legend>
      <c:legendPos val="b"/>
      <c:layout>
        <c:manualLayout>
          <c:xMode val="edge"/>
          <c:yMode val="edge"/>
          <c:x val="0.21666701931481008"/>
          <c:y val="0.91000111084119972"/>
          <c:w val="0.53166753201095707"/>
          <c:h val="6.2500076294038448E-2"/>
        </c:manualLayout>
      </c:layout>
      <c:overlay val="0"/>
      <c:spPr>
        <a:solidFill>
          <a:srgbClr val="FFFFFF"/>
        </a:solidFill>
        <a:ln w="25400">
          <a:noFill/>
        </a:ln>
      </c:spPr>
      <c:txPr>
        <a:bodyPr/>
        <a:lstStyle/>
        <a:p>
          <a:pPr>
            <a:defRPr sz="1100" b="0" i="0" u="none" strike="noStrike" baseline="0">
              <a:solidFill>
                <a:srgbClr val="000000"/>
              </a:solidFill>
              <a:latin typeface="Arial Narrow"/>
              <a:ea typeface="Arial Narrow"/>
              <a:cs typeface="Arial Narrow"/>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0000146484613422E-2"/>
          <c:y val="5.7500070190515368E-2"/>
          <c:w val="0.88333477105268721"/>
          <c:h val="0.76750093689079213"/>
        </c:manualLayout>
      </c:layout>
      <c:barChart>
        <c:barDir val="col"/>
        <c:grouping val="clustered"/>
        <c:varyColors val="0"/>
        <c:ser>
          <c:idx val="0"/>
          <c:order val="0"/>
          <c:tx>
            <c:strRef>
              <c:f>'Leverage &amp; Liquidity'!$J$6</c:f>
              <c:strCache>
                <c:ptCount val="1"/>
                <c:pt idx="0">
                  <c:v>LatAm Coverage Ratio</c:v>
                </c:pt>
              </c:strCache>
            </c:strRef>
          </c:tx>
          <c:spPr>
            <a:solidFill>
              <a:srgbClr val="FF6600"/>
            </a:solidFill>
            <a:ln w="12700">
              <a:solidFill>
                <a:srgbClr val="808080"/>
              </a:solidFill>
              <a:prstDash val="solid"/>
            </a:ln>
          </c:spPr>
          <c:invertIfNegative val="0"/>
          <c:cat>
            <c:numRef>
              <c:f>'Leverage &amp; Liquidity'!$B$7:$B$32</c:f>
              <c:numCache>
                <c:formatCode>mm/dd/yyyy</c:formatCode>
                <c:ptCount val="26"/>
                <c:pt idx="0">
                  <c:v>38807</c:v>
                </c:pt>
                <c:pt idx="1">
                  <c:v>38898</c:v>
                </c:pt>
                <c:pt idx="2">
                  <c:v>38990</c:v>
                </c:pt>
                <c:pt idx="3">
                  <c:v>39082</c:v>
                </c:pt>
                <c:pt idx="4">
                  <c:v>39172</c:v>
                </c:pt>
                <c:pt idx="5">
                  <c:v>39263</c:v>
                </c:pt>
                <c:pt idx="6">
                  <c:v>39355</c:v>
                </c:pt>
                <c:pt idx="7">
                  <c:v>39447</c:v>
                </c:pt>
                <c:pt idx="8">
                  <c:v>39538</c:v>
                </c:pt>
                <c:pt idx="9">
                  <c:v>39629</c:v>
                </c:pt>
                <c:pt idx="10">
                  <c:v>39721</c:v>
                </c:pt>
                <c:pt idx="11">
                  <c:v>39813</c:v>
                </c:pt>
                <c:pt idx="12">
                  <c:v>39903</c:v>
                </c:pt>
                <c:pt idx="13">
                  <c:v>39994</c:v>
                </c:pt>
                <c:pt idx="14">
                  <c:v>40086</c:v>
                </c:pt>
                <c:pt idx="15">
                  <c:v>40178</c:v>
                </c:pt>
                <c:pt idx="16">
                  <c:v>40268</c:v>
                </c:pt>
                <c:pt idx="17">
                  <c:v>40359</c:v>
                </c:pt>
                <c:pt idx="18">
                  <c:v>40451</c:v>
                </c:pt>
                <c:pt idx="19">
                  <c:v>40543</c:v>
                </c:pt>
                <c:pt idx="20">
                  <c:v>40633</c:v>
                </c:pt>
                <c:pt idx="21">
                  <c:v>40724</c:v>
                </c:pt>
                <c:pt idx="22">
                  <c:v>40816</c:v>
                </c:pt>
                <c:pt idx="23">
                  <c:v>40908</c:v>
                </c:pt>
                <c:pt idx="24">
                  <c:v>40999</c:v>
                </c:pt>
                <c:pt idx="25">
                  <c:v>41090</c:v>
                </c:pt>
              </c:numCache>
            </c:numRef>
          </c:cat>
          <c:val>
            <c:numRef>
              <c:f>'Leverage &amp; Liquidity'!$J$7:$J$32</c:f>
              <c:numCache>
                <c:formatCode>0.00</c:formatCode>
                <c:ptCount val="26"/>
                <c:pt idx="0">
                  <c:v>4.8589205916419802</c:v>
                </c:pt>
                <c:pt idx="1">
                  <c:v>4.8208621310353612</c:v>
                </c:pt>
                <c:pt idx="2">
                  <c:v>4.8565624613145264</c:v>
                </c:pt>
                <c:pt idx="3">
                  <c:v>6.6386671475609518</c:v>
                </c:pt>
                <c:pt idx="4">
                  <c:v>5.1391473546355124</c:v>
                </c:pt>
                <c:pt idx="5">
                  <c:v>4.4109173600124976</c:v>
                </c:pt>
                <c:pt idx="6">
                  <c:v>4.7047619150587865</c:v>
                </c:pt>
                <c:pt idx="7">
                  <c:v>4.4059762814631149</c:v>
                </c:pt>
                <c:pt idx="8">
                  <c:v>7.9354037501892147</c:v>
                </c:pt>
                <c:pt idx="9">
                  <c:v>7.2269409120073442</c:v>
                </c:pt>
                <c:pt idx="10">
                  <c:v>6.6109193605978742</c:v>
                </c:pt>
                <c:pt idx="11">
                  <c:v>5.8906609642719996</c:v>
                </c:pt>
                <c:pt idx="12">
                  <c:v>5.1814756853212476</c:v>
                </c:pt>
                <c:pt idx="13">
                  <c:v>4.8992127331235</c:v>
                </c:pt>
                <c:pt idx="14">
                  <c:v>4.5367290740180284</c:v>
                </c:pt>
                <c:pt idx="15">
                  <c:v>4.8693706465091395</c:v>
                </c:pt>
                <c:pt idx="16">
                  <c:v>4.9017819807040821</c:v>
                </c:pt>
                <c:pt idx="17">
                  <c:v>4.9556778815538216</c:v>
                </c:pt>
                <c:pt idx="18">
                  <c:v>4.8543863553902868</c:v>
                </c:pt>
                <c:pt idx="19">
                  <c:v>4.6087129319656892</c:v>
                </c:pt>
                <c:pt idx="20">
                  <c:v>4.6399937411197847</c:v>
                </c:pt>
                <c:pt idx="21">
                  <c:v>4.2195420196940763</c:v>
                </c:pt>
                <c:pt idx="22">
                  <c:v>4.1596713160365049</c:v>
                </c:pt>
                <c:pt idx="23">
                  <c:v>3.4676765075216136</c:v>
                </c:pt>
                <c:pt idx="24">
                  <c:v>3.3105821723374742</c:v>
                </c:pt>
                <c:pt idx="25">
                  <c:v>2.7810673364972356</c:v>
                </c:pt>
              </c:numCache>
            </c:numRef>
          </c:val>
        </c:ser>
        <c:ser>
          <c:idx val="1"/>
          <c:order val="1"/>
          <c:tx>
            <c:strRef>
              <c:f>'Leverage &amp; Liquidity'!$V$6</c:f>
              <c:strCache>
                <c:ptCount val="1"/>
                <c:pt idx="0">
                  <c:v>US HY Corporates</c:v>
                </c:pt>
              </c:strCache>
            </c:strRef>
          </c:tx>
          <c:spPr>
            <a:solidFill>
              <a:srgbClr val="003366"/>
            </a:solidFill>
            <a:ln w="12700">
              <a:solidFill>
                <a:srgbClr val="969696"/>
              </a:solidFill>
              <a:prstDash val="solid"/>
            </a:ln>
          </c:spPr>
          <c:invertIfNegative val="0"/>
          <c:cat>
            <c:numRef>
              <c:f>'Leverage &amp; Liquidity'!$B$7:$B$32</c:f>
              <c:numCache>
                <c:formatCode>mm/dd/yyyy</c:formatCode>
                <c:ptCount val="26"/>
                <c:pt idx="0">
                  <c:v>38807</c:v>
                </c:pt>
                <c:pt idx="1">
                  <c:v>38898</c:v>
                </c:pt>
                <c:pt idx="2">
                  <c:v>38990</c:v>
                </c:pt>
                <c:pt idx="3">
                  <c:v>39082</c:v>
                </c:pt>
                <c:pt idx="4">
                  <c:v>39172</c:v>
                </c:pt>
                <c:pt idx="5">
                  <c:v>39263</c:v>
                </c:pt>
                <c:pt idx="6">
                  <c:v>39355</c:v>
                </c:pt>
                <c:pt idx="7">
                  <c:v>39447</c:v>
                </c:pt>
                <c:pt idx="8">
                  <c:v>39538</c:v>
                </c:pt>
                <c:pt idx="9">
                  <c:v>39629</c:v>
                </c:pt>
                <c:pt idx="10">
                  <c:v>39721</c:v>
                </c:pt>
                <c:pt idx="11">
                  <c:v>39813</c:v>
                </c:pt>
                <c:pt idx="12">
                  <c:v>39903</c:v>
                </c:pt>
                <c:pt idx="13">
                  <c:v>39994</c:v>
                </c:pt>
                <c:pt idx="14">
                  <c:v>40086</c:v>
                </c:pt>
                <c:pt idx="15">
                  <c:v>40178</c:v>
                </c:pt>
                <c:pt idx="16">
                  <c:v>40268</c:v>
                </c:pt>
                <c:pt idx="17">
                  <c:v>40359</c:v>
                </c:pt>
                <c:pt idx="18">
                  <c:v>40451</c:v>
                </c:pt>
                <c:pt idx="19">
                  <c:v>40543</c:v>
                </c:pt>
                <c:pt idx="20">
                  <c:v>40633</c:v>
                </c:pt>
                <c:pt idx="21">
                  <c:v>40724</c:v>
                </c:pt>
                <c:pt idx="22">
                  <c:v>40816</c:v>
                </c:pt>
                <c:pt idx="23">
                  <c:v>40908</c:v>
                </c:pt>
                <c:pt idx="24">
                  <c:v>40999</c:v>
                </c:pt>
                <c:pt idx="25">
                  <c:v>41090</c:v>
                </c:pt>
              </c:numCache>
            </c:numRef>
          </c:cat>
          <c:val>
            <c:numRef>
              <c:f>'Leverage &amp; Liquidity'!$V$7:$V$32</c:f>
              <c:numCache>
                <c:formatCode>0.00</c:formatCode>
                <c:ptCount val="26"/>
                <c:pt idx="0">
                  <c:v>3.8944682870243641</c:v>
                </c:pt>
                <c:pt idx="1">
                  <c:v>3.7752163623754944</c:v>
                </c:pt>
                <c:pt idx="2">
                  <c:v>3.8346595418706202</c:v>
                </c:pt>
                <c:pt idx="3">
                  <c:v>3.8518708776457142</c:v>
                </c:pt>
                <c:pt idx="4">
                  <c:v>3.8365244110851182</c:v>
                </c:pt>
                <c:pt idx="5">
                  <c:v>3.8811489002357797</c:v>
                </c:pt>
                <c:pt idx="6">
                  <c:v>3.8492729079810717</c:v>
                </c:pt>
                <c:pt idx="7">
                  <c:v>3.7474840527088662</c:v>
                </c:pt>
                <c:pt idx="8">
                  <c:v>3.6883781595301035</c:v>
                </c:pt>
                <c:pt idx="9">
                  <c:v>3.6677572873463773</c:v>
                </c:pt>
                <c:pt idx="10">
                  <c:v>3.4273078537595132</c:v>
                </c:pt>
                <c:pt idx="11">
                  <c:v>3.4329455808611482</c:v>
                </c:pt>
                <c:pt idx="12">
                  <c:v>3.1244102349359277</c:v>
                </c:pt>
                <c:pt idx="13">
                  <c:v>3.1667513414342974</c:v>
                </c:pt>
                <c:pt idx="14">
                  <c:v>2.9971602847898038</c:v>
                </c:pt>
                <c:pt idx="15">
                  <c:v>3.0792113795260452</c:v>
                </c:pt>
                <c:pt idx="16">
                  <c:v>3.2116312973392924</c:v>
                </c:pt>
                <c:pt idx="17">
                  <c:v>3.299835015588847</c:v>
                </c:pt>
                <c:pt idx="18">
                  <c:v>3.4123651272044659</c:v>
                </c:pt>
                <c:pt idx="19">
                  <c:v>3.3332969211835706</c:v>
                </c:pt>
                <c:pt idx="20">
                  <c:v>3.3385097892432811</c:v>
                </c:pt>
                <c:pt idx="21">
                  <c:v>3.4719927516496685</c:v>
                </c:pt>
                <c:pt idx="22">
                  <c:v>3.5758754550133425</c:v>
                </c:pt>
                <c:pt idx="23">
                  <c:v>3.5947683722234411</c:v>
                </c:pt>
                <c:pt idx="24">
                  <c:v>3.5635466112081389</c:v>
                </c:pt>
                <c:pt idx="25">
                  <c:v>3.6715642182408774</c:v>
                </c:pt>
              </c:numCache>
            </c:numRef>
          </c:val>
        </c:ser>
        <c:dLbls>
          <c:showLegendKey val="0"/>
          <c:showVal val="0"/>
          <c:showCatName val="0"/>
          <c:showSerName val="0"/>
          <c:showPercent val="0"/>
          <c:showBubbleSize val="0"/>
        </c:dLbls>
        <c:gapWidth val="25"/>
        <c:axId val="575391616"/>
        <c:axId val="575393152"/>
      </c:barChart>
      <c:catAx>
        <c:axId val="575391616"/>
        <c:scaling>
          <c:orientation val="minMax"/>
        </c:scaling>
        <c:delete val="0"/>
        <c:axPos val="b"/>
        <c:numFmt formatCode="yyyy"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Narrow"/>
                <a:ea typeface="Arial Narrow"/>
                <a:cs typeface="Arial Narrow"/>
              </a:defRPr>
            </a:pPr>
            <a:endParaRPr lang="en-US"/>
          </a:p>
        </c:txPr>
        <c:crossAx val="575393152"/>
        <c:crosses val="autoZero"/>
        <c:auto val="0"/>
        <c:lblAlgn val="ctr"/>
        <c:lblOffset val="100"/>
        <c:tickLblSkip val="4"/>
        <c:tickMarkSkip val="4"/>
        <c:noMultiLvlLbl val="0"/>
      </c:catAx>
      <c:valAx>
        <c:axId val="575393152"/>
        <c:scaling>
          <c:orientation val="minMax"/>
        </c:scaling>
        <c:delete val="0"/>
        <c:axPos val="l"/>
        <c:majorGridlines>
          <c:spPr>
            <a:ln w="12700">
              <a:solidFill>
                <a:srgbClr val="969696"/>
              </a:solidFill>
              <a:prstDash val="solid"/>
            </a:ln>
          </c:spPr>
        </c:majorGridlines>
        <c:title>
          <c:tx>
            <c:rich>
              <a:bodyPr/>
              <a:lstStyle/>
              <a:p>
                <a:pPr>
                  <a:defRPr sz="1200" b="0" i="0" u="none" strike="noStrike" baseline="0">
                    <a:solidFill>
                      <a:srgbClr val="000000"/>
                    </a:solidFill>
                    <a:latin typeface="Arial Narrow"/>
                    <a:ea typeface="Arial Narrow"/>
                    <a:cs typeface="Arial Narrow"/>
                  </a:defRPr>
                </a:pPr>
                <a:r>
                  <a:rPr lang="en-US"/>
                  <a:t>Interest Coverage Ratio</a:t>
                </a:r>
              </a:p>
            </c:rich>
          </c:tx>
          <c:layout>
            <c:manualLayout>
              <c:xMode val="edge"/>
              <c:yMode val="edge"/>
              <c:x val="8.3333468967234647E-3"/>
              <c:y val="0.260000317383199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Narrow"/>
                <a:ea typeface="Arial Narrow"/>
                <a:cs typeface="Arial Narrow"/>
              </a:defRPr>
            </a:pPr>
            <a:endParaRPr lang="en-US"/>
          </a:p>
        </c:txPr>
        <c:crossAx val="575391616"/>
        <c:crosses val="autoZero"/>
        <c:crossBetween val="between"/>
      </c:valAx>
      <c:spPr>
        <a:noFill/>
        <a:ln w="12700">
          <a:solidFill>
            <a:srgbClr val="808080"/>
          </a:solidFill>
          <a:prstDash val="solid"/>
        </a:ln>
      </c:spPr>
    </c:plotArea>
    <c:legend>
      <c:legendPos val="r"/>
      <c:layout>
        <c:manualLayout>
          <c:xMode val="edge"/>
          <c:yMode val="edge"/>
          <c:x val="0.27500044759187431"/>
          <c:y val="0.91500111694472286"/>
          <c:w val="0.48166745063061628"/>
          <c:h val="6.2500076294038448E-2"/>
        </c:manualLayout>
      </c:layout>
      <c:overlay val="0"/>
      <c:spPr>
        <a:solidFill>
          <a:srgbClr val="FFFFFF"/>
        </a:solidFill>
        <a:ln w="25400">
          <a:noFill/>
        </a:ln>
      </c:spPr>
      <c:txPr>
        <a:bodyPr/>
        <a:lstStyle/>
        <a:p>
          <a:pPr>
            <a:defRPr sz="1100" b="0" i="0" u="none" strike="noStrike" baseline="0">
              <a:solidFill>
                <a:srgbClr val="000000"/>
              </a:solidFill>
              <a:latin typeface="Arial Narrow"/>
              <a:ea typeface="Arial Narrow"/>
              <a:cs typeface="Arial Narrow"/>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333353407150728"/>
          <c:y val="4.7500057983469221E-2"/>
          <c:w val="0.83500135905169115"/>
          <c:h val="0.76000092773550754"/>
        </c:manualLayout>
      </c:layout>
      <c:barChart>
        <c:barDir val="col"/>
        <c:grouping val="clustered"/>
        <c:varyColors val="0"/>
        <c:ser>
          <c:idx val="0"/>
          <c:order val="0"/>
          <c:tx>
            <c:strRef>
              <c:f>'Leverage &amp; Liquidity'!$L$6</c:f>
              <c:strCache>
                <c:ptCount val="1"/>
                <c:pt idx="0">
                  <c:v>LatAm Cash as a Pct of ST debt</c:v>
                </c:pt>
              </c:strCache>
            </c:strRef>
          </c:tx>
          <c:spPr>
            <a:solidFill>
              <a:srgbClr val="FF6600"/>
            </a:solidFill>
            <a:ln w="12700">
              <a:solidFill>
                <a:srgbClr val="808080"/>
              </a:solidFill>
              <a:prstDash val="solid"/>
            </a:ln>
          </c:spPr>
          <c:invertIfNegative val="0"/>
          <c:cat>
            <c:numRef>
              <c:f>'Leverage &amp; Liquidity'!$B$7:$B$32</c:f>
              <c:numCache>
                <c:formatCode>mm/dd/yyyy</c:formatCode>
                <c:ptCount val="26"/>
                <c:pt idx="0">
                  <c:v>38807</c:v>
                </c:pt>
                <c:pt idx="1">
                  <c:v>38898</c:v>
                </c:pt>
                <c:pt idx="2">
                  <c:v>38990</c:v>
                </c:pt>
                <c:pt idx="3">
                  <c:v>39082</c:v>
                </c:pt>
                <c:pt idx="4">
                  <c:v>39172</c:v>
                </c:pt>
                <c:pt idx="5">
                  <c:v>39263</c:v>
                </c:pt>
                <c:pt idx="6">
                  <c:v>39355</c:v>
                </c:pt>
                <c:pt idx="7">
                  <c:v>39447</c:v>
                </c:pt>
                <c:pt idx="8">
                  <c:v>39538</c:v>
                </c:pt>
                <c:pt idx="9">
                  <c:v>39629</c:v>
                </c:pt>
                <c:pt idx="10">
                  <c:v>39721</c:v>
                </c:pt>
                <c:pt idx="11">
                  <c:v>39813</c:v>
                </c:pt>
                <c:pt idx="12">
                  <c:v>39903</c:v>
                </c:pt>
                <c:pt idx="13">
                  <c:v>39994</c:v>
                </c:pt>
                <c:pt idx="14">
                  <c:v>40086</c:v>
                </c:pt>
                <c:pt idx="15">
                  <c:v>40178</c:v>
                </c:pt>
                <c:pt idx="16">
                  <c:v>40268</c:v>
                </c:pt>
                <c:pt idx="17">
                  <c:v>40359</c:v>
                </c:pt>
                <c:pt idx="18">
                  <c:v>40451</c:v>
                </c:pt>
                <c:pt idx="19">
                  <c:v>40543</c:v>
                </c:pt>
                <c:pt idx="20">
                  <c:v>40633</c:v>
                </c:pt>
                <c:pt idx="21">
                  <c:v>40724</c:v>
                </c:pt>
                <c:pt idx="22">
                  <c:v>40816</c:v>
                </c:pt>
                <c:pt idx="23">
                  <c:v>40908</c:v>
                </c:pt>
                <c:pt idx="24">
                  <c:v>40999</c:v>
                </c:pt>
                <c:pt idx="25">
                  <c:v>41090</c:v>
                </c:pt>
              </c:numCache>
            </c:numRef>
          </c:cat>
          <c:val>
            <c:numRef>
              <c:f>'Leverage &amp; Liquidity'!$L$7:$L$32</c:f>
              <c:numCache>
                <c:formatCode>#,##0</c:formatCode>
                <c:ptCount val="26"/>
                <c:pt idx="0">
                  <c:v>61.398366025417729</c:v>
                </c:pt>
                <c:pt idx="1">
                  <c:v>60.905817030885977</c:v>
                </c:pt>
                <c:pt idx="2">
                  <c:v>56.685291024072463</c:v>
                </c:pt>
                <c:pt idx="3">
                  <c:v>91.478255651165114</c:v>
                </c:pt>
                <c:pt idx="4">
                  <c:v>52.107199336309861</c:v>
                </c:pt>
                <c:pt idx="5">
                  <c:v>72.410910314788694</c:v>
                </c:pt>
                <c:pt idx="6">
                  <c:v>71.421355526468503</c:v>
                </c:pt>
                <c:pt idx="7">
                  <c:v>85.106662957408162</c:v>
                </c:pt>
                <c:pt idx="8">
                  <c:v>228.8138067233613</c:v>
                </c:pt>
                <c:pt idx="9">
                  <c:v>220.64884987436147</c:v>
                </c:pt>
                <c:pt idx="10">
                  <c:v>191.86713520624451</c:v>
                </c:pt>
                <c:pt idx="11">
                  <c:v>111.04559300992065</c:v>
                </c:pt>
                <c:pt idx="12">
                  <c:v>87.135984328207329</c:v>
                </c:pt>
                <c:pt idx="13">
                  <c:v>74.034409248556415</c:v>
                </c:pt>
                <c:pt idx="14">
                  <c:v>120.59338452490576</c:v>
                </c:pt>
                <c:pt idx="15">
                  <c:v>167.11626960461771</c:v>
                </c:pt>
                <c:pt idx="16">
                  <c:v>176.74207395609801</c:v>
                </c:pt>
                <c:pt idx="17">
                  <c:v>167.81519133424612</c:v>
                </c:pt>
                <c:pt idx="18">
                  <c:v>185.01437857319192</c:v>
                </c:pt>
                <c:pt idx="19">
                  <c:v>147.68265535857503</c:v>
                </c:pt>
                <c:pt idx="20">
                  <c:v>134.02232498242881</c:v>
                </c:pt>
                <c:pt idx="21">
                  <c:v>157.37385400356715</c:v>
                </c:pt>
                <c:pt idx="22">
                  <c:v>147.74819921866666</c:v>
                </c:pt>
                <c:pt idx="23">
                  <c:v>123.85333852220062</c:v>
                </c:pt>
                <c:pt idx="24">
                  <c:v>114.37650142858699</c:v>
                </c:pt>
                <c:pt idx="25">
                  <c:v>120.89145992551103</c:v>
                </c:pt>
              </c:numCache>
            </c:numRef>
          </c:val>
        </c:ser>
        <c:ser>
          <c:idx val="1"/>
          <c:order val="1"/>
          <c:tx>
            <c:strRef>
              <c:f>'Leverage &amp; Liquidity'!$Y$6</c:f>
              <c:strCache>
                <c:ptCount val="1"/>
                <c:pt idx="0">
                  <c:v>US HY Cash as a Pct of ST debt</c:v>
                </c:pt>
              </c:strCache>
            </c:strRef>
          </c:tx>
          <c:spPr>
            <a:solidFill>
              <a:srgbClr val="003366"/>
            </a:solidFill>
            <a:ln w="12700">
              <a:solidFill>
                <a:srgbClr val="808080"/>
              </a:solidFill>
              <a:prstDash val="solid"/>
            </a:ln>
          </c:spPr>
          <c:invertIfNegative val="0"/>
          <c:cat>
            <c:numRef>
              <c:f>'Leverage &amp; Liquidity'!$B$7:$B$32</c:f>
              <c:numCache>
                <c:formatCode>mm/dd/yyyy</c:formatCode>
                <c:ptCount val="26"/>
                <c:pt idx="0">
                  <c:v>38807</c:v>
                </c:pt>
                <c:pt idx="1">
                  <c:v>38898</c:v>
                </c:pt>
                <c:pt idx="2">
                  <c:v>38990</c:v>
                </c:pt>
                <c:pt idx="3">
                  <c:v>39082</c:v>
                </c:pt>
                <c:pt idx="4">
                  <c:v>39172</c:v>
                </c:pt>
                <c:pt idx="5">
                  <c:v>39263</c:v>
                </c:pt>
                <c:pt idx="6">
                  <c:v>39355</c:v>
                </c:pt>
                <c:pt idx="7">
                  <c:v>39447</c:v>
                </c:pt>
                <c:pt idx="8">
                  <c:v>39538</c:v>
                </c:pt>
                <c:pt idx="9">
                  <c:v>39629</c:v>
                </c:pt>
                <c:pt idx="10">
                  <c:v>39721</c:v>
                </c:pt>
                <c:pt idx="11">
                  <c:v>39813</c:v>
                </c:pt>
                <c:pt idx="12">
                  <c:v>39903</c:v>
                </c:pt>
                <c:pt idx="13">
                  <c:v>39994</c:v>
                </c:pt>
                <c:pt idx="14">
                  <c:v>40086</c:v>
                </c:pt>
                <c:pt idx="15">
                  <c:v>40178</c:v>
                </c:pt>
                <c:pt idx="16">
                  <c:v>40268</c:v>
                </c:pt>
                <c:pt idx="17">
                  <c:v>40359</c:v>
                </c:pt>
                <c:pt idx="18">
                  <c:v>40451</c:v>
                </c:pt>
                <c:pt idx="19">
                  <c:v>40543</c:v>
                </c:pt>
                <c:pt idx="20">
                  <c:v>40633</c:v>
                </c:pt>
                <c:pt idx="21">
                  <c:v>40724</c:v>
                </c:pt>
                <c:pt idx="22">
                  <c:v>40816</c:v>
                </c:pt>
                <c:pt idx="23">
                  <c:v>40908</c:v>
                </c:pt>
                <c:pt idx="24">
                  <c:v>40999</c:v>
                </c:pt>
                <c:pt idx="25">
                  <c:v>41090</c:v>
                </c:pt>
              </c:numCache>
            </c:numRef>
          </c:cat>
          <c:val>
            <c:numRef>
              <c:f>'Leverage &amp; Liquidity'!$Y$7:$Y$32</c:f>
              <c:numCache>
                <c:formatCode>0</c:formatCode>
                <c:ptCount val="26"/>
                <c:pt idx="0">
                  <c:v>167.85742295625988</c:v>
                </c:pt>
                <c:pt idx="1">
                  <c:v>149.03139135301211</c:v>
                </c:pt>
                <c:pt idx="2">
                  <c:v>146.75168948048179</c:v>
                </c:pt>
                <c:pt idx="3">
                  <c:v>175.29999488542219</c:v>
                </c:pt>
                <c:pt idx="4">
                  <c:v>164.53155486951502</c:v>
                </c:pt>
                <c:pt idx="5">
                  <c:v>157.40628092428389</c:v>
                </c:pt>
                <c:pt idx="6">
                  <c:v>153.57329509673608</c:v>
                </c:pt>
                <c:pt idx="7">
                  <c:v>174.17021031672934</c:v>
                </c:pt>
                <c:pt idx="8">
                  <c:v>156.22583552538941</c:v>
                </c:pt>
                <c:pt idx="9">
                  <c:v>163.36205503503098</c:v>
                </c:pt>
                <c:pt idx="10">
                  <c:v>139.237380426915</c:v>
                </c:pt>
                <c:pt idx="11">
                  <c:v>141.8823868280013</c:v>
                </c:pt>
                <c:pt idx="12">
                  <c:v>113.111440503219</c:v>
                </c:pt>
                <c:pt idx="13">
                  <c:v>168.27979936336408</c:v>
                </c:pt>
                <c:pt idx="14">
                  <c:v>214.90851140508354</c:v>
                </c:pt>
                <c:pt idx="15">
                  <c:v>217.42356577745147</c:v>
                </c:pt>
                <c:pt idx="16">
                  <c:v>195.77643216519365</c:v>
                </c:pt>
                <c:pt idx="17">
                  <c:v>182.66616769944227</c:v>
                </c:pt>
                <c:pt idx="18">
                  <c:v>199.69583981212898</c:v>
                </c:pt>
                <c:pt idx="19">
                  <c:v>178.33179303719965</c:v>
                </c:pt>
                <c:pt idx="20">
                  <c:v>180.41653590714409</c:v>
                </c:pt>
                <c:pt idx="21">
                  <c:v>175.68691951430844</c:v>
                </c:pt>
                <c:pt idx="22">
                  <c:v>165.06149193798382</c:v>
                </c:pt>
                <c:pt idx="23">
                  <c:v>187.78538098661838</c:v>
                </c:pt>
                <c:pt idx="24">
                  <c:v>183.91776626198012</c:v>
                </c:pt>
                <c:pt idx="25">
                  <c:v>174.45269222873858</c:v>
                </c:pt>
              </c:numCache>
            </c:numRef>
          </c:val>
        </c:ser>
        <c:dLbls>
          <c:showLegendKey val="0"/>
          <c:showVal val="0"/>
          <c:showCatName val="0"/>
          <c:showSerName val="0"/>
          <c:showPercent val="0"/>
          <c:showBubbleSize val="0"/>
        </c:dLbls>
        <c:gapWidth val="25"/>
        <c:axId val="578961792"/>
        <c:axId val="578963328"/>
      </c:barChart>
      <c:catAx>
        <c:axId val="578961792"/>
        <c:scaling>
          <c:orientation val="minMax"/>
        </c:scaling>
        <c:delete val="0"/>
        <c:axPos val="b"/>
        <c:numFmt formatCode="yyyy"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Narrow"/>
                <a:ea typeface="Arial Narrow"/>
                <a:cs typeface="Arial Narrow"/>
              </a:defRPr>
            </a:pPr>
            <a:endParaRPr lang="en-US"/>
          </a:p>
        </c:txPr>
        <c:crossAx val="578963328"/>
        <c:crosses val="autoZero"/>
        <c:auto val="0"/>
        <c:lblAlgn val="ctr"/>
        <c:lblOffset val="100"/>
        <c:tickLblSkip val="4"/>
        <c:tickMarkSkip val="4"/>
        <c:noMultiLvlLbl val="0"/>
      </c:catAx>
      <c:valAx>
        <c:axId val="578963328"/>
        <c:scaling>
          <c:orientation val="minMax"/>
        </c:scaling>
        <c:delete val="0"/>
        <c:axPos val="l"/>
        <c:majorGridlines>
          <c:spPr>
            <a:ln w="12700">
              <a:solidFill>
                <a:srgbClr val="969696"/>
              </a:solidFill>
              <a:prstDash val="solid"/>
            </a:ln>
          </c:spPr>
        </c:majorGridlines>
        <c:title>
          <c:tx>
            <c:rich>
              <a:bodyPr/>
              <a:lstStyle/>
              <a:p>
                <a:pPr>
                  <a:defRPr sz="1200" b="0" i="0" u="none" strike="noStrike" baseline="0">
                    <a:solidFill>
                      <a:srgbClr val="000000"/>
                    </a:solidFill>
                    <a:latin typeface="Arial Narrow"/>
                    <a:ea typeface="Arial Narrow"/>
                    <a:cs typeface="Arial Narrow"/>
                  </a:defRPr>
                </a:pPr>
                <a:r>
                  <a:rPr lang="en-US"/>
                  <a:t>Cash to ST Debt, %</a:t>
                </a:r>
              </a:p>
            </c:rich>
          </c:tx>
          <c:layout>
            <c:manualLayout>
              <c:xMode val="edge"/>
              <c:yMode val="edge"/>
              <c:x val="8.3333468967234647E-3"/>
              <c:y val="0.2775003387455307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Narrow"/>
                <a:ea typeface="Arial Narrow"/>
                <a:cs typeface="Arial Narrow"/>
              </a:defRPr>
            </a:pPr>
            <a:endParaRPr lang="en-US"/>
          </a:p>
        </c:txPr>
        <c:crossAx val="578961792"/>
        <c:crosses val="autoZero"/>
        <c:crossBetween val="between"/>
        <c:majorUnit val="25"/>
      </c:valAx>
      <c:spPr>
        <a:noFill/>
        <a:ln w="12700">
          <a:solidFill>
            <a:srgbClr val="808080"/>
          </a:solidFill>
          <a:prstDash val="solid"/>
        </a:ln>
      </c:spPr>
    </c:plotArea>
    <c:legend>
      <c:legendPos val="b"/>
      <c:layout>
        <c:manualLayout>
          <c:xMode val="edge"/>
          <c:yMode val="edge"/>
          <c:x val="0.12666687283019668"/>
          <c:y val="0.91000111084119972"/>
          <c:w val="0.78500127767135042"/>
          <c:h val="6.2500076294038448E-2"/>
        </c:manualLayout>
      </c:layout>
      <c:overlay val="0"/>
      <c:spPr>
        <a:solidFill>
          <a:srgbClr val="FFFFFF"/>
        </a:solidFill>
        <a:ln w="25400">
          <a:noFill/>
        </a:ln>
      </c:spPr>
      <c:txPr>
        <a:bodyPr/>
        <a:lstStyle/>
        <a:p>
          <a:pPr>
            <a:defRPr sz="1100" b="0" i="0" u="none" strike="noStrike" baseline="0">
              <a:solidFill>
                <a:srgbClr val="000000"/>
              </a:solidFill>
              <a:latin typeface="Arial Narrow"/>
              <a:ea typeface="Arial Narrow"/>
              <a:cs typeface="Arial Narrow"/>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0.xml"/><Relationship Id="rId13" Type="http://schemas.openxmlformats.org/officeDocument/2006/relationships/chart" Target="../charts/chart25.xml"/><Relationship Id="rId3" Type="http://schemas.openxmlformats.org/officeDocument/2006/relationships/chart" Target="../charts/chart15.xml"/><Relationship Id="rId7" Type="http://schemas.openxmlformats.org/officeDocument/2006/relationships/chart" Target="../charts/chart19.xml"/><Relationship Id="rId12" Type="http://schemas.openxmlformats.org/officeDocument/2006/relationships/chart" Target="../charts/chart24.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5" Type="http://schemas.openxmlformats.org/officeDocument/2006/relationships/chart" Target="../charts/chart17.xml"/><Relationship Id="rId10" Type="http://schemas.openxmlformats.org/officeDocument/2006/relationships/chart" Target="../charts/chart22.xml"/><Relationship Id="rId4" Type="http://schemas.openxmlformats.org/officeDocument/2006/relationships/chart" Target="../charts/chart16.xml"/><Relationship Id="rId9" Type="http://schemas.openxmlformats.org/officeDocument/2006/relationships/chart" Target="../charts/chart21.xml"/><Relationship Id="rId14" Type="http://schemas.openxmlformats.org/officeDocument/2006/relationships/chart" Target="../charts/chart2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 Id="rId6" Type="http://schemas.openxmlformats.org/officeDocument/2006/relationships/chart" Target="../charts/chart32.xml"/><Relationship Id="rId5" Type="http://schemas.openxmlformats.org/officeDocument/2006/relationships/chart" Target="../charts/chart31.xml"/><Relationship Id="rId4" Type="http://schemas.openxmlformats.org/officeDocument/2006/relationships/chart" Target="../charts/chart30.xml"/></Relationships>
</file>

<file path=xl/drawings/drawing1.xml><?xml version="1.0" encoding="utf-8"?>
<xdr:wsDr xmlns:xdr="http://schemas.openxmlformats.org/drawingml/2006/spreadsheetDrawing" xmlns:a="http://schemas.openxmlformats.org/drawingml/2006/main">
  <xdr:twoCellAnchor>
    <xdr:from>
      <xdr:col>30</xdr:col>
      <xdr:colOff>19050</xdr:colOff>
      <xdr:row>30</xdr:row>
      <xdr:rowOff>47625</xdr:rowOff>
    </xdr:from>
    <xdr:to>
      <xdr:col>39</xdr:col>
      <xdr:colOff>171450</xdr:colOff>
      <xdr:row>53</xdr:row>
      <xdr:rowOff>133350</xdr:rowOff>
    </xdr:to>
    <xdr:graphicFrame macro="">
      <xdr:nvGraphicFramePr>
        <xdr:cNvPr id="12381" name="Chart 9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39</xdr:col>
      <xdr:colOff>276225</xdr:colOff>
      <xdr:row>30</xdr:row>
      <xdr:rowOff>38100</xdr:rowOff>
    </xdr:from>
    <xdr:to>
      <xdr:col>48</xdr:col>
      <xdr:colOff>504825</xdr:colOff>
      <xdr:row>53</xdr:row>
      <xdr:rowOff>123825</xdr:rowOff>
    </xdr:to>
    <xdr:graphicFrame macro="">
      <xdr:nvGraphicFramePr>
        <xdr:cNvPr id="12382" name="Chart 9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38100</xdr:colOff>
      <xdr:row>54</xdr:row>
      <xdr:rowOff>47625</xdr:rowOff>
    </xdr:from>
    <xdr:to>
      <xdr:col>39</xdr:col>
      <xdr:colOff>190500</xdr:colOff>
      <xdr:row>77</xdr:row>
      <xdr:rowOff>133350</xdr:rowOff>
    </xdr:to>
    <xdr:graphicFrame macro="">
      <xdr:nvGraphicFramePr>
        <xdr:cNvPr id="12383" name="Chart 9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39</xdr:col>
      <xdr:colOff>295275</xdr:colOff>
      <xdr:row>54</xdr:row>
      <xdr:rowOff>47625</xdr:rowOff>
    </xdr:from>
    <xdr:to>
      <xdr:col>48</xdr:col>
      <xdr:colOff>523875</xdr:colOff>
      <xdr:row>77</xdr:row>
      <xdr:rowOff>133350</xdr:rowOff>
    </xdr:to>
    <xdr:graphicFrame macro="">
      <xdr:nvGraphicFramePr>
        <xdr:cNvPr id="12384" name="Chart 9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48</xdr:col>
      <xdr:colOff>571500</xdr:colOff>
      <xdr:row>30</xdr:row>
      <xdr:rowOff>47625</xdr:rowOff>
    </xdr:from>
    <xdr:to>
      <xdr:col>58</xdr:col>
      <xdr:colOff>190500</xdr:colOff>
      <xdr:row>53</xdr:row>
      <xdr:rowOff>133350</xdr:rowOff>
    </xdr:to>
    <xdr:graphicFrame macro="">
      <xdr:nvGraphicFramePr>
        <xdr:cNvPr id="12385" name="Chart 9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419100</xdr:colOff>
      <xdr:row>33</xdr:row>
      <xdr:rowOff>47625</xdr:rowOff>
    </xdr:from>
    <xdr:to>
      <xdr:col>10</xdr:col>
      <xdr:colOff>390525</xdr:colOff>
      <xdr:row>56</xdr:row>
      <xdr:rowOff>133350</xdr:rowOff>
    </xdr:to>
    <xdr:graphicFrame macro="">
      <xdr:nvGraphicFramePr>
        <xdr:cNvPr id="1536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419100</xdr:colOff>
      <xdr:row>57</xdr:row>
      <xdr:rowOff>47625</xdr:rowOff>
    </xdr:from>
    <xdr:to>
      <xdr:col>10</xdr:col>
      <xdr:colOff>390525</xdr:colOff>
      <xdr:row>80</xdr:row>
      <xdr:rowOff>133350</xdr:rowOff>
    </xdr:to>
    <xdr:graphicFrame macro="">
      <xdr:nvGraphicFramePr>
        <xdr:cNvPr id="1536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419100</xdr:colOff>
      <xdr:row>81</xdr:row>
      <xdr:rowOff>47625</xdr:rowOff>
    </xdr:from>
    <xdr:to>
      <xdr:col>10</xdr:col>
      <xdr:colOff>390525</xdr:colOff>
      <xdr:row>104</xdr:row>
      <xdr:rowOff>133350</xdr:rowOff>
    </xdr:to>
    <xdr:graphicFrame macro="">
      <xdr:nvGraphicFramePr>
        <xdr:cNvPr id="1536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66675</xdr:colOff>
      <xdr:row>33</xdr:row>
      <xdr:rowOff>9525</xdr:rowOff>
    </xdr:from>
    <xdr:to>
      <xdr:col>33</xdr:col>
      <xdr:colOff>66675</xdr:colOff>
      <xdr:row>56</xdr:row>
      <xdr:rowOff>95250</xdr:rowOff>
    </xdr:to>
    <xdr:graphicFrame macro="">
      <xdr:nvGraphicFramePr>
        <xdr:cNvPr id="1536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66675</xdr:colOff>
      <xdr:row>57</xdr:row>
      <xdr:rowOff>38100</xdr:rowOff>
    </xdr:from>
    <xdr:to>
      <xdr:col>33</xdr:col>
      <xdr:colOff>66675</xdr:colOff>
      <xdr:row>80</xdr:row>
      <xdr:rowOff>123825</xdr:rowOff>
    </xdr:to>
    <xdr:graphicFrame macro="">
      <xdr:nvGraphicFramePr>
        <xdr:cNvPr id="1536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85725</xdr:colOff>
      <xdr:row>81</xdr:row>
      <xdr:rowOff>47625</xdr:rowOff>
    </xdr:from>
    <xdr:to>
      <xdr:col>33</xdr:col>
      <xdr:colOff>85725</xdr:colOff>
      <xdr:row>104</xdr:row>
      <xdr:rowOff>133350</xdr:rowOff>
    </xdr:to>
    <xdr:graphicFrame macro="">
      <xdr:nvGraphicFramePr>
        <xdr:cNvPr id="15366"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476250</xdr:colOff>
      <xdr:row>57</xdr:row>
      <xdr:rowOff>57150</xdr:rowOff>
    </xdr:from>
    <xdr:to>
      <xdr:col>21</xdr:col>
      <xdr:colOff>485775</xdr:colOff>
      <xdr:row>80</xdr:row>
      <xdr:rowOff>152400</xdr:rowOff>
    </xdr:to>
    <xdr:graphicFrame macro="">
      <xdr:nvGraphicFramePr>
        <xdr:cNvPr id="15385"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123825</xdr:colOff>
      <xdr:row>28</xdr:row>
      <xdr:rowOff>85725</xdr:rowOff>
    </xdr:from>
    <xdr:to>
      <xdr:col>6</xdr:col>
      <xdr:colOff>885825</xdr:colOff>
      <xdr:row>52</xdr:row>
      <xdr:rowOff>9525</xdr:rowOff>
    </xdr:to>
    <xdr:graphicFrame macro="">
      <xdr:nvGraphicFramePr>
        <xdr:cNvPr id="4103"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123825</xdr:colOff>
      <xdr:row>52</xdr:row>
      <xdr:rowOff>85725</xdr:rowOff>
    </xdr:from>
    <xdr:to>
      <xdr:col>6</xdr:col>
      <xdr:colOff>885825</xdr:colOff>
      <xdr:row>76</xdr:row>
      <xdr:rowOff>9525</xdr:rowOff>
    </xdr:to>
    <xdr:graphicFrame macro="">
      <xdr:nvGraphicFramePr>
        <xdr:cNvPr id="4104"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123825</xdr:colOff>
      <xdr:row>76</xdr:row>
      <xdr:rowOff>114300</xdr:rowOff>
    </xdr:from>
    <xdr:to>
      <xdr:col>6</xdr:col>
      <xdr:colOff>885825</xdr:colOff>
      <xdr:row>100</xdr:row>
      <xdr:rowOff>38100</xdr:rowOff>
    </xdr:to>
    <xdr:graphicFrame macro="">
      <xdr:nvGraphicFramePr>
        <xdr:cNvPr id="4105"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123825</xdr:colOff>
      <xdr:row>100</xdr:row>
      <xdr:rowOff>114300</xdr:rowOff>
    </xdr:from>
    <xdr:to>
      <xdr:col>6</xdr:col>
      <xdr:colOff>885825</xdr:colOff>
      <xdr:row>124</xdr:row>
      <xdr:rowOff>38100</xdr:rowOff>
    </xdr:to>
    <xdr:graphicFrame macro="">
      <xdr:nvGraphicFramePr>
        <xdr:cNvPr id="4106"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104775</xdr:colOff>
      <xdr:row>28</xdr:row>
      <xdr:rowOff>85725</xdr:rowOff>
    </xdr:from>
    <xdr:to>
      <xdr:col>13</xdr:col>
      <xdr:colOff>866775</xdr:colOff>
      <xdr:row>52</xdr:row>
      <xdr:rowOff>9525</xdr:rowOff>
    </xdr:to>
    <xdr:graphicFrame macro="">
      <xdr:nvGraphicFramePr>
        <xdr:cNvPr id="4126"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104775</xdr:colOff>
      <xdr:row>52</xdr:row>
      <xdr:rowOff>85725</xdr:rowOff>
    </xdr:from>
    <xdr:to>
      <xdr:col>13</xdr:col>
      <xdr:colOff>866775</xdr:colOff>
      <xdr:row>76</xdr:row>
      <xdr:rowOff>9525</xdr:rowOff>
    </xdr:to>
    <xdr:graphicFrame macro="">
      <xdr:nvGraphicFramePr>
        <xdr:cNvPr id="4127"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95250</xdr:colOff>
      <xdr:row>76</xdr:row>
      <xdr:rowOff>104775</xdr:rowOff>
    </xdr:from>
    <xdr:to>
      <xdr:col>13</xdr:col>
      <xdr:colOff>857250</xdr:colOff>
      <xdr:row>100</xdr:row>
      <xdr:rowOff>28575</xdr:rowOff>
    </xdr:to>
    <xdr:graphicFrame macro="">
      <xdr:nvGraphicFramePr>
        <xdr:cNvPr id="4128"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95250</xdr:colOff>
      <xdr:row>100</xdr:row>
      <xdr:rowOff>104775</xdr:rowOff>
    </xdr:from>
    <xdr:to>
      <xdr:col>13</xdr:col>
      <xdr:colOff>857250</xdr:colOff>
      <xdr:row>124</xdr:row>
      <xdr:rowOff>28575</xdr:rowOff>
    </xdr:to>
    <xdr:graphicFrame macro="">
      <xdr:nvGraphicFramePr>
        <xdr:cNvPr id="4129"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104775</xdr:colOff>
      <xdr:row>28</xdr:row>
      <xdr:rowOff>85725</xdr:rowOff>
    </xdr:from>
    <xdr:to>
      <xdr:col>20</xdr:col>
      <xdr:colOff>866775</xdr:colOff>
      <xdr:row>52</xdr:row>
      <xdr:rowOff>9525</xdr:rowOff>
    </xdr:to>
    <xdr:graphicFrame macro="">
      <xdr:nvGraphicFramePr>
        <xdr:cNvPr id="4131"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104775</xdr:colOff>
      <xdr:row>52</xdr:row>
      <xdr:rowOff>85725</xdr:rowOff>
    </xdr:from>
    <xdr:to>
      <xdr:col>20</xdr:col>
      <xdr:colOff>866775</xdr:colOff>
      <xdr:row>76</xdr:row>
      <xdr:rowOff>9525</xdr:rowOff>
    </xdr:to>
    <xdr:graphicFrame macro="">
      <xdr:nvGraphicFramePr>
        <xdr:cNvPr id="4132"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104775</xdr:colOff>
      <xdr:row>76</xdr:row>
      <xdr:rowOff>104775</xdr:rowOff>
    </xdr:from>
    <xdr:to>
      <xdr:col>20</xdr:col>
      <xdr:colOff>866775</xdr:colOff>
      <xdr:row>100</xdr:row>
      <xdr:rowOff>28575</xdr:rowOff>
    </xdr:to>
    <xdr:graphicFrame macro="">
      <xdr:nvGraphicFramePr>
        <xdr:cNvPr id="4133"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95250</xdr:colOff>
      <xdr:row>100</xdr:row>
      <xdr:rowOff>123825</xdr:rowOff>
    </xdr:from>
    <xdr:to>
      <xdr:col>20</xdr:col>
      <xdr:colOff>857250</xdr:colOff>
      <xdr:row>124</xdr:row>
      <xdr:rowOff>47625</xdr:rowOff>
    </xdr:to>
    <xdr:graphicFrame macro="">
      <xdr:nvGraphicFramePr>
        <xdr:cNvPr id="4134"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20</xdr:col>
      <xdr:colOff>933450</xdr:colOff>
      <xdr:row>28</xdr:row>
      <xdr:rowOff>85725</xdr:rowOff>
    </xdr:from>
    <xdr:to>
      <xdr:col>30</xdr:col>
      <xdr:colOff>180975</xdr:colOff>
      <xdr:row>52</xdr:row>
      <xdr:rowOff>19050</xdr:rowOff>
    </xdr:to>
    <xdr:graphicFrame macro="">
      <xdr:nvGraphicFramePr>
        <xdr:cNvPr id="4207" name="Chart 1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30</xdr:col>
      <xdr:colOff>257175</xdr:colOff>
      <xdr:row>28</xdr:row>
      <xdr:rowOff>85725</xdr:rowOff>
    </xdr:from>
    <xdr:to>
      <xdr:col>39</xdr:col>
      <xdr:colOff>504825</xdr:colOff>
      <xdr:row>52</xdr:row>
      <xdr:rowOff>28575</xdr:rowOff>
    </xdr:to>
    <xdr:graphicFrame macro="">
      <xdr:nvGraphicFramePr>
        <xdr:cNvPr id="4212" name="Chart 1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38100</xdr:colOff>
      <xdr:row>32</xdr:row>
      <xdr:rowOff>57150</xdr:rowOff>
    </xdr:from>
    <xdr:to>
      <xdr:col>14</xdr:col>
      <xdr:colOff>285750</xdr:colOff>
      <xdr:row>55</xdr:row>
      <xdr:rowOff>142875</xdr:rowOff>
    </xdr:to>
    <xdr:graphicFrame macro="">
      <xdr:nvGraphicFramePr>
        <xdr:cNvPr id="6174"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19050</xdr:colOff>
      <xdr:row>32</xdr:row>
      <xdr:rowOff>38100</xdr:rowOff>
    </xdr:from>
    <xdr:to>
      <xdr:col>28</xdr:col>
      <xdr:colOff>0</xdr:colOff>
      <xdr:row>55</xdr:row>
      <xdr:rowOff>123825</xdr:rowOff>
    </xdr:to>
    <xdr:graphicFrame macro="">
      <xdr:nvGraphicFramePr>
        <xdr:cNvPr id="6175"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47625</xdr:colOff>
      <xdr:row>56</xdr:row>
      <xdr:rowOff>85725</xdr:rowOff>
    </xdr:from>
    <xdr:to>
      <xdr:col>14</xdr:col>
      <xdr:colOff>295275</xdr:colOff>
      <xdr:row>80</xdr:row>
      <xdr:rowOff>9525</xdr:rowOff>
    </xdr:to>
    <xdr:graphicFrame macro="">
      <xdr:nvGraphicFramePr>
        <xdr:cNvPr id="6176"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9525</xdr:colOff>
      <xdr:row>56</xdr:row>
      <xdr:rowOff>85725</xdr:rowOff>
    </xdr:from>
    <xdr:to>
      <xdr:col>28</xdr:col>
      <xdr:colOff>0</xdr:colOff>
      <xdr:row>80</xdr:row>
      <xdr:rowOff>9525</xdr:rowOff>
    </xdr:to>
    <xdr:graphicFrame macro="">
      <xdr:nvGraphicFramePr>
        <xdr:cNvPr id="6177"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57150</xdr:colOff>
      <xdr:row>80</xdr:row>
      <xdr:rowOff>123825</xdr:rowOff>
    </xdr:from>
    <xdr:to>
      <xdr:col>14</xdr:col>
      <xdr:colOff>304800</xdr:colOff>
      <xdr:row>104</xdr:row>
      <xdr:rowOff>47625</xdr:rowOff>
    </xdr:to>
    <xdr:graphicFrame macro="">
      <xdr:nvGraphicFramePr>
        <xdr:cNvPr id="6195" name="Chart 5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19050</xdr:colOff>
      <xdr:row>80</xdr:row>
      <xdr:rowOff>114300</xdr:rowOff>
    </xdr:from>
    <xdr:to>
      <xdr:col>28</xdr:col>
      <xdr:colOff>0</xdr:colOff>
      <xdr:row>104</xdr:row>
      <xdr:rowOff>38100</xdr:rowOff>
    </xdr:to>
    <xdr:graphicFrame macro="">
      <xdr:nvGraphicFramePr>
        <xdr:cNvPr id="6196" name="Chart 5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B140"/>
  <sheetViews>
    <sheetView zoomScale="80" workbookViewId="0">
      <pane ySplit="5" topLeftCell="A6" activePane="bottomLeft" state="frozen"/>
      <selection activeCell="D4" sqref="D4:E4"/>
      <selection pane="bottomLeft" activeCell="F16" sqref="F16"/>
    </sheetView>
  </sheetViews>
  <sheetFormatPr defaultRowHeight="12.75" x14ac:dyDescent="0.2"/>
  <cols>
    <col min="1" max="1" width="11.140625" style="36" customWidth="1"/>
    <col min="2" max="2" width="11.42578125" customWidth="1"/>
    <col min="3" max="3" width="19" customWidth="1"/>
    <col min="4" max="4" width="7.5703125" customWidth="1"/>
    <col min="5" max="5" width="7.28515625" style="37" customWidth="1"/>
    <col min="6" max="8" width="9.85546875" style="44" customWidth="1"/>
    <col min="9" max="9" width="9.85546875" style="53" customWidth="1"/>
    <col min="10" max="10" width="7.28515625" style="37" customWidth="1"/>
    <col min="11" max="13" width="9.85546875" style="44" customWidth="1"/>
    <col min="14" max="14" width="9.85546875" style="53" customWidth="1"/>
    <col min="15" max="15" width="7.140625" style="34" customWidth="1"/>
    <col min="16" max="17" width="9.85546875" style="44" customWidth="1"/>
    <col min="18" max="18" width="9.85546875" customWidth="1"/>
    <col min="19" max="20" width="6.5703125" style="15" customWidth="1"/>
    <col min="22" max="22" width="12" style="36" customWidth="1"/>
    <col min="23" max="23" width="11" customWidth="1"/>
    <col min="24" max="24" width="8.28515625" customWidth="1"/>
    <col min="25" max="25" width="8.5703125" style="4" customWidth="1"/>
    <col min="26" max="26" width="11.140625" style="3" customWidth="1"/>
    <col min="27" max="27" width="14.5703125" customWidth="1"/>
  </cols>
  <sheetData>
    <row r="1" spans="1:28" x14ac:dyDescent="0.2">
      <c r="A1" s="51" t="s">
        <v>272</v>
      </c>
      <c r="E1" s="57" t="s">
        <v>275</v>
      </c>
      <c r="F1" s="57" t="s">
        <v>275</v>
      </c>
      <c r="G1" s="57" t="s">
        <v>275</v>
      </c>
      <c r="H1" s="57" t="s">
        <v>275</v>
      </c>
      <c r="I1" s="57" t="s">
        <v>275</v>
      </c>
      <c r="J1" s="58" t="s">
        <v>276</v>
      </c>
      <c r="K1" s="58" t="s">
        <v>276</v>
      </c>
      <c r="L1" s="58" t="s">
        <v>276</v>
      </c>
      <c r="M1" s="58" t="s">
        <v>276</v>
      </c>
      <c r="N1" s="58" t="s">
        <v>276</v>
      </c>
      <c r="O1" s="59" t="s">
        <v>277</v>
      </c>
      <c r="P1" s="59" t="s">
        <v>277</v>
      </c>
      <c r="Q1" s="71" t="s">
        <v>277</v>
      </c>
      <c r="R1" s="59" t="s">
        <v>277</v>
      </c>
      <c r="S1" s="64"/>
      <c r="T1" s="64"/>
    </row>
    <row r="2" spans="1:28" ht="8.25" customHeight="1" x14ac:dyDescent="0.2">
      <c r="A2" s="51"/>
      <c r="E2" s="57"/>
      <c r="F2" s="57"/>
      <c r="G2" s="57"/>
      <c r="H2" s="57"/>
      <c r="I2" s="57"/>
      <c r="J2" s="58"/>
      <c r="K2" s="58"/>
      <c r="L2" s="58"/>
      <c r="M2" s="58"/>
      <c r="N2" s="58"/>
      <c r="O2" s="59"/>
      <c r="P2" s="59"/>
      <c r="Q2" s="71"/>
    </row>
    <row r="3" spans="1:28" x14ac:dyDescent="0.2">
      <c r="A3" s="51"/>
      <c r="B3" s="63" t="s">
        <v>279</v>
      </c>
      <c r="C3" s="62">
        <f>IF(B3="YoY",(G3/Q3-1)*100,(L3/Q3-1)*100)</f>
        <v>-19.025803602563396</v>
      </c>
      <c r="E3" s="57"/>
      <c r="F3" s="60">
        <f>SUBTOTAL(9,F6:F65536)</f>
        <v>521243.55759429932</v>
      </c>
      <c r="G3" s="60">
        <f>SUBTOTAL(9,G6:G65536)</f>
        <v>69899.671273946762</v>
      </c>
      <c r="H3" s="60">
        <f>SUBTOTAL(9,H6:H65536)</f>
        <v>310717.50730705261</v>
      </c>
      <c r="I3" s="61">
        <f>F3/H3</f>
        <v>1.6775480793208211</v>
      </c>
      <c r="J3" s="58"/>
      <c r="K3" s="60">
        <f>SUBTOTAL(9,K6:K65536)</f>
        <v>532114.6188583374</v>
      </c>
      <c r="L3" s="60">
        <f>SUBTOTAL(9,L6:L65536)</f>
        <v>79053.00519824028</v>
      </c>
      <c r="M3" s="60">
        <f>SUBTOTAL(9,M6:M65536)</f>
        <v>323738.28074836731</v>
      </c>
      <c r="N3" s="61">
        <f>K3/M3</f>
        <v>1.6436567761720313</v>
      </c>
      <c r="O3" s="59"/>
      <c r="P3" s="60">
        <f>SUBTOTAL(9,P6:P65536)</f>
        <v>507823.64356994629</v>
      </c>
      <c r="Q3" s="60">
        <f>SUBTOTAL(9,Q6:Q65536)</f>
        <v>86323.389899253845</v>
      </c>
    </row>
    <row r="4" spans="1:28" ht="8.25" customHeight="1" x14ac:dyDescent="0.2">
      <c r="A4" s="51"/>
      <c r="E4" s="57"/>
      <c r="F4" s="57"/>
      <c r="G4" s="57"/>
      <c r="H4" s="57"/>
      <c r="I4" s="57"/>
      <c r="J4" s="58"/>
      <c r="K4" s="58"/>
      <c r="L4" s="58"/>
      <c r="M4" s="58"/>
      <c r="N4" s="58"/>
      <c r="O4" s="59"/>
      <c r="P4" s="59"/>
      <c r="Q4" s="71"/>
    </row>
    <row r="5" spans="1:28" x14ac:dyDescent="0.2">
      <c r="A5" s="47" t="s">
        <v>232</v>
      </c>
      <c r="B5" s="47" t="s">
        <v>233</v>
      </c>
      <c r="C5" s="47" t="s">
        <v>234</v>
      </c>
      <c r="D5" s="47" t="s">
        <v>40</v>
      </c>
      <c r="E5" s="46" t="s">
        <v>273</v>
      </c>
      <c r="F5" s="48" t="s">
        <v>235</v>
      </c>
      <c r="G5" s="48" t="s">
        <v>236</v>
      </c>
      <c r="H5" s="48" t="s">
        <v>258</v>
      </c>
      <c r="I5" s="52" t="s">
        <v>239</v>
      </c>
      <c r="J5" s="45" t="s">
        <v>274</v>
      </c>
      <c r="K5" s="49" t="s">
        <v>238</v>
      </c>
      <c r="L5" s="49" t="s">
        <v>237</v>
      </c>
      <c r="M5" s="49" t="s">
        <v>259</v>
      </c>
      <c r="N5" s="50" t="s">
        <v>260</v>
      </c>
      <c r="O5" s="54" t="s">
        <v>273</v>
      </c>
      <c r="P5" s="55" t="s">
        <v>235</v>
      </c>
      <c r="Q5" s="55" t="s">
        <v>278</v>
      </c>
      <c r="R5" s="56" t="s">
        <v>239</v>
      </c>
      <c r="S5" s="65" t="s">
        <v>280</v>
      </c>
      <c r="T5" s="65" t="s">
        <v>279</v>
      </c>
      <c r="V5" s="79" t="s">
        <v>0</v>
      </c>
      <c r="W5" s="49" t="s">
        <v>66</v>
      </c>
      <c r="X5" s="49" t="s">
        <v>40</v>
      </c>
      <c r="Y5" s="50" t="s">
        <v>5</v>
      </c>
      <c r="Z5" s="49" t="s">
        <v>2</v>
      </c>
      <c r="AA5" s="49" t="s">
        <v>185</v>
      </c>
      <c r="AB5" s="72" t="s">
        <v>294</v>
      </c>
    </row>
    <row r="6" spans="1:28" x14ac:dyDescent="0.2">
      <c r="A6" s="36">
        <v>41090</v>
      </c>
      <c r="B6" t="s">
        <v>265</v>
      </c>
      <c r="C6" t="s">
        <v>203</v>
      </c>
      <c r="D6" s="3" t="s">
        <v>151</v>
      </c>
      <c r="E6" s="37" t="b">
        <v>0</v>
      </c>
      <c r="F6" s="44">
        <v>2525</v>
      </c>
      <c r="G6" s="44">
        <v>376</v>
      </c>
      <c r="H6" s="44">
        <v>1510</v>
      </c>
      <c r="I6" s="53">
        <v>1.6721854304635762</v>
      </c>
      <c r="J6" s="37" t="b">
        <v>0</v>
      </c>
      <c r="K6" s="44">
        <v>2074.9169921875</v>
      </c>
      <c r="L6" s="44">
        <v>306.89599609375</v>
      </c>
      <c r="M6" s="44">
        <v>1486.4859619140625</v>
      </c>
      <c r="N6" s="53">
        <v>1.3958537418784289</v>
      </c>
      <c r="O6" s="34" t="b">
        <v>0</v>
      </c>
      <c r="P6" s="44">
        <v>853.6240234375</v>
      </c>
      <c r="Q6" s="44">
        <v>213.73699951171875</v>
      </c>
      <c r="R6" s="4">
        <v>0.81776820197806477</v>
      </c>
      <c r="S6" s="25">
        <f>I6-N6</f>
        <v>0.27633168858514723</v>
      </c>
      <c r="T6" s="25">
        <f>I6-R6</f>
        <v>0.85441722848551138</v>
      </c>
      <c r="V6" s="36">
        <v>40999</v>
      </c>
      <c r="W6" t="s">
        <v>128</v>
      </c>
      <c r="X6" t="s">
        <v>39</v>
      </c>
      <c r="Y6" s="4">
        <v>1.805546760559082</v>
      </c>
      <c r="Z6" s="3">
        <v>89972</v>
      </c>
      <c r="AA6" t="b">
        <v>1</v>
      </c>
      <c r="AB6" t="str">
        <f>IF(ISERROR(VLOOKUP($W6,$B:$B,1,FALSE)),"Not Incl.","Incl.")</f>
        <v>Incl.</v>
      </c>
    </row>
    <row r="7" spans="1:28" x14ac:dyDescent="0.2">
      <c r="A7" s="36">
        <v>41090</v>
      </c>
      <c r="B7" t="s">
        <v>145</v>
      </c>
      <c r="C7" t="s">
        <v>198</v>
      </c>
      <c r="D7" s="3" t="s">
        <v>52</v>
      </c>
      <c r="E7" s="37" t="b">
        <v>0</v>
      </c>
      <c r="F7" s="44">
        <v>1152.800048828125</v>
      </c>
      <c r="G7" s="44">
        <v>274.8909912109375</v>
      </c>
      <c r="H7" s="44">
        <v>878.31097412109375</v>
      </c>
      <c r="I7" s="53">
        <v>1.3125192361187408</v>
      </c>
      <c r="J7" s="37" t="b">
        <v>1</v>
      </c>
      <c r="K7" s="44">
        <v>1038.449951171875</v>
      </c>
      <c r="L7" s="44">
        <v>258.74899291992187</v>
      </c>
      <c r="M7" s="44">
        <v>651.197021484375</v>
      </c>
      <c r="N7" s="53">
        <v>1.594678594820311</v>
      </c>
      <c r="O7" s="34" t="b">
        <v>0</v>
      </c>
      <c r="P7" s="44">
        <v>826.33502197265625</v>
      </c>
      <c r="Q7" s="44">
        <v>71.883003234863281</v>
      </c>
      <c r="R7" s="4">
        <v>5.4278800477291327</v>
      </c>
      <c r="S7" s="25">
        <f t="shared" ref="S7:S70" si="0">I7-N7</f>
        <v>-0.28215935870157027</v>
      </c>
      <c r="T7" s="25">
        <f t="shared" ref="T7:T70" si="1">I7-R7</f>
        <v>-4.1153608116103921</v>
      </c>
      <c r="V7" s="36">
        <v>40999</v>
      </c>
      <c r="W7" t="s">
        <v>252</v>
      </c>
      <c r="X7" t="s">
        <v>38</v>
      </c>
      <c r="Y7" s="4">
        <v>0.5523257851600647</v>
      </c>
      <c r="Z7" s="3">
        <v>58048.51171875</v>
      </c>
      <c r="AA7" t="b">
        <v>1</v>
      </c>
      <c r="AB7" t="str">
        <f t="shared" ref="AB7:AB70" si="2">IF(ISERROR(VLOOKUP($W7,$B:$B,1,FALSE)),"Not Incl.","Incl.")</f>
        <v>Incl.</v>
      </c>
    </row>
    <row r="8" spans="1:28" x14ac:dyDescent="0.2">
      <c r="A8" s="36">
        <v>41090</v>
      </c>
      <c r="B8" t="s">
        <v>304</v>
      </c>
      <c r="C8" t="s">
        <v>201</v>
      </c>
      <c r="D8" s="3" t="s">
        <v>141</v>
      </c>
      <c r="E8" s="37" t="b">
        <v>0</v>
      </c>
      <c r="F8" s="44">
        <v>216</v>
      </c>
      <c r="G8" s="44">
        <v>30</v>
      </c>
      <c r="H8" s="44">
        <v>133</v>
      </c>
      <c r="I8" s="53">
        <v>1.6240601503759398</v>
      </c>
      <c r="J8" s="37" t="b">
        <v>0</v>
      </c>
      <c r="K8" s="44">
        <v>215</v>
      </c>
      <c r="L8" s="44">
        <v>41</v>
      </c>
      <c r="M8" s="44">
        <v>137</v>
      </c>
      <c r="N8" s="53">
        <v>1.5693430656934306</v>
      </c>
      <c r="O8" s="34" t="b">
        <v>1</v>
      </c>
      <c r="P8" s="44">
        <v>219.96319580078125</v>
      </c>
      <c r="Q8" s="44">
        <v>33.686870574951172</v>
      </c>
      <c r="R8" s="4">
        <v>0.5907684686402952</v>
      </c>
      <c r="S8" s="25">
        <f t="shared" si="0"/>
        <v>5.4717084682509132E-2</v>
      </c>
      <c r="T8" s="25">
        <f t="shared" si="1"/>
        <v>1.0332916817356446</v>
      </c>
      <c r="V8" s="36">
        <v>40999</v>
      </c>
      <c r="W8" t="s">
        <v>300</v>
      </c>
      <c r="X8" t="s">
        <v>38</v>
      </c>
      <c r="Y8" s="4">
        <v>0.40826979279518127</v>
      </c>
      <c r="Z8" s="3">
        <v>48030</v>
      </c>
      <c r="AA8" t="b">
        <v>0</v>
      </c>
      <c r="AB8" t="str">
        <f t="shared" si="2"/>
        <v>Not Incl.</v>
      </c>
    </row>
    <row r="9" spans="1:28" x14ac:dyDescent="0.2">
      <c r="A9" s="36">
        <v>41090</v>
      </c>
      <c r="B9" t="s">
        <v>67</v>
      </c>
      <c r="C9" t="s">
        <v>199</v>
      </c>
      <c r="D9" s="3" t="s">
        <v>53</v>
      </c>
      <c r="E9" s="37" t="b">
        <v>0</v>
      </c>
      <c r="F9" s="44">
        <v>2062.2626953125</v>
      </c>
      <c r="G9" s="44">
        <v>1505.863037109375</v>
      </c>
      <c r="H9" s="44">
        <v>7767.0283203125</v>
      </c>
      <c r="I9" s="53">
        <v>0.26551502199615085</v>
      </c>
      <c r="J9" s="37" t="b">
        <v>1</v>
      </c>
      <c r="K9" s="44">
        <v>2098.385986328125</v>
      </c>
      <c r="L9" s="44">
        <v>1918.0460205078125</v>
      </c>
      <c r="M9" s="44">
        <v>7847.06494140625</v>
      </c>
      <c r="N9" s="53">
        <v>0.26741029951920842</v>
      </c>
      <c r="O9" s="34" t="b">
        <v>1</v>
      </c>
      <c r="P9" s="44">
        <v>3236.7939453125</v>
      </c>
      <c r="Q9" s="44">
        <v>1619.864990234375</v>
      </c>
      <c r="R9" s="4">
        <v>0.44650963976478497</v>
      </c>
      <c r="S9" s="25">
        <f t="shared" si="0"/>
        <v>-1.8952775230575702E-3</v>
      </c>
      <c r="T9" s="25">
        <f t="shared" si="1"/>
        <v>-0.18099461776863413</v>
      </c>
      <c r="V9" s="36">
        <v>40999</v>
      </c>
      <c r="W9" t="s">
        <v>301</v>
      </c>
      <c r="X9" t="s">
        <v>38</v>
      </c>
      <c r="Y9" s="4">
        <v>1.4673585891723633</v>
      </c>
      <c r="Z9" s="3">
        <v>31237</v>
      </c>
      <c r="AA9" t="b">
        <v>0</v>
      </c>
      <c r="AB9" t="str">
        <f t="shared" si="2"/>
        <v>Not Incl.</v>
      </c>
    </row>
    <row r="10" spans="1:28" x14ac:dyDescent="0.2">
      <c r="A10" s="36">
        <v>41090</v>
      </c>
      <c r="B10" t="s">
        <v>69</v>
      </c>
      <c r="C10" t="s">
        <v>200</v>
      </c>
      <c r="D10" s="3" t="s">
        <v>155</v>
      </c>
      <c r="E10" s="37" t="b">
        <v>0</v>
      </c>
      <c r="F10" s="44">
        <v>31715.453125</v>
      </c>
      <c r="G10" s="44">
        <v>4841.126953125</v>
      </c>
      <c r="H10" s="44">
        <v>19855.63671875</v>
      </c>
      <c r="I10" s="53">
        <v>1.5973022459184389</v>
      </c>
      <c r="J10" s="37" t="b">
        <v>1</v>
      </c>
      <c r="K10" s="44">
        <v>30897.7890625</v>
      </c>
      <c r="L10" s="44">
        <v>5186.09814453125</v>
      </c>
      <c r="M10" s="44">
        <v>20411</v>
      </c>
      <c r="N10" s="53">
        <v>1.5137812484689628</v>
      </c>
      <c r="O10" s="34" t="b">
        <v>1</v>
      </c>
      <c r="P10" s="44">
        <v>27296.919921875</v>
      </c>
      <c r="Q10" s="44">
        <v>5288.251953125</v>
      </c>
      <c r="R10" s="4">
        <v>1.3451371102082803</v>
      </c>
      <c r="S10" s="25">
        <f t="shared" si="0"/>
        <v>8.3520997449476164E-2</v>
      </c>
      <c r="T10" s="25">
        <f t="shared" si="1"/>
        <v>0.25216513571015864</v>
      </c>
      <c r="V10" s="36">
        <v>40999</v>
      </c>
      <c r="W10" t="s">
        <v>69</v>
      </c>
      <c r="X10" t="s">
        <v>155</v>
      </c>
      <c r="Y10" s="4">
        <v>1.2828090190887451</v>
      </c>
      <c r="Z10" s="3">
        <v>30897.7890625</v>
      </c>
      <c r="AA10" t="b">
        <v>1</v>
      </c>
      <c r="AB10" t="str">
        <f t="shared" si="2"/>
        <v>Incl.</v>
      </c>
    </row>
    <row r="11" spans="1:28" x14ac:dyDescent="0.2">
      <c r="A11" s="36">
        <v>41090</v>
      </c>
      <c r="B11" t="s">
        <v>84</v>
      </c>
      <c r="C11" t="s">
        <v>201</v>
      </c>
      <c r="D11" s="3" t="s">
        <v>150</v>
      </c>
      <c r="E11" s="37" t="b">
        <v>0</v>
      </c>
      <c r="F11" s="44">
        <v>891.6541748046875</v>
      </c>
      <c r="G11" s="44">
        <v>51.333805084228516</v>
      </c>
      <c r="H11" s="44">
        <v>250.02799987792969</v>
      </c>
      <c r="I11" s="53">
        <v>3.5662172846241891</v>
      </c>
      <c r="J11" s="37" t="b">
        <v>1</v>
      </c>
      <c r="K11" s="44">
        <v>879.55792236328125</v>
      </c>
      <c r="L11" s="44">
        <v>58.450668334960938</v>
      </c>
      <c r="M11" s="44">
        <v>278.90350341796875</v>
      </c>
      <c r="N11" s="53">
        <v>3.1536280885119012</v>
      </c>
      <c r="O11" s="34" t="b">
        <v>1</v>
      </c>
      <c r="P11" s="44">
        <v>848.1903076171875</v>
      </c>
      <c r="Q11" s="44">
        <v>79.7476806640625</v>
      </c>
      <c r="R11" s="4">
        <v>3.0619128056335625</v>
      </c>
      <c r="S11" s="25">
        <f t="shared" si="0"/>
        <v>0.41258919611228784</v>
      </c>
      <c r="T11" s="25">
        <f t="shared" si="1"/>
        <v>0.50430447899062658</v>
      </c>
      <c r="V11" s="36">
        <v>40999</v>
      </c>
      <c r="W11" t="s">
        <v>138</v>
      </c>
      <c r="X11" t="s">
        <v>38</v>
      </c>
      <c r="Y11" s="4">
        <v>4.4823827743530273</v>
      </c>
      <c r="Z11" s="3">
        <v>26327.689453125</v>
      </c>
      <c r="AA11" t="b">
        <v>1</v>
      </c>
      <c r="AB11" t="str">
        <f t="shared" si="2"/>
        <v>Incl.</v>
      </c>
    </row>
    <row r="12" spans="1:28" x14ac:dyDescent="0.2">
      <c r="A12" s="36">
        <v>41090</v>
      </c>
      <c r="B12" t="s">
        <v>159</v>
      </c>
      <c r="C12" t="s">
        <v>202</v>
      </c>
      <c r="D12" s="3" t="s">
        <v>54</v>
      </c>
      <c r="E12" s="37" t="b">
        <v>0</v>
      </c>
      <c r="F12" s="44">
        <v>646.98699951171875</v>
      </c>
      <c r="G12" s="44">
        <v>219.80400085449219</v>
      </c>
      <c r="H12" s="44">
        <v>1016.697021484375</v>
      </c>
      <c r="I12" s="53">
        <v>0.63636165528164867</v>
      </c>
      <c r="J12" s="37" t="b">
        <v>1</v>
      </c>
      <c r="K12" s="44">
        <v>586.2030029296875</v>
      </c>
      <c r="L12" s="44">
        <v>200.21499633789062</v>
      </c>
      <c r="M12" s="44">
        <v>1157.31396484375</v>
      </c>
      <c r="N12" s="53">
        <v>0.50652028813013705</v>
      </c>
      <c r="O12" s="34" t="b">
        <v>1</v>
      </c>
      <c r="P12" s="44">
        <v>738.6729736328125</v>
      </c>
      <c r="Q12" s="44">
        <v>294.39700317382812</v>
      </c>
      <c r="R12" s="4">
        <v>0.730761755079123</v>
      </c>
      <c r="S12" s="25">
        <f t="shared" si="0"/>
        <v>0.12984136715151162</v>
      </c>
      <c r="T12" s="25">
        <f t="shared" si="1"/>
        <v>-9.4400099797474324E-2</v>
      </c>
      <c r="V12" s="36">
        <v>40999</v>
      </c>
      <c r="W12" t="s">
        <v>124</v>
      </c>
      <c r="X12" t="s">
        <v>39</v>
      </c>
      <c r="Y12" s="4">
        <v>0.64446234703063965</v>
      </c>
      <c r="Z12" s="3">
        <v>24939</v>
      </c>
      <c r="AA12" t="b">
        <v>1</v>
      </c>
      <c r="AB12" t="str">
        <f t="shared" si="2"/>
        <v>Incl.</v>
      </c>
    </row>
    <row r="13" spans="1:28" x14ac:dyDescent="0.2">
      <c r="A13" s="36">
        <v>41090</v>
      </c>
      <c r="B13" t="s">
        <v>241</v>
      </c>
      <c r="C13" t="s">
        <v>320</v>
      </c>
      <c r="D13" s="3" t="s">
        <v>37</v>
      </c>
      <c r="E13" s="37" t="b">
        <v>0</v>
      </c>
      <c r="F13" s="44">
        <v>5411</v>
      </c>
      <c r="G13" s="44">
        <v>172</v>
      </c>
      <c r="H13" s="44">
        <v>1284</v>
      </c>
      <c r="I13" s="53">
        <v>4.2141744548286608</v>
      </c>
      <c r="J13" s="37" t="b">
        <v>0</v>
      </c>
      <c r="K13" s="44">
        <v>4992.537109375</v>
      </c>
      <c r="L13" s="44">
        <v>343.24530029296875</v>
      </c>
      <c r="M13" s="44">
        <v>1457.76904296875</v>
      </c>
      <c r="N13" s="53">
        <v>3.4247792086513833</v>
      </c>
      <c r="O13" s="34" t="b">
        <v>1</v>
      </c>
      <c r="P13" s="44">
        <v>3878.678955078125</v>
      </c>
      <c r="Q13" s="44">
        <v>334.04559326171875</v>
      </c>
      <c r="R13" s="4">
        <v>3.2641641859030717</v>
      </c>
      <c r="S13" s="25">
        <f t="shared" si="0"/>
        <v>0.78939524617727752</v>
      </c>
      <c r="T13" s="25">
        <f t="shared" si="1"/>
        <v>0.95001026892558915</v>
      </c>
      <c r="V13" s="36">
        <v>40999</v>
      </c>
      <c r="W13" t="s">
        <v>65</v>
      </c>
      <c r="X13" t="s">
        <v>38</v>
      </c>
      <c r="Y13" s="4">
        <v>1.4281225204467773</v>
      </c>
      <c r="Z13" s="3">
        <v>19348.765625</v>
      </c>
      <c r="AA13" t="b">
        <v>0</v>
      </c>
      <c r="AB13" t="str">
        <f t="shared" si="2"/>
        <v>Not Incl.</v>
      </c>
    </row>
    <row r="14" spans="1:28" x14ac:dyDescent="0.2">
      <c r="A14" s="36">
        <v>41090</v>
      </c>
      <c r="B14" t="s">
        <v>73</v>
      </c>
      <c r="C14" t="s">
        <v>203</v>
      </c>
      <c r="D14" s="3" t="s">
        <v>141</v>
      </c>
      <c r="E14" s="37" t="b">
        <v>0</v>
      </c>
      <c r="F14" s="44">
        <v>935.85302734375</v>
      </c>
      <c r="G14" s="44">
        <v>101.55599975585937</v>
      </c>
      <c r="H14" s="44">
        <v>503.365966796875</v>
      </c>
      <c r="I14" s="53">
        <v>1.8591901103266244</v>
      </c>
      <c r="J14" s="37" t="b">
        <v>0</v>
      </c>
      <c r="K14" s="44">
        <v>935.677001953125</v>
      </c>
      <c r="L14" s="44">
        <v>96.316001892089844</v>
      </c>
      <c r="M14" s="44">
        <v>541.319091796875</v>
      </c>
      <c r="N14" s="53">
        <v>1.7285128423000997</v>
      </c>
      <c r="O14" s="34" t="b">
        <v>0</v>
      </c>
      <c r="P14" s="44">
        <v>789.857177734375</v>
      </c>
      <c r="Q14" s="44">
        <v>198.07670593261719</v>
      </c>
      <c r="R14" s="4"/>
      <c r="S14" s="25">
        <f t="shared" si="0"/>
        <v>0.13067726802652468</v>
      </c>
      <c r="T14" s="25">
        <f t="shared" si="1"/>
        <v>1.8591901103266244</v>
      </c>
      <c r="V14" s="36">
        <v>40999</v>
      </c>
      <c r="W14" t="s">
        <v>94</v>
      </c>
      <c r="X14" t="s">
        <v>144</v>
      </c>
      <c r="Y14" s="4">
        <v>7.1462240219116211</v>
      </c>
      <c r="Z14" s="3">
        <v>18166</v>
      </c>
      <c r="AA14" t="b">
        <v>1</v>
      </c>
      <c r="AB14" t="str">
        <f t="shared" si="2"/>
        <v>Incl.</v>
      </c>
    </row>
    <row r="15" spans="1:28" x14ac:dyDescent="0.2">
      <c r="A15" s="36">
        <v>41090</v>
      </c>
      <c r="B15" t="s">
        <v>131</v>
      </c>
      <c r="C15" t="s">
        <v>204</v>
      </c>
      <c r="D15" s="3" t="s">
        <v>54</v>
      </c>
      <c r="E15" s="37" t="b">
        <v>0</v>
      </c>
      <c r="F15" s="44">
        <v>3258.14404296875</v>
      </c>
      <c r="G15" s="44">
        <v>283.19790649414062</v>
      </c>
      <c r="H15" s="44">
        <v>1219.6920166015625</v>
      </c>
      <c r="I15" s="53">
        <v>2.6712842247233382</v>
      </c>
      <c r="J15" s="37" t="b">
        <v>1</v>
      </c>
      <c r="K15" s="44">
        <v>3341.596923828125</v>
      </c>
      <c r="L15" s="44">
        <v>222.02009582519531</v>
      </c>
      <c r="M15" s="44">
        <v>1170</v>
      </c>
      <c r="N15" s="53">
        <v>2.8560657468616455</v>
      </c>
      <c r="O15" s="34" t="b">
        <v>1</v>
      </c>
      <c r="P15" s="44">
        <v>3162.68603515625</v>
      </c>
      <c r="Q15" s="44">
        <v>269.0950927734375</v>
      </c>
      <c r="R15" s="4">
        <v>2.6478155263653553</v>
      </c>
      <c r="S15" s="25">
        <f t="shared" si="0"/>
        <v>-0.18478152213830734</v>
      </c>
      <c r="T15" s="25">
        <f t="shared" si="1"/>
        <v>2.346869835798282E-2</v>
      </c>
      <c r="V15" s="36">
        <v>40999</v>
      </c>
      <c r="W15" t="s">
        <v>130</v>
      </c>
      <c r="X15" t="s">
        <v>37</v>
      </c>
      <c r="Y15" s="4">
        <v>2.1747636795043945</v>
      </c>
      <c r="Z15" s="3">
        <v>15572.8603515625</v>
      </c>
      <c r="AA15" t="b">
        <v>1</v>
      </c>
      <c r="AB15" t="str">
        <f t="shared" si="2"/>
        <v>Incl.</v>
      </c>
    </row>
    <row r="16" spans="1:28" x14ac:dyDescent="0.2">
      <c r="A16" s="36">
        <v>41090</v>
      </c>
      <c r="B16" t="s">
        <v>137</v>
      </c>
      <c r="C16" t="s">
        <v>205</v>
      </c>
      <c r="D16" s="3" t="s">
        <v>37</v>
      </c>
      <c r="E16" s="37" t="b">
        <v>0</v>
      </c>
      <c r="F16" s="44">
        <v>8304.541015625</v>
      </c>
      <c r="G16" s="44">
        <v>449.94454956054687</v>
      </c>
      <c r="H16" s="44">
        <v>1808.2044677734375</v>
      </c>
      <c r="I16" s="53">
        <v>4.5927001971469155</v>
      </c>
      <c r="J16" s="37" t="b">
        <v>1</v>
      </c>
      <c r="K16" s="44">
        <v>8090.35400390625</v>
      </c>
      <c r="L16" s="44">
        <v>445.3876953125</v>
      </c>
      <c r="M16" s="44">
        <v>2141.300048828125</v>
      </c>
      <c r="N16" s="53">
        <v>3.7782439730171768</v>
      </c>
      <c r="O16" s="34" t="b">
        <v>1</v>
      </c>
      <c r="P16" s="44">
        <v>7877.7529296875</v>
      </c>
      <c r="Q16" s="44">
        <v>722.28070068359375</v>
      </c>
      <c r="R16" s="4">
        <v>3.1483973626555475</v>
      </c>
      <c r="S16" s="25">
        <f t="shared" si="0"/>
        <v>0.81445622412973862</v>
      </c>
      <c r="T16" s="25">
        <f t="shared" si="1"/>
        <v>1.444302834491368</v>
      </c>
      <c r="V16" s="36">
        <v>40999</v>
      </c>
      <c r="W16" t="s">
        <v>129</v>
      </c>
      <c r="X16" t="s">
        <v>39</v>
      </c>
      <c r="Y16" s="4">
        <v>1.4174987077713013</v>
      </c>
      <c r="Z16" s="3">
        <v>14010.33984375</v>
      </c>
      <c r="AA16" t="b">
        <v>0</v>
      </c>
      <c r="AB16" t="str">
        <f t="shared" si="2"/>
        <v>Incl.</v>
      </c>
    </row>
    <row r="17" spans="1:28" x14ac:dyDescent="0.2">
      <c r="A17" s="36">
        <v>41090</v>
      </c>
      <c r="B17" t="s">
        <v>111</v>
      </c>
      <c r="C17" t="s">
        <v>204</v>
      </c>
      <c r="D17" s="3" t="s">
        <v>37</v>
      </c>
      <c r="E17" s="37" t="b">
        <v>0</v>
      </c>
      <c r="F17" s="44">
        <v>4787.40576171875</v>
      </c>
      <c r="G17" s="44">
        <v>262.97796630859375</v>
      </c>
      <c r="H17" s="44">
        <v>1354.7950439453125</v>
      </c>
      <c r="I17" s="53">
        <v>3.5336752840321122</v>
      </c>
      <c r="J17" s="37" t="b">
        <v>1</v>
      </c>
      <c r="K17" s="44">
        <v>6377.8330078125</v>
      </c>
      <c r="L17" s="44">
        <v>286.0994873046875</v>
      </c>
      <c r="M17" s="44">
        <v>1566.447021484375</v>
      </c>
      <c r="N17" s="53">
        <v>4.0715280634060802</v>
      </c>
      <c r="O17" s="34" t="b">
        <v>1</v>
      </c>
      <c r="P17" s="44">
        <v>5824.93115234375</v>
      </c>
      <c r="Q17" s="44">
        <v>462.68289184570312</v>
      </c>
      <c r="R17" s="4">
        <v>3.4447662769519884</v>
      </c>
      <c r="S17" s="25">
        <f t="shared" si="0"/>
        <v>-0.53785277937396803</v>
      </c>
      <c r="T17" s="25">
        <f t="shared" si="1"/>
        <v>8.8909007080123725E-2</v>
      </c>
      <c r="V17" s="36">
        <v>40999</v>
      </c>
      <c r="W17" t="s">
        <v>112</v>
      </c>
      <c r="X17" t="s">
        <v>152</v>
      </c>
      <c r="Y17" s="4">
        <v>3.0636043548583984</v>
      </c>
      <c r="Z17" s="3">
        <v>13056.2998046875</v>
      </c>
      <c r="AA17" t="b">
        <v>0</v>
      </c>
      <c r="AB17" t="str">
        <f t="shared" si="2"/>
        <v>Incl.</v>
      </c>
    </row>
    <row r="18" spans="1:28" x14ac:dyDescent="0.2">
      <c r="A18" s="36">
        <v>41090</v>
      </c>
      <c r="B18" t="s">
        <v>113</v>
      </c>
      <c r="C18" t="s">
        <v>206</v>
      </c>
      <c r="D18" s="3" t="s">
        <v>152</v>
      </c>
      <c r="E18" s="37" t="b">
        <v>0</v>
      </c>
      <c r="F18" s="44">
        <v>1847.6015625</v>
      </c>
      <c r="G18" s="44">
        <v>486.89422607421875</v>
      </c>
      <c r="H18" s="44">
        <v>1294.4998779296875</v>
      </c>
      <c r="I18" s="53">
        <v>1.427270557533691</v>
      </c>
      <c r="J18" s="37" t="b">
        <v>1</v>
      </c>
      <c r="K18" s="44">
        <v>1848.66796875</v>
      </c>
      <c r="L18" s="44">
        <v>114.94850158691406</v>
      </c>
      <c r="M18" s="44">
        <v>438.551513671875</v>
      </c>
      <c r="N18" s="53">
        <v>4.215395252593237</v>
      </c>
      <c r="O18" s="34" t="b">
        <v>1</v>
      </c>
      <c r="P18" s="44">
        <v>1690.751953125</v>
      </c>
      <c r="Q18" s="44">
        <v>100.60890197753906</v>
      </c>
      <c r="R18" s="4">
        <v>5.2005439855577995</v>
      </c>
      <c r="S18" s="25">
        <f t="shared" si="0"/>
        <v>-2.7881246950595457</v>
      </c>
      <c r="T18" s="25">
        <f t="shared" si="1"/>
        <v>-3.7732734280241083</v>
      </c>
      <c r="V18" s="36">
        <v>40999</v>
      </c>
      <c r="W18" t="s">
        <v>60</v>
      </c>
      <c r="X18" t="s">
        <v>53</v>
      </c>
      <c r="Y18" s="4">
        <v>1.5908435583114624</v>
      </c>
      <c r="Z18" s="3">
        <v>12451.73046875</v>
      </c>
      <c r="AA18" t="b">
        <v>1</v>
      </c>
      <c r="AB18" t="str">
        <f t="shared" si="2"/>
        <v>Not Incl.</v>
      </c>
    </row>
    <row r="19" spans="1:28" x14ac:dyDescent="0.2">
      <c r="A19" s="36">
        <v>41090</v>
      </c>
      <c r="B19" t="s">
        <v>75</v>
      </c>
      <c r="C19" t="s">
        <v>205</v>
      </c>
      <c r="D19" s="3" t="s">
        <v>144</v>
      </c>
      <c r="E19" s="37" t="b">
        <v>0</v>
      </c>
      <c r="F19" s="44">
        <v>325.16000366210937</v>
      </c>
      <c r="G19" s="44">
        <v>-10.284000396728516</v>
      </c>
      <c r="H19" s="44">
        <v>20.840999603271484</v>
      </c>
      <c r="I19" s="53">
        <v>15.601938959351445</v>
      </c>
      <c r="J19" s="37" t="b">
        <v>0</v>
      </c>
      <c r="K19" s="44">
        <v>321.80599975585937</v>
      </c>
      <c r="L19" s="44">
        <v>17.004999160766602</v>
      </c>
      <c r="M19" s="44">
        <v>71.3489990234375</v>
      </c>
      <c r="N19" s="53">
        <v>4.5103085419621518</v>
      </c>
      <c r="O19" s="34" t="b">
        <v>0</v>
      </c>
      <c r="P19" s="44">
        <v>214.95399475097656</v>
      </c>
      <c r="Q19" s="44">
        <v>40.2239990234375</v>
      </c>
      <c r="R19" s="4">
        <v>1.9175935273029812</v>
      </c>
      <c r="S19" s="25">
        <f t="shared" si="0"/>
        <v>11.091630417389293</v>
      </c>
      <c r="T19" s="25">
        <f t="shared" si="1"/>
        <v>13.684345432048463</v>
      </c>
      <c r="V19" s="36">
        <v>40999</v>
      </c>
      <c r="W19" t="s">
        <v>118</v>
      </c>
      <c r="X19" t="s">
        <v>148</v>
      </c>
      <c r="Y19" s="4">
        <v>4.8241333961486816</v>
      </c>
      <c r="Z19" s="3">
        <v>10834.7099609375</v>
      </c>
      <c r="AA19" t="b">
        <v>1</v>
      </c>
      <c r="AB19" t="str">
        <f t="shared" si="2"/>
        <v>Incl.</v>
      </c>
    </row>
    <row r="20" spans="1:28" x14ac:dyDescent="0.2">
      <c r="A20" s="36">
        <v>41090</v>
      </c>
      <c r="B20" t="s">
        <v>188</v>
      </c>
      <c r="C20" t="s">
        <v>203</v>
      </c>
      <c r="D20" s="3" t="s">
        <v>148</v>
      </c>
      <c r="E20" s="37" t="b">
        <v>0</v>
      </c>
      <c r="F20" s="44">
        <v>4470.69482421875</v>
      </c>
      <c r="G20" s="44">
        <v>154.65805053710937</v>
      </c>
      <c r="H20" s="44">
        <v>1026.47314453125</v>
      </c>
      <c r="I20" s="53">
        <v>4.3553938532511154</v>
      </c>
      <c r="J20" s="37" t="b">
        <v>0</v>
      </c>
      <c r="K20" s="44">
        <v>4357.580078125</v>
      </c>
      <c r="L20" s="44">
        <v>210.50129699707031</v>
      </c>
      <c r="M20" s="44">
        <v>1226.133056640625</v>
      </c>
      <c r="N20" s="53">
        <v>3.5539210483925401</v>
      </c>
      <c r="O20" s="34" t="b">
        <v>0</v>
      </c>
      <c r="P20" s="44">
        <v>4274.44189453125</v>
      </c>
      <c r="Q20" s="44">
        <v>354.31768798828125</v>
      </c>
      <c r="R20" s="4">
        <v>3.4599996956611356</v>
      </c>
      <c r="S20" s="25">
        <f t="shared" si="0"/>
        <v>0.80147280485857531</v>
      </c>
      <c r="T20" s="25">
        <f t="shared" si="1"/>
        <v>0.89539415758997976</v>
      </c>
      <c r="V20" s="36">
        <v>40999</v>
      </c>
      <c r="W20" t="s">
        <v>186</v>
      </c>
      <c r="X20" t="s">
        <v>154</v>
      </c>
      <c r="Y20" s="4">
        <v>1.7139952182769775</v>
      </c>
      <c r="Z20" s="3">
        <v>10134.8798828125</v>
      </c>
      <c r="AA20" t="b">
        <v>0</v>
      </c>
      <c r="AB20" t="str">
        <f t="shared" si="2"/>
        <v>Incl.</v>
      </c>
    </row>
    <row r="21" spans="1:28" x14ac:dyDescent="0.2">
      <c r="A21" s="36">
        <v>41090</v>
      </c>
      <c r="B21" t="s">
        <v>42</v>
      </c>
      <c r="C21" t="s">
        <v>207</v>
      </c>
      <c r="D21" s="3" t="s">
        <v>143</v>
      </c>
      <c r="E21" s="37" t="b">
        <v>0</v>
      </c>
      <c r="F21" s="44">
        <v>232.42050170898437</v>
      </c>
      <c r="G21" s="44">
        <v>7.5531268119812012</v>
      </c>
      <c r="H21" s="44">
        <v>38.106460571289063</v>
      </c>
      <c r="I21" s="53">
        <v>6.0992413943608108</v>
      </c>
      <c r="J21" s="37" t="b">
        <v>0</v>
      </c>
      <c r="K21" s="44">
        <v>235.38240051269531</v>
      </c>
      <c r="L21" s="44">
        <v>7.2124500274658203</v>
      </c>
      <c r="M21" s="44">
        <v>42.515079498291016</v>
      </c>
      <c r="N21" s="53">
        <v>5.5364450282200934</v>
      </c>
      <c r="O21" s="34" t="b">
        <v>1</v>
      </c>
      <c r="P21" s="44">
        <v>234.45509338378906</v>
      </c>
      <c r="Q21" s="44">
        <v>15.240599632263184</v>
      </c>
      <c r="R21" s="4">
        <v>3.1598590271226263</v>
      </c>
      <c r="S21" s="25">
        <f t="shared" si="0"/>
        <v>0.56279636614071737</v>
      </c>
      <c r="T21" s="25">
        <f t="shared" si="1"/>
        <v>2.9393823672381845</v>
      </c>
      <c r="V21" s="36">
        <v>40999</v>
      </c>
      <c r="W21" t="s">
        <v>261</v>
      </c>
      <c r="X21" t="s">
        <v>37</v>
      </c>
      <c r="Y21" s="4">
        <v>0.29461884498596191</v>
      </c>
      <c r="Z21" s="3">
        <v>9398</v>
      </c>
      <c r="AA21" t="b">
        <v>0</v>
      </c>
      <c r="AB21" t="str">
        <f t="shared" si="2"/>
        <v>Not Incl.</v>
      </c>
    </row>
    <row r="22" spans="1:28" x14ac:dyDescent="0.2">
      <c r="A22" s="36">
        <v>41090</v>
      </c>
      <c r="B22" t="s">
        <v>242</v>
      </c>
      <c r="C22" t="s">
        <v>203</v>
      </c>
      <c r="D22" s="3" t="s">
        <v>149</v>
      </c>
      <c r="E22" s="37" t="b">
        <v>1</v>
      </c>
      <c r="F22" s="44">
        <v>8095</v>
      </c>
      <c r="G22" s="44">
        <v>1492</v>
      </c>
      <c r="H22" s="44">
        <v>7442</v>
      </c>
      <c r="I22" s="53">
        <v>1.0877452297769417</v>
      </c>
      <c r="J22" s="37" t="b">
        <v>1</v>
      </c>
      <c r="K22" s="44">
        <v>8007.880859375</v>
      </c>
      <c r="L22" s="44">
        <v>1907</v>
      </c>
      <c r="M22" s="44">
        <v>7949</v>
      </c>
      <c r="N22" s="53">
        <v>1.0074073291451755</v>
      </c>
      <c r="O22" s="34" t="b">
        <v>1</v>
      </c>
      <c r="P22" s="44">
        <v>8266.0673828125</v>
      </c>
      <c r="Q22" s="44">
        <v>1999</v>
      </c>
      <c r="R22" s="4">
        <v>0.9083590530563187</v>
      </c>
      <c r="S22" s="25">
        <f t="shared" si="0"/>
        <v>8.0337900631766157E-2</v>
      </c>
      <c r="T22" s="25">
        <f t="shared" si="1"/>
        <v>0.17938617672062296</v>
      </c>
      <c r="V22" s="36">
        <v>40999</v>
      </c>
      <c r="W22" t="s">
        <v>262</v>
      </c>
      <c r="X22" t="s">
        <v>155</v>
      </c>
      <c r="Y22" s="4">
        <v>1.6976149082183838</v>
      </c>
      <c r="Z22" s="3">
        <v>8211.3291015625</v>
      </c>
      <c r="AA22" t="b">
        <v>0</v>
      </c>
      <c r="AB22" t="str">
        <f t="shared" si="2"/>
        <v>Not Incl.</v>
      </c>
    </row>
    <row r="23" spans="1:28" x14ac:dyDescent="0.2">
      <c r="A23" s="36">
        <v>41090</v>
      </c>
      <c r="B23" t="s">
        <v>94</v>
      </c>
      <c r="C23" t="s">
        <v>208</v>
      </c>
      <c r="D23" s="3" t="s">
        <v>144</v>
      </c>
      <c r="E23" s="37" t="b">
        <v>1</v>
      </c>
      <c r="F23" s="44">
        <v>17637</v>
      </c>
      <c r="G23" s="44">
        <v>702.3909912109375</v>
      </c>
      <c r="H23" s="44">
        <v>2470.118896484375</v>
      </c>
      <c r="I23" s="53">
        <v>7.1401421304464581</v>
      </c>
      <c r="J23" s="37" t="b">
        <v>1</v>
      </c>
      <c r="K23" s="44">
        <v>18166</v>
      </c>
      <c r="L23" s="44">
        <v>567.29998779296875</v>
      </c>
      <c r="M23" s="44">
        <v>2400.97900390625</v>
      </c>
      <c r="N23" s="53">
        <v>7.5660803240865491</v>
      </c>
      <c r="O23" s="34" t="b">
        <v>1</v>
      </c>
      <c r="P23" s="44">
        <v>18423</v>
      </c>
      <c r="Q23" s="44">
        <v>615.2509765625</v>
      </c>
      <c r="R23" s="4">
        <v>8.1289732110154986</v>
      </c>
      <c r="S23" s="25">
        <f t="shared" si="0"/>
        <v>-0.425938193640091</v>
      </c>
      <c r="T23" s="25">
        <f t="shared" si="1"/>
        <v>-0.98883108056904057</v>
      </c>
      <c r="V23" s="36">
        <v>40999</v>
      </c>
      <c r="W23" t="s">
        <v>137</v>
      </c>
      <c r="X23" t="s">
        <v>37</v>
      </c>
      <c r="Y23" s="4">
        <v>2.9325330257415771</v>
      </c>
      <c r="Z23" s="3">
        <v>8090.35400390625</v>
      </c>
      <c r="AA23" t="b">
        <v>1</v>
      </c>
      <c r="AB23" t="str">
        <f t="shared" si="2"/>
        <v>Incl.</v>
      </c>
    </row>
    <row r="24" spans="1:28" x14ac:dyDescent="0.2">
      <c r="A24" s="36">
        <v>41090</v>
      </c>
      <c r="B24" t="s">
        <v>101</v>
      </c>
      <c r="C24" t="s">
        <v>209</v>
      </c>
      <c r="D24" s="3" t="s">
        <v>151</v>
      </c>
      <c r="E24" s="37" t="b">
        <v>0</v>
      </c>
      <c r="F24" s="44">
        <v>1243.468017578125</v>
      </c>
      <c r="G24" s="44">
        <v>290.8067626953125</v>
      </c>
      <c r="H24" s="44">
        <v>1136.1612548828125</v>
      </c>
      <c r="I24" s="53">
        <v>1.0944467717360953</v>
      </c>
      <c r="J24" s="37" t="b">
        <v>1</v>
      </c>
      <c r="K24" s="44">
        <v>1320.7320556640625</v>
      </c>
      <c r="L24" s="44">
        <v>347.91400146484375</v>
      </c>
      <c r="M24" s="44">
        <v>1255.6490478515625</v>
      </c>
      <c r="N24" s="53">
        <v>1.0518321643486754</v>
      </c>
      <c r="O24" s="34" t="b">
        <v>1</v>
      </c>
      <c r="P24" s="44">
        <v>1602.31494140625</v>
      </c>
      <c r="Q24" s="44">
        <v>295.777099609375</v>
      </c>
      <c r="R24" s="4">
        <v>1.3277946866217101</v>
      </c>
      <c r="S24" s="25">
        <f t="shared" si="0"/>
        <v>4.2614607387419845E-2</v>
      </c>
      <c r="T24" s="25">
        <f t="shared" si="1"/>
        <v>-0.23334791488561479</v>
      </c>
      <c r="V24" s="36">
        <v>40999</v>
      </c>
      <c r="W24" t="s">
        <v>249</v>
      </c>
      <c r="X24" t="s">
        <v>152</v>
      </c>
      <c r="Y24" s="4">
        <v>2.4940512180328369</v>
      </c>
      <c r="Z24" s="3">
        <v>8090.0927734375</v>
      </c>
      <c r="AA24" t="b">
        <v>0</v>
      </c>
      <c r="AB24" t="str">
        <f t="shared" si="2"/>
        <v>Incl.</v>
      </c>
    </row>
    <row r="25" spans="1:28" x14ac:dyDescent="0.2">
      <c r="A25" s="36">
        <v>41090</v>
      </c>
      <c r="B25" t="s">
        <v>106</v>
      </c>
      <c r="C25" t="s">
        <v>204</v>
      </c>
      <c r="D25" s="3" t="s">
        <v>50</v>
      </c>
      <c r="E25" s="37" t="b">
        <v>0</v>
      </c>
      <c r="F25" s="44">
        <v>507.68600463867187</v>
      </c>
      <c r="G25" s="44">
        <v>83.545997619628906</v>
      </c>
      <c r="H25" s="44">
        <v>262.44900512695312</v>
      </c>
      <c r="I25" s="53">
        <v>1.9344177143788048</v>
      </c>
      <c r="J25" s="37" t="b">
        <v>0</v>
      </c>
      <c r="K25" s="44">
        <v>500.14999389648437</v>
      </c>
      <c r="L25" s="44">
        <v>51.027000427246094</v>
      </c>
      <c r="M25" s="44">
        <v>247.96400451660156</v>
      </c>
      <c r="N25" s="53">
        <v>2.0170266038069191</v>
      </c>
      <c r="O25" s="34" t="b">
        <v>0</v>
      </c>
      <c r="P25" s="44">
        <v>507.27301025390625</v>
      </c>
      <c r="Q25" s="44">
        <v>69.060997009277344</v>
      </c>
      <c r="R25" s="4">
        <v>2.2421104619296086</v>
      </c>
      <c r="S25" s="25">
        <f t="shared" si="0"/>
        <v>-8.2608889428114285E-2</v>
      </c>
      <c r="T25" s="25">
        <f t="shared" si="1"/>
        <v>-0.30769274755080378</v>
      </c>
      <c r="V25" s="36">
        <v>40999</v>
      </c>
      <c r="W25" t="s">
        <v>242</v>
      </c>
      <c r="X25" t="s">
        <v>149</v>
      </c>
      <c r="Y25" s="4">
        <v>0.8355981707572937</v>
      </c>
      <c r="Z25" s="3">
        <v>8007.880859375</v>
      </c>
      <c r="AA25" t="b">
        <v>1</v>
      </c>
      <c r="AB25" t="str">
        <f t="shared" si="2"/>
        <v>Incl.</v>
      </c>
    </row>
    <row r="26" spans="1:28" x14ac:dyDescent="0.2">
      <c r="A26" s="36">
        <v>41090</v>
      </c>
      <c r="B26" t="s">
        <v>243</v>
      </c>
      <c r="C26" t="s">
        <v>209</v>
      </c>
      <c r="D26" s="3" t="s">
        <v>148</v>
      </c>
      <c r="E26" s="37" t="b">
        <v>0</v>
      </c>
      <c r="F26" s="44">
        <v>170</v>
      </c>
      <c r="G26" s="44">
        <v>47</v>
      </c>
      <c r="H26" s="44">
        <v>225</v>
      </c>
      <c r="I26" s="53">
        <v>0.75555555555555554</v>
      </c>
      <c r="J26" s="37" t="b">
        <v>1</v>
      </c>
      <c r="K26" s="44">
        <v>173.59089660644531</v>
      </c>
      <c r="L26" s="44">
        <v>51.806739807128906</v>
      </c>
      <c r="M26" s="44">
        <v>232.64889526367187</v>
      </c>
      <c r="N26" s="53">
        <v>0.74614967077194427</v>
      </c>
      <c r="O26" s="34" t="b">
        <v>1</v>
      </c>
      <c r="P26" s="44">
        <v>177.214599609375</v>
      </c>
      <c r="Q26" s="44">
        <v>60.113811492919922</v>
      </c>
      <c r="R26" s="4">
        <v>0.85257367968540787</v>
      </c>
      <c r="S26" s="25">
        <f t="shared" si="0"/>
        <v>9.4058847836112625E-3</v>
      </c>
      <c r="T26" s="25">
        <f t="shared" si="1"/>
        <v>-9.7018124129852334E-2</v>
      </c>
      <c r="V26" s="36">
        <v>40999</v>
      </c>
      <c r="W26" t="s">
        <v>127</v>
      </c>
      <c r="X26" t="s">
        <v>39</v>
      </c>
      <c r="Y26" s="4">
        <v>1.2066653966903687</v>
      </c>
      <c r="Z26" s="3">
        <v>7722.798828125</v>
      </c>
      <c r="AA26" t="b">
        <v>1</v>
      </c>
      <c r="AB26" t="str">
        <f t="shared" si="2"/>
        <v>Incl.</v>
      </c>
    </row>
    <row r="27" spans="1:28" x14ac:dyDescent="0.2">
      <c r="A27" s="36">
        <v>41090</v>
      </c>
      <c r="B27" t="s">
        <v>244</v>
      </c>
      <c r="C27" t="s">
        <v>202</v>
      </c>
      <c r="D27" s="3" t="s">
        <v>151</v>
      </c>
      <c r="E27" s="37" t="b">
        <v>0</v>
      </c>
      <c r="F27" s="44">
        <v>5692</v>
      </c>
      <c r="G27" s="44">
        <v>664</v>
      </c>
      <c r="H27" s="44">
        <v>2752</v>
      </c>
      <c r="I27" s="53">
        <v>2.0683139534883721</v>
      </c>
      <c r="J27" s="37" t="b">
        <v>0</v>
      </c>
      <c r="K27" s="44">
        <v>6043.4599609375</v>
      </c>
      <c r="L27" s="44">
        <v>558.8909912109375</v>
      </c>
      <c r="M27" s="44">
        <v>3199.623046875</v>
      </c>
      <c r="N27" s="53">
        <v>1.8888037348149531</v>
      </c>
      <c r="O27" s="34" t="b">
        <v>0</v>
      </c>
      <c r="P27" s="44">
        <v>6030.27978515625</v>
      </c>
      <c r="Q27" s="44">
        <v>1111.571044921875</v>
      </c>
      <c r="R27" s="4">
        <v>1.5416871132444765</v>
      </c>
      <c r="S27" s="25">
        <f t="shared" si="0"/>
        <v>0.17951021867341899</v>
      </c>
      <c r="T27" s="25">
        <f t="shared" si="1"/>
        <v>0.52662684024389561</v>
      </c>
      <c r="V27" s="36">
        <v>40999</v>
      </c>
      <c r="W27" t="s">
        <v>133</v>
      </c>
      <c r="X27" t="s">
        <v>37</v>
      </c>
      <c r="Y27" s="4">
        <v>2.0330278873443604</v>
      </c>
      <c r="Z27" s="3">
        <v>7378.81396484375</v>
      </c>
      <c r="AA27" t="b">
        <v>1</v>
      </c>
      <c r="AB27" t="str">
        <f t="shared" si="2"/>
        <v>Incl.</v>
      </c>
    </row>
    <row r="28" spans="1:28" x14ac:dyDescent="0.2">
      <c r="A28" s="36">
        <v>41090</v>
      </c>
      <c r="B28" t="s">
        <v>305</v>
      </c>
      <c r="C28" t="s">
        <v>208</v>
      </c>
      <c r="D28" s="3" t="s">
        <v>144</v>
      </c>
      <c r="E28" s="37" t="b">
        <v>0</v>
      </c>
      <c r="F28" s="44">
        <v>192</v>
      </c>
      <c r="G28" s="44">
        <v>13</v>
      </c>
      <c r="H28" s="44">
        <v>61</v>
      </c>
      <c r="I28" s="53">
        <v>3.1475409836065573</v>
      </c>
      <c r="J28" s="37" t="b">
        <v>0</v>
      </c>
      <c r="K28" s="44">
        <v>191</v>
      </c>
      <c r="L28" s="44">
        <v>1</v>
      </c>
      <c r="M28" s="44">
        <v>58</v>
      </c>
      <c r="N28" s="53">
        <v>3.2931034482758621</v>
      </c>
      <c r="O28" s="34" t="b">
        <v>1</v>
      </c>
      <c r="P28" s="44">
        <v>148.1549072265625</v>
      </c>
      <c r="Q28" s="44">
        <v>8.9695730209350586</v>
      </c>
      <c r="R28" s="4">
        <v>4.4254472744211402</v>
      </c>
      <c r="S28" s="25">
        <f t="shared" si="0"/>
        <v>-0.14556246466930478</v>
      </c>
      <c r="T28" s="25">
        <f t="shared" si="1"/>
        <v>-1.2779062908145828</v>
      </c>
      <c r="V28" s="36">
        <v>40999</v>
      </c>
      <c r="W28" t="s">
        <v>263</v>
      </c>
      <c r="X28" t="s">
        <v>37</v>
      </c>
      <c r="Y28" s="4">
        <v>0.48245230317115784</v>
      </c>
      <c r="Z28" s="3">
        <v>7365</v>
      </c>
      <c r="AA28" t="b">
        <v>1</v>
      </c>
      <c r="AB28" t="str">
        <f t="shared" si="2"/>
        <v>Not Incl.</v>
      </c>
    </row>
    <row r="29" spans="1:28" x14ac:dyDescent="0.2">
      <c r="A29" s="36">
        <v>41090</v>
      </c>
      <c r="B29" t="s">
        <v>140</v>
      </c>
      <c r="C29" t="s">
        <v>207</v>
      </c>
      <c r="D29" s="3" t="s">
        <v>37</v>
      </c>
      <c r="E29" s="37" t="b">
        <v>0</v>
      </c>
      <c r="F29" s="44">
        <v>1745.717041015625</v>
      </c>
      <c r="G29" s="44">
        <v>16.565999984741211</v>
      </c>
      <c r="H29" s="44">
        <v>223.98599243164062</v>
      </c>
      <c r="I29" s="53">
        <v>7.7938670274142652</v>
      </c>
      <c r="J29" s="37" t="b">
        <v>1</v>
      </c>
      <c r="K29" s="44">
        <v>1560.635009765625</v>
      </c>
      <c r="L29" s="44">
        <v>27.399999618530273</v>
      </c>
      <c r="M29" s="44">
        <v>215.30000305175781</v>
      </c>
      <c r="N29" s="53">
        <v>7.2486529848791994</v>
      </c>
      <c r="O29" s="34" t="b">
        <v>1</v>
      </c>
      <c r="P29" s="44">
        <v>1589.0169677734375</v>
      </c>
      <c r="Q29" s="44">
        <v>7.9000000953674316</v>
      </c>
      <c r="R29" s="4">
        <v>11.709778949954657</v>
      </c>
      <c r="S29" s="25">
        <f t="shared" si="0"/>
        <v>0.54521404253506578</v>
      </c>
      <c r="T29" s="25">
        <f t="shared" si="1"/>
        <v>-3.915911922540392</v>
      </c>
      <c r="V29" s="36">
        <v>40999</v>
      </c>
      <c r="W29" t="s">
        <v>91</v>
      </c>
      <c r="X29" t="s">
        <v>141</v>
      </c>
      <c r="Y29" s="4">
        <v>5.5987052917480469</v>
      </c>
      <c r="Z29" s="3">
        <v>6773.84814453125</v>
      </c>
      <c r="AA29" t="b">
        <v>0</v>
      </c>
      <c r="AB29" t="str">
        <f t="shared" si="2"/>
        <v>Incl.</v>
      </c>
    </row>
    <row r="30" spans="1:28" x14ac:dyDescent="0.2">
      <c r="A30" s="36">
        <v>41090</v>
      </c>
      <c r="B30" t="s">
        <v>160</v>
      </c>
      <c r="C30" t="s">
        <v>210</v>
      </c>
      <c r="D30" s="3" t="s">
        <v>50</v>
      </c>
      <c r="E30" s="37" t="b">
        <v>0</v>
      </c>
      <c r="F30" s="44">
        <v>1327.4615478515625</v>
      </c>
      <c r="G30" s="44">
        <v>73.336494445800781</v>
      </c>
      <c r="H30" s="44">
        <v>281.3616943359375</v>
      </c>
      <c r="I30" s="53">
        <v>4.7179896004841826</v>
      </c>
      <c r="J30" s="37" t="b">
        <v>1</v>
      </c>
      <c r="K30" s="44">
        <v>1380.52294921875</v>
      </c>
      <c r="L30" s="44">
        <v>66.926712036132813</v>
      </c>
      <c r="M30" s="44">
        <v>287.6671142578125</v>
      </c>
      <c r="N30" s="53">
        <v>4.7990294364391621</v>
      </c>
      <c r="O30" s="34" t="b">
        <v>1</v>
      </c>
      <c r="P30" s="44">
        <v>1662.177978515625</v>
      </c>
      <c r="Q30" s="44">
        <v>78.169357299804687</v>
      </c>
      <c r="R30" s="4">
        <v>5.2878769182495384</v>
      </c>
      <c r="S30" s="25">
        <f t="shared" si="0"/>
        <v>-8.1039835954979544E-2</v>
      </c>
      <c r="T30" s="25">
        <f t="shared" si="1"/>
        <v>-0.56988731776535584</v>
      </c>
      <c r="V30" s="36">
        <v>40999</v>
      </c>
      <c r="W30" t="s">
        <v>139</v>
      </c>
      <c r="X30" t="s">
        <v>37</v>
      </c>
      <c r="Y30" s="4">
        <v>5.6980457305908203</v>
      </c>
      <c r="Z30" s="3">
        <v>6540.98193359375</v>
      </c>
      <c r="AA30" t="b">
        <v>0</v>
      </c>
      <c r="AB30" t="str">
        <f t="shared" si="2"/>
        <v>Incl.</v>
      </c>
    </row>
    <row r="31" spans="1:28" x14ac:dyDescent="0.2">
      <c r="A31" s="36">
        <v>41090</v>
      </c>
      <c r="B31" t="s">
        <v>81</v>
      </c>
      <c r="C31" t="s">
        <v>204</v>
      </c>
      <c r="D31" s="3" t="s">
        <v>144</v>
      </c>
      <c r="E31" s="37" t="b">
        <v>0</v>
      </c>
      <c r="F31" s="44">
        <v>292.59201049804687</v>
      </c>
      <c r="G31" s="44">
        <v>23.316999435424805</v>
      </c>
      <c r="H31" s="44">
        <v>108.86299896240234</v>
      </c>
      <c r="I31" s="53">
        <v>2.6877085261916993</v>
      </c>
      <c r="J31" s="37" t="b">
        <v>1</v>
      </c>
      <c r="K31" s="44">
        <v>235.552001953125</v>
      </c>
      <c r="L31" s="44">
        <v>33.766998291015625</v>
      </c>
      <c r="M31" s="44">
        <v>132.93600463867187</v>
      </c>
      <c r="N31" s="53">
        <v>1.7719202754240255</v>
      </c>
      <c r="O31" s="34" t="b">
        <v>1</v>
      </c>
      <c r="P31" s="44">
        <v>283.55499267578125</v>
      </c>
      <c r="Q31" s="44">
        <v>35.844001770019531</v>
      </c>
      <c r="R31" s="4">
        <v>3.5073471825568974</v>
      </c>
      <c r="S31" s="25">
        <f t="shared" si="0"/>
        <v>0.91578825076767378</v>
      </c>
      <c r="T31" s="25">
        <f t="shared" si="1"/>
        <v>-0.81963865636519806</v>
      </c>
      <c r="V31" s="36">
        <v>40999</v>
      </c>
      <c r="W31" t="s">
        <v>111</v>
      </c>
      <c r="X31" t="s">
        <v>151</v>
      </c>
      <c r="Y31" s="4">
        <v>3.3629424571990967</v>
      </c>
      <c r="Z31" s="3">
        <v>6377.8330078125</v>
      </c>
      <c r="AA31" t="b">
        <v>1</v>
      </c>
      <c r="AB31" t="str">
        <f t="shared" si="2"/>
        <v>Incl.</v>
      </c>
    </row>
    <row r="32" spans="1:28" x14ac:dyDescent="0.2">
      <c r="A32" s="36">
        <v>41090</v>
      </c>
      <c r="B32" t="s">
        <v>108</v>
      </c>
      <c r="C32" t="s">
        <v>211</v>
      </c>
      <c r="D32" s="3" t="s">
        <v>148</v>
      </c>
      <c r="E32" s="37" t="b">
        <v>0</v>
      </c>
      <c r="F32" s="44">
        <v>1099.8111572265625</v>
      </c>
      <c r="G32" s="44">
        <v>77.468955993652344</v>
      </c>
      <c r="H32" s="44">
        <v>296.47735595703125</v>
      </c>
      <c r="I32" s="53">
        <v>3.7095958093540178</v>
      </c>
      <c r="J32" s="37" t="b">
        <v>1</v>
      </c>
      <c r="K32" s="44">
        <v>1210.1629638671875</v>
      </c>
      <c r="L32" s="44">
        <v>75.978172302246094</v>
      </c>
      <c r="M32" s="44">
        <v>372.01959228515625</v>
      </c>
      <c r="N32" s="53">
        <v>3.252954922168688</v>
      </c>
      <c r="O32" s="34" t="b">
        <v>1</v>
      </c>
      <c r="P32" s="44">
        <v>857.21197509765625</v>
      </c>
      <c r="Q32" s="44">
        <v>99.842308044433594</v>
      </c>
      <c r="R32" s="4">
        <v>2.3026150458176513</v>
      </c>
      <c r="S32" s="25">
        <f t="shared" si="0"/>
        <v>0.4566408871853298</v>
      </c>
      <c r="T32" s="25">
        <f t="shared" si="1"/>
        <v>1.4069807635363665</v>
      </c>
      <c r="V32" s="36">
        <v>40999</v>
      </c>
      <c r="W32" t="s">
        <v>117</v>
      </c>
      <c r="X32" t="s">
        <v>151</v>
      </c>
      <c r="Y32" s="4">
        <v>4.8096342086791992</v>
      </c>
      <c r="Z32" s="3">
        <v>6140.98486328125</v>
      </c>
      <c r="AA32" t="b">
        <v>1</v>
      </c>
      <c r="AB32" t="str">
        <f t="shared" si="2"/>
        <v>Incl.</v>
      </c>
    </row>
    <row r="33" spans="1:28" x14ac:dyDescent="0.2">
      <c r="A33" s="36">
        <v>41090</v>
      </c>
      <c r="B33" t="s">
        <v>130</v>
      </c>
      <c r="C33" t="s">
        <v>202</v>
      </c>
      <c r="D33" s="3" t="s">
        <v>37</v>
      </c>
      <c r="E33" s="37" t="b">
        <v>0</v>
      </c>
      <c r="F33" s="44">
        <v>14573.9541015625</v>
      </c>
      <c r="G33" s="44">
        <v>-593.69012451171875</v>
      </c>
      <c r="H33" s="44">
        <v>1547.294189453125</v>
      </c>
      <c r="I33" s="53">
        <v>9.4189936218357495</v>
      </c>
      <c r="J33" s="37" t="b">
        <v>1</v>
      </c>
      <c r="K33" s="44">
        <v>15572.8603515625</v>
      </c>
      <c r="L33" s="44">
        <v>630.07257080078125</v>
      </c>
      <c r="M33" s="44">
        <v>3595.674072265625</v>
      </c>
      <c r="N33" s="53">
        <v>4.3309988721391761</v>
      </c>
      <c r="O33" s="34" t="b">
        <v>1</v>
      </c>
      <c r="P33" s="44">
        <v>14717.9404296875</v>
      </c>
      <c r="Q33" s="44">
        <v>1111.5810546875</v>
      </c>
      <c r="R33" s="4">
        <v>3.7403319342509671</v>
      </c>
      <c r="S33" s="25">
        <f t="shared" si="0"/>
        <v>5.0879947496965734</v>
      </c>
      <c r="T33" s="25">
        <f t="shared" si="1"/>
        <v>5.678661687584782</v>
      </c>
      <c r="V33" s="36">
        <v>40999</v>
      </c>
      <c r="W33" t="s">
        <v>244</v>
      </c>
      <c r="X33" t="s">
        <v>152</v>
      </c>
      <c r="Y33" s="4">
        <v>1.1874707937240601</v>
      </c>
      <c r="Z33" s="3">
        <v>6043.4599609375</v>
      </c>
      <c r="AA33" t="b">
        <v>0</v>
      </c>
      <c r="AB33" t="str">
        <f t="shared" si="2"/>
        <v>Incl.</v>
      </c>
    </row>
    <row r="34" spans="1:28" x14ac:dyDescent="0.2">
      <c r="A34" s="36">
        <v>41090</v>
      </c>
      <c r="B34" t="s">
        <v>196</v>
      </c>
      <c r="C34" t="s">
        <v>212</v>
      </c>
      <c r="D34" s="3" t="s">
        <v>54</v>
      </c>
      <c r="E34" s="37" t="b">
        <v>0</v>
      </c>
      <c r="F34" s="44">
        <v>133.0404052734375</v>
      </c>
      <c r="G34" s="44">
        <v>18.076160430908203</v>
      </c>
      <c r="H34" s="44">
        <v>67.245841979980469</v>
      </c>
      <c r="I34" s="53">
        <v>1.9784183134035931</v>
      </c>
      <c r="J34" s="37" t="b">
        <v>1</v>
      </c>
      <c r="K34" s="44">
        <v>161.17390441894531</v>
      </c>
      <c r="L34" s="44">
        <v>16.609439849853516</v>
      </c>
      <c r="M34" s="44">
        <v>62.739398956298828</v>
      </c>
      <c r="N34" s="53">
        <v>2.5689424364937112</v>
      </c>
      <c r="O34" s="34" t="b">
        <v>1</v>
      </c>
      <c r="P34" s="44">
        <v>161.39970397949219</v>
      </c>
      <c r="Q34" s="44">
        <v>15.23408031463623</v>
      </c>
      <c r="R34" s="4">
        <v>2.6932157322379853</v>
      </c>
      <c r="S34" s="25">
        <f t="shared" si="0"/>
        <v>-0.59052412309011815</v>
      </c>
      <c r="T34" s="25">
        <f t="shared" si="1"/>
        <v>-0.71479741883439218</v>
      </c>
      <c r="V34" s="36">
        <v>40999</v>
      </c>
      <c r="W34" t="s">
        <v>70</v>
      </c>
      <c r="X34" t="s">
        <v>154</v>
      </c>
      <c r="Y34" s="4">
        <v>1.687739372253418</v>
      </c>
      <c r="Z34" s="3">
        <v>5910.09423828125</v>
      </c>
      <c r="AA34" t="b">
        <v>1</v>
      </c>
      <c r="AB34" t="str">
        <f t="shared" si="2"/>
        <v>Incl.</v>
      </c>
    </row>
    <row r="35" spans="1:28" x14ac:dyDescent="0.2">
      <c r="A35" s="36">
        <v>41090</v>
      </c>
      <c r="B35" t="s">
        <v>104</v>
      </c>
      <c r="C35" t="s">
        <v>213</v>
      </c>
      <c r="D35" s="3" t="s">
        <v>50</v>
      </c>
      <c r="E35" s="37" t="b">
        <v>0</v>
      </c>
      <c r="F35" s="44">
        <v>471.275390625</v>
      </c>
      <c r="G35" s="44">
        <v>56.167098999023438</v>
      </c>
      <c r="H35" s="44">
        <v>195.84150695800781</v>
      </c>
      <c r="I35" s="53">
        <v>2.4064121949697341</v>
      </c>
      <c r="J35" s="37" t="b">
        <v>1</v>
      </c>
      <c r="K35" s="44">
        <v>453</v>
      </c>
      <c r="L35" s="44">
        <v>51</v>
      </c>
      <c r="M35" s="44">
        <v>189</v>
      </c>
      <c r="N35" s="53">
        <v>2.3968253968253967</v>
      </c>
      <c r="O35" s="34" t="b">
        <v>1</v>
      </c>
      <c r="P35" s="44">
        <v>375</v>
      </c>
      <c r="Q35" s="44">
        <v>46</v>
      </c>
      <c r="R35" s="4">
        <v>2.1802325581395348</v>
      </c>
      <c r="S35" s="25">
        <f t="shared" si="0"/>
        <v>9.5867981443373829E-3</v>
      </c>
      <c r="T35" s="25">
        <f t="shared" si="1"/>
        <v>0.22617963683019937</v>
      </c>
      <c r="V35" s="36">
        <v>40999</v>
      </c>
      <c r="W35" t="s">
        <v>122</v>
      </c>
      <c r="X35" t="s">
        <v>37</v>
      </c>
      <c r="Y35" s="4">
        <v>-6.863828282803297E-3</v>
      </c>
      <c r="Z35" s="3">
        <v>5665.40185546875</v>
      </c>
      <c r="AA35" t="b">
        <v>1</v>
      </c>
      <c r="AB35" t="str">
        <f t="shared" si="2"/>
        <v>Incl.</v>
      </c>
    </row>
    <row r="36" spans="1:28" x14ac:dyDescent="0.2">
      <c r="A36" s="36">
        <v>41090</v>
      </c>
      <c r="B36" t="s">
        <v>114</v>
      </c>
      <c r="C36" t="s">
        <v>203</v>
      </c>
      <c r="D36" s="3" t="s">
        <v>50</v>
      </c>
      <c r="E36" s="37" t="b">
        <v>0</v>
      </c>
      <c r="F36" s="44">
        <v>940.4571533203125</v>
      </c>
      <c r="G36" s="44">
        <v>58.356380462646484</v>
      </c>
      <c r="H36" s="44">
        <v>242.27871704101562</v>
      </c>
      <c r="I36" s="53">
        <v>3.8817159212589916</v>
      </c>
      <c r="J36" s="37" t="b">
        <v>0</v>
      </c>
      <c r="K36" s="44">
        <v>901.52667236328125</v>
      </c>
      <c r="L36" s="44">
        <v>52.187831878662109</v>
      </c>
      <c r="M36" s="44">
        <v>230.52020263671875</v>
      </c>
      <c r="N36" s="53">
        <v>3.9108358488822543</v>
      </c>
      <c r="O36" s="34" t="b">
        <v>0</v>
      </c>
      <c r="P36" s="44">
        <v>830.7811279296875</v>
      </c>
      <c r="Q36" s="44">
        <v>46.162410736083984</v>
      </c>
      <c r="R36" s="4">
        <v>3.7321168153897415</v>
      </c>
      <c r="S36" s="25">
        <f t="shared" si="0"/>
        <v>-2.9119927623262765E-2</v>
      </c>
      <c r="T36" s="25">
        <f t="shared" si="1"/>
        <v>0.14959910586925007</v>
      </c>
      <c r="V36" s="36">
        <v>40999</v>
      </c>
      <c r="W36" t="s">
        <v>187</v>
      </c>
      <c r="X36" t="s">
        <v>154</v>
      </c>
      <c r="Y36" s="4">
        <v>1.0567164421081543</v>
      </c>
      <c r="Z36" s="3">
        <v>5435.23388671875</v>
      </c>
      <c r="AA36" t="b">
        <v>0</v>
      </c>
      <c r="AB36" t="str">
        <f t="shared" si="2"/>
        <v>Not Incl.</v>
      </c>
    </row>
    <row r="37" spans="1:28" x14ac:dyDescent="0.2">
      <c r="A37" s="36">
        <v>41090</v>
      </c>
      <c r="B37" t="s">
        <v>134</v>
      </c>
      <c r="C37" t="s">
        <v>207</v>
      </c>
      <c r="D37" s="3" t="s">
        <v>37</v>
      </c>
      <c r="E37" s="37" t="b">
        <v>0</v>
      </c>
      <c r="F37" s="44">
        <v>707.11700439453125</v>
      </c>
      <c r="G37" s="44">
        <v>50.363998413085938</v>
      </c>
      <c r="H37" s="44">
        <v>334.37799072265625</v>
      </c>
      <c r="I37" s="53">
        <v>2.1147235285023189</v>
      </c>
      <c r="J37" s="37" t="b">
        <v>1</v>
      </c>
      <c r="K37" s="44">
        <v>698.45697021484375</v>
      </c>
      <c r="L37" s="44">
        <v>84.099998474121094</v>
      </c>
      <c r="M37" s="44">
        <v>373.29998779296875</v>
      </c>
      <c r="N37" s="53">
        <v>1.8710340022893499</v>
      </c>
      <c r="O37" s="34" t="b">
        <v>1</v>
      </c>
      <c r="P37" s="44">
        <v>729.2979736328125</v>
      </c>
      <c r="Q37" s="44">
        <v>81.900001525878906</v>
      </c>
      <c r="R37" s="4">
        <v>2.1815674551698314</v>
      </c>
      <c r="S37" s="25">
        <f t="shared" si="0"/>
        <v>0.24368952621296902</v>
      </c>
      <c r="T37" s="25">
        <f t="shared" si="1"/>
        <v>-6.6843926667512488E-2</v>
      </c>
      <c r="V37" s="36">
        <v>40999</v>
      </c>
      <c r="W37" t="s">
        <v>63</v>
      </c>
      <c r="X37" t="s">
        <v>151</v>
      </c>
      <c r="Y37" s="4">
        <v>1.4978775978088379</v>
      </c>
      <c r="Z37" s="3">
        <v>5107.14111328125</v>
      </c>
      <c r="AA37" t="b">
        <v>0</v>
      </c>
      <c r="AB37" t="str">
        <f t="shared" si="2"/>
        <v>Not Incl.</v>
      </c>
    </row>
    <row r="38" spans="1:28" x14ac:dyDescent="0.2">
      <c r="A38" s="36">
        <v>41090</v>
      </c>
      <c r="B38" t="s">
        <v>122</v>
      </c>
      <c r="C38" t="s">
        <v>214</v>
      </c>
      <c r="D38" s="3" t="s">
        <v>37</v>
      </c>
      <c r="E38" s="37" t="b">
        <v>0</v>
      </c>
      <c r="F38" s="44">
        <v>6101.9599609375</v>
      </c>
      <c r="G38" s="44">
        <v>4483.51318359375</v>
      </c>
      <c r="H38" s="44">
        <v>18044.5703125</v>
      </c>
      <c r="I38" s="53">
        <v>0.33816044689689811</v>
      </c>
      <c r="J38" s="37" t="b">
        <v>1</v>
      </c>
      <c r="K38" s="44">
        <v>5665.40185546875</v>
      </c>
      <c r="L38" s="44">
        <v>4847.7998046875</v>
      </c>
      <c r="M38" s="44">
        <v>17447.599609375</v>
      </c>
      <c r="N38" s="53">
        <v>0.32470952923659469</v>
      </c>
      <c r="O38" s="34" t="b">
        <v>1</v>
      </c>
      <c r="P38" s="44">
        <v>5121.2861328125</v>
      </c>
      <c r="Q38" s="44">
        <v>4213.52880859375</v>
      </c>
      <c r="R38" s="4">
        <v>0.4077937785635436</v>
      </c>
      <c r="S38" s="25">
        <f t="shared" si="0"/>
        <v>1.345091766030343E-2</v>
      </c>
      <c r="T38" s="25">
        <f t="shared" si="1"/>
        <v>-6.9633331666645482E-2</v>
      </c>
      <c r="V38" s="36">
        <v>40999</v>
      </c>
      <c r="W38" t="s">
        <v>116</v>
      </c>
      <c r="X38" t="s">
        <v>152</v>
      </c>
      <c r="Y38" s="4">
        <v>4.503446102142334</v>
      </c>
      <c r="Z38" s="3">
        <v>5102.2578125</v>
      </c>
      <c r="AA38" t="b">
        <v>1</v>
      </c>
      <c r="AB38" t="str">
        <f t="shared" si="2"/>
        <v>Incl.</v>
      </c>
    </row>
    <row r="39" spans="1:28" x14ac:dyDescent="0.2">
      <c r="A39" s="36">
        <v>41090</v>
      </c>
      <c r="B39" t="s">
        <v>195</v>
      </c>
      <c r="C39" t="s">
        <v>215</v>
      </c>
      <c r="D39" s="3" t="s">
        <v>143</v>
      </c>
      <c r="E39" s="37" t="b">
        <v>0</v>
      </c>
      <c r="F39" s="44">
        <v>301.28408813476562</v>
      </c>
      <c r="G39" s="44">
        <v>-31.673309326171875</v>
      </c>
      <c r="H39" s="44">
        <v>-14.605621337890625</v>
      </c>
      <c r="I39" s="53">
        <v>-20.62795420781994</v>
      </c>
      <c r="J39" s="37" t="b">
        <v>0</v>
      </c>
      <c r="K39" s="44">
        <v>312.5740966796875</v>
      </c>
      <c r="L39" s="44">
        <v>-6.6837382316589355</v>
      </c>
      <c r="M39" s="44">
        <v>32.603729248046875</v>
      </c>
      <c r="N39" s="53">
        <v>9.5870657709627576</v>
      </c>
      <c r="O39" s="34" t="b">
        <v>1</v>
      </c>
      <c r="P39" s="44">
        <v>372.64450073242187</v>
      </c>
      <c r="Q39" s="44">
        <v>18.790370941162109</v>
      </c>
      <c r="R39" s="4">
        <v>4.0672039780662104</v>
      </c>
      <c r="S39" s="25">
        <f t="shared" si="0"/>
        <v>-30.215019978782699</v>
      </c>
      <c r="T39" s="25">
        <f t="shared" si="1"/>
        <v>-24.69515818588615</v>
      </c>
      <c r="V39" s="36">
        <v>40999</v>
      </c>
      <c r="W39" t="s">
        <v>241</v>
      </c>
      <c r="X39" t="s">
        <v>37</v>
      </c>
      <c r="Y39" s="4">
        <v>3.2962098121643066</v>
      </c>
      <c r="Z39" s="3">
        <v>4992.537109375</v>
      </c>
      <c r="AA39" t="b">
        <v>0</v>
      </c>
      <c r="AB39" t="str">
        <f t="shared" si="2"/>
        <v>Incl.</v>
      </c>
    </row>
    <row r="40" spans="1:28" x14ac:dyDescent="0.2">
      <c r="A40" s="36">
        <v>41090</v>
      </c>
      <c r="B40" t="s">
        <v>138</v>
      </c>
      <c r="C40" t="s">
        <v>207</v>
      </c>
      <c r="D40" s="3" t="s">
        <v>38</v>
      </c>
      <c r="E40" s="37" t="b">
        <v>0</v>
      </c>
      <c r="F40" s="44">
        <v>24385.5546875</v>
      </c>
      <c r="G40" s="44">
        <v>715.8077392578125</v>
      </c>
      <c r="H40" s="44">
        <v>3530.424072265625</v>
      </c>
      <c r="I40" s="53">
        <v>6.9072593513817564</v>
      </c>
      <c r="J40" s="37" t="b">
        <v>1</v>
      </c>
      <c r="K40" s="44">
        <v>26327.689453125</v>
      </c>
      <c r="L40" s="44">
        <v>1438.322998046875</v>
      </c>
      <c r="M40" s="44">
        <v>3495.3330078125</v>
      </c>
      <c r="N40" s="53">
        <v>7.5322406747166495</v>
      </c>
      <c r="O40" s="34" t="b">
        <v>1</v>
      </c>
      <c r="P40" s="44">
        <v>24778.25</v>
      </c>
      <c r="Q40" s="44">
        <v>702.560302734375</v>
      </c>
      <c r="R40" s="4">
        <v>6.6300669279888496</v>
      </c>
      <c r="S40" s="25">
        <f t="shared" si="0"/>
        <v>-0.62498132333489309</v>
      </c>
      <c r="T40" s="25">
        <f t="shared" si="1"/>
        <v>0.27719242339290684</v>
      </c>
      <c r="V40" s="36">
        <v>40999</v>
      </c>
      <c r="W40" t="s">
        <v>61</v>
      </c>
      <c r="X40" t="s">
        <v>143</v>
      </c>
      <c r="Y40" s="4">
        <v>8.1630764007568359</v>
      </c>
      <c r="Z40" s="3">
        <v>4904.10107421875</v>
      </c>
      <c r="AA40" t="b">
        <v>0</v>
      </c>
      <c r="AB40" t="str">
        <f t="shared" si="2"/>
        <v>Not Incl.</v>
      </c>
    </row>
    <row r="41" spans="1:28" x14ac:dyDescent="0.2">
      <c r="A41" s="36">
        <v>41090</v>
      </c>
      <c r="B41" t="s">
        <v>121</v>
      </c>
      <c r="C41" t="s">
        <v>216</v>
      </c>
      <c r="D41" s="3" t="s">
        <v>37</v>
      </c>
      <c r="E41" s="37" t="b">
        <v>0</v>
      </c>
      <c r="F41" s="44">
        <v>2167.84130859375</v>
      </c>
      <c r="G41" s="44">
        <v>267.54580688476562</v>
      </c>
      <c r="H41" s="44">
        <v>675.011474609375</v>
      </c>
      <c r="I41" s="53">
        <v>3.2115621587740661</v>
      </c>
      <c r="J41" s="37" t="b">
        <v>1</v>
      </c>
      <c r="K41" s="44">
        <v>1986.1290283203125</v>
      </c>
      <c r="L41" s="44">
        <v>149.2926025390625</v>
      </c>
      <c r="M41" s="44">
        <v>552.90863037109375</v>
      </c>
      <c r="N41" s="53">
        <v>3.5921469103987205</v>
      </c>
      <c r="O41" s="34" t="b">
        <v>1</v>
      </c>
      <c r="P41" s="44">
        <v>1718.6109619140625</v>
      </c>
      <c r="Q41" s="44">
        <v>156.96000671386719</v>
      </c>
      <c r="R41" s="4">
        <v>2.6856023947286976</v>
      </c>
      <c r="S41" s="25">
        <f t="shared" si="0"/>
        <v>-0.38058475162465433</v>
      </c>
      <c r="T41" s="25">
        <f t="shared" si="1"/>
        <v>0.52595976404536859</v>
      </c>
      <c r="V41" s="36">
        <v>40999</v>
      </c>
      <c r="W41" t="s">
        <v>136</v>
      </c>
      <c r="X41" t="s">
        <v>37</v>
      </c>
      <c r="Y41" s="4">
        <v>3.2367298603057861</v>
      </c>
      <c r="Z41" s="3">
        <v>4810.36279296875</v>
      </c>
      <c r="AA41" t="b">
        <v>1</v>
      </c>
      <c r="AB41" t="str">
        <f t="shared" si="2"/>
        <v>Incl.</v>
      </c>
    </row>
    <row r="42" spans="1:28" x14ac:dyDescent="0.2">
      <c r="A42" s="36">
        <v>41090</v>
      </c>
      <c r="B42" t="s">
        <v>132</v>
      </c>
      <c r="C42" t="s">
        <v>207</v>
      </c>
      <c r="D42" s="3" t="s">
        <v>39</v>
      </c>
      <c r="E42" s="37" t="b">
        <v>0</v>
      </c>
      <c r="F42" s="44">
        <v>3750.39404296875</v>
      </c>
      <c r="G42" s="44">
        <v>357.13589477539062</v>
      </c>
      <c r="H42" s="44">
        <v>1913.60302734375</v>
      </c>
      <c r="I42" s="53">
        <v>1.9598600072109147</v>
      </c>
      <c r="J42" s="37" t="b">
        <v>1</v>
      </c>
      <c r="K42" s="44">
        <v>3942.537109375</v>
      </c>
      <c r="L42" s="44">
        <v>381.97821044921875</v>
      </c>
      <c r="M42" s="44">
        <v>1978</v>
      </c>
      <c r="N42" s="53">
        <v>1.9931936852249748</v>
      </c>
      <c r="O42" s="34" t="b">
        <v>1</v>
      </c>
      <c r="P42" s="44">
        <v>4322.97607421875</v>
      </c>
      <c r="Q42" s="44">
        <v>397.06298828125</v>
      </c>
      <c r="R42" s="4">
        <v>2.2129558745703681</v>
      </c>
      <c r="S42" s="25">
        <f t="shared" si="0"/>
        <v>-3.3333678014060064E-2</v>
      </c>
      <c r="T42" s="25">
        <f t="shared" si="1"/>
        <v>-0.25309586735945344</v>
      </c>
      <c r="V42" s="36">
        <v>40999</v>
      </c>
      <c r="W42" t="s">
        <v>93</v>
      </c>
      <c r="X42" t="s">
        <v>141</v>
      </c>
      <c r="Y42" s="4">
        <v>11.42314624786377</v>
      </c>
      <c r="Z42" s="3">
        <v>4796.77880859375</v>
      </c>
      <c r="AA42" t="b">
        <v>1</v>
      </c>
      <c r="AB42" t="str">
        <f t="shared" si="2"/>
        <v>Incl.</v>
      </c>
    </row>
    <row r="43" spans="1:28" x14ac:dyDescent="0.2">
      <c r="A43" s="36">
        <v>41090</v>
      </c>
      <c r="B43" t="s">
        <v>110</v>
      </c>
      <c r="C43" t="s">
        <v>215</v>
      </c>
      <c r="D43" s="3" t="s">
        <v>148</v>
      </c>
      <c r="E43" s="37" t="b">
        <v>0</v>
      </c>
      <c r="F43" s="44">
        <v>1209.989013671875</v>
      </c>
      <c r="G43" s="44">
        <v>87.084495544433594</v>
      </c>
      <c r="H43" s="44">
        <v>347.90652465820312</v>
      </c>
      <c r="I43" s="53">
        <v>3.4779141174791568</v>
      </c>
      <c r="J43" s="37" t="b">
        <v>1</v>
      </c>
      <c r="K43" s="44">
        <v>1281.2840576171875</v>
      </c>
      <c r="L43" s="44">
        <v>91.837501525878906</v>
      </c>
      <c r="M43" s="44">
        <v>366.19171142578125</v>
      </c>
      <c r="N43" s="53">
        <v>3.4989433611931293</v>
      </c>
      <c r="O43" s="34" t="b">
        <v>1</v>
      </c>
      <c r="P43" s="44">
        <v>1384.029052734375</v>
      </c>
      <c r="Q43" s="44">
        <v>91.789840698242188</v>
      </c>
      <c r="R43" s="4">
        <v>4.2149320680320628</v>
      </c>
      <c r="S43" s="25">
        <f t="shared" si="0"/>
        <v>-2.1029243713972523E-2</v>
      </c>
      <c r="T43" s="25">
        <f t="shared" si="1"/>
        <v>-0.73701795055290598</v>
      </c>
      <c r="V43" s="36">
        <v>40999</v>
      </c>
      <c r="W43" t="s">
        <v>105</v>
      </c>
      <c r="X43" t="s">
        <v>152</v>
      </c>
      <c r="Y43" s="4">
        <v>1.6984854936599731</v>
      </c>
      <c r="Z43" s="3">
        <v>4547.10595703125</v>
      </c>
      <c r="AA43" t="b">
        <v>1</v>
      </c>
      <c r="AB43" t="str">
        <f t="shared" si="2"/>
        <v>Incl.</v>
      </c>
    </row>
    <row r="44" spans="1:28" x14ac:dyDescent="0.2">
      <c r="A44" s="36">
        <v>41090</v>
      </c>
      <c r="B44" t="s">
        <v>127</v>
      </c>
      <c r="C44" t="s">
        <v>207</v>
      </c>
      <c r="D44" s="3" t="s">
        <v>39</v>
      </c>
      <c r="E44" s="37" t="b">
        <v>0</v>
      </c>
      <c r="F44" s="44">
        <v>7480.61181640625</v>
      </c>
      <c r="G44" s="44">
        <v>903.03802490234375</v>
      </c>
      <c r="H44" s="44">
        <v>4043.464111328125</v>
      </c>
      <c r="I44" s="53">
        <v>1.8500502565235213</v>
      </c>
      <c r="J44" s="37" t="b">
        <v>1</v>
      </c>
      <c r="K44" s="44">
        <v>7722.798828125</v>
      </c>
      <c r="L44" s="44">
        <v>1016.219970703125</v>
      </c>
      <c r="M44" s="44">
        <v>4507.5458984375</v>
      </c>
      <c r="N44" s="53">
        <v>1.7133045346919347</v>
      </c>
      <c r="O44" s="34" t="b">
        <v>1</v>
      </c>
      <c r="P44" s="44">
        <v>8244.2666015625</v>
      </c>
      <c r="Q44" s="44">
        <v>1046.0699462890625</v>
      </c>
      <c r="R44" s="4">
        <v>1.9109513017053317</v>
      </c>
      <c r="S44" s="25">
        <f t="shared" si="0"/>
        <v>0.13674572183158662</v>
      </c>
      <c r="T44" s="25">
        <f t="shared" si="1"/>
        <v>-6.0901045181810387E-2</v>
      </c>
      <c r="V44" s="36">
        <v>40999</v>
      </c>
      <c r="W44" t="s">
        <v>76</v>
      </c>
      <c r="X44" t="s">
        <v>148</v>
      </c>
      <c r="Y44" s="4">
        <v>1.674852728843689</v>
      </c>
      <c r="Z44" s="3">
        <v>4541.1298828125</v>
      </c>
      <c r="AA44" t="b">
        <v>0</v>
      </c>
      <c r="AB44" t="str">
        <f t="shared" si="2"/>
        <v>Incl.</v>
      </c>
    </row>
    <row r="45" spans="1:28" x14ac:dyDescent="0.2">
      <c r="A45" s="36">
        <v>41090</v>
      </c>
      <c r="B45" t="s">
        <v>191</v>
      </c>
      <c r="C45" t="s">
        <v>205</v>
      </c>
      <c r="D45" s="3" t="s">
        <v>152</v>
      </c>
      <c r="E45" s="37" t="b">
        <v>0</v>
      </c>
      <c r="F45" s="44">
        <v>2806.81396484375</v>
      </c>
      <c r="G45" s="44">
        <v>504.68740844726562</v>
      </c>
      <c r="H45" s="44">
        <v>1702.046142578125</v>
      </c>
      <c r="I45" s="53">
        <v>1.6490821809285441</v>
      </c>
      <c r="J45" s="37" t="b">
        <v>0</v>
      </c>
      <c r="K45" s="44">
        <v>2782.264892578125</v>
      </c>
      <c r="L45" s="44">
        <v>344.32540893554687</v>
      </c>
      <c r="M45" s="44">
        <v>1596.8929443359375</v>
      </c>
      <c r="N45" s="53">
        <v>1.7422989452402649</v>
      </c>
      <c r="O45" s="34" t="b">
        <v>0</v>
      </c>
      <c r="P45" s="44">
        <v>1524.9530029296875</v>
      </c>
      <c r="Q45" s="44">
        <v>400.8367919921875</v>
      </c>
      <c r="R45" s="4">
        <v>1.1424092163719031</v>
      </c>
      <c r="S45" s="25">
        <f t="shared" si="0"/>
        <v>-9.3216764311720768E-2</v>
      </c>
      <c r="T45" s="25">
        <f t="shared" si="1"/>
        <v>0.50667296455664101</v>
      </c>
      <c r="V45" s="36">
        <v>40999</v>
      </c>
      <c r="W45" t="s">
        <v>188</v>
      </c>
      <c r="X45" t="s">
        <v>148</v>
      </c>
      <c r="Y45" s="4">
        <v>3.485952615737915</v>
      </c>
      <c r="Z45" s="3">
        <v>4357.580078125</v>
      </c>
      <c r="AA45" t="b">
        <v>0</v>
      </c>
      <c r="AB45" t="str">
        <f t="shared" si="2"/>
        <v>Incl.</v>
      </c>
    </row>
    <row r="46" spans="1:28" x14ac:dyDescent="0.2">
      <c r="A46" s="36">
        <v>41090</v>
      </c>
      <c r="B46" t="s">
        <v>87</v>
      </c>
      <c r="C46" t="s">
        <v>217</v>
      </c>
      <c r="D46" s="3" t="s">
        <v>52</v>
      </c>
      <c r="E46" s="37" t="b">
        <v>0</v>
      </c>
      <c r="F46" s="44">
        <v>249.74205017089844</v>
      </c>
      <c r="G46" s="44">
        <v>11.196581840515137</v>
      </c>
      <c r="H46" s="44">
        <v>51.282901763916016</v>
      </c>
      <c r="I46" s="53">
        <v>4.8698892141595511</v>
      </c>
      <c r="J46" s="37" t="b">
        <v>0</v>
      </c>
      <c r="K46" s="44">
        <v>270.64630126953125</v>
      </c>
      <c r="L46" s="44">
        <v>11.43733024597168</v>
      </c>
      <c r="M46" s="44">
        <v>63.283168792724609</v>
      </c>
      <c r="N46" s="53">
        <v>4.2767501443550699</v>
      </c>
      <c r="O46" s="34" t="b">
        <v>0</v>
      </c>
      <c r="P46" s="44">
        <v>261.36068725585938</v>
      </c>
      <c r="Q46" s="44">
        <v>23.391220092773438</v>
      </c>
      <c r="R46" s="4">
        <v>3.5369374706585099</v>
      </c>
      <c r="S46" s="25">
        <f t="shared" si="0"/>
        <v>0.59313906980448117</v>
      </c>
      <c r="T46" s="25">
        <f t="shared" si="1"/>
        <v>1.3329517435010412</v>
      </c>
      <c r="V46" s="36">
        <v>40999</v>
      </c>
      <c r="W46" t="s">
        <v>189</v>
      </c>
      <c r="X46" t="s">
        <v>190</v>
      </c>
      <c r="Y46" s="4">
        <v>4.4718308448791504</v>
      </c>
      <c r="Z46" s="3">
        <v>4350.2509765625</v>
      </c>
      <c r="AA46" t="b">
        <v>1</v>
      </c>
      <c r="AB46" t="str">
        <f t="shared" si="2"/>
        <v>Incl.</v>
      </c>
    </row>
    <row r="47" spans="1:28" x14ac:dyDescent="0.2">
      <c r="A47" s="36">
        <v>41090</v>
      </c>
      <c r="B47" t="s">
        <v>117</v>
      </c>
      <c r="C47" t="s">
        <v>217</v>
      </c>
      <c r="D47" s="3" t="s">
        <v>151</v>
      </c>
      <c r="E47" s="37" t="b">
        <v>0</v>
      </c>
      <c r="F47" s="44">
        <v>5911.1416015625</v>
      </c>
      <c r="G47" s="44">
        <v>403.57427978515625</v>
      </c>
      <c r="H47" s="44">
        <v>1235.0592041015625</v>
      </c>
      <c r="I47" s="53">
        <v>4.7861200353245659</v>
      </c>
      <c r="J47" s="37" t="b">
        <v>1</v>
      </c>
      <c r="K47" s="44">
        <v>6140.98486328125</v>
      </c>
      <c r="L47" s="44">
        <v>213.32560729980469</v>
      </c>
      <c r="M47" s="44">
        <v>1028.239990234375</v>
      </c>
      <c r="N47" s="53">
        <v>5.9723264234077167</v>
      </c>
      <c r="O47" s="34" t="b">
        <v>1</v>
      </c>
      <c r="P47" s="44">
        <v>6688.1171875</v>
      </c>
      <c r="Q47" s="44">
        <v>307.2200927734375</v>
      </c>
      <c r="R47" s="4">
        <v>4.7808907671110239</v>
      </c>
      <c r="S47" s="25">
        <f t="shared" si="0"/>
        <v>-1.1862063880831508</v>
      </c>
      <c r="T47" s="25">
        <f t="shared" si="1"/>
        <v>5.229268213541971E-3</v>
      </c>
      <c r="V47" s="36">
        <v>40999</v>
      </c>
      <c r="W47" t="s">
        <v>240</v>
      </c>
      <c r="X47" t="s">
        <v>50</v>
      </c>
      <c r="Y47" s="4">
        <v>1.9156002998352051</v>
      </c>
      <c r="Z47" s="3">
        <v>4330.68408203125</v>
      </c>
      <c r="AA47" t="b">
        <v>0</v>
      </c>
      <c r="AB47" t="str">
        <f t="shared" si="2"/>
        <v>Not Incl.</v>
      </c>
    </row>
    <row r="48" spans="1:28" x14ac:dyDescent="0.2">
      <c r="A48" s="36">
        <v>41090</v>
      </c>
      <c r="B48" t="s">
        <v>193</v>
      </c>
      <c r="C48" t="s">
        <v>207</v>
      </c>
      <c r="D48" s="3" t="s">
        <v>37</v>
      </c>
      <c r="E48" s="37" t="b">
        <v>0</v>
      </c>
      <c r="F48" s="44">
        <v>2416.573974609375</v>
      </c>
      <c r="G48" s="44">
        <v>105.75800323486328</v>
      </c>
      <c r="H48" s="44">
        <v>610.2650146484375</v>
      </c>
      <c r="I48" s="53">
        <v>3.9598763104608232</v>
      </c>
      <c r="J48" s="37" t="b">
        <v>1</v>
      </c>
      <c r="K48" s="44">
        <v>2395.10498046875</v>
      </c>
      <c r="L48" s="44">
        <v>185.29400634765625</v>
      </c>
      <c r="M48" s="44">
        <v>727.5689697265625</v>
      </c>
      <c r="N48" s="53">
        <v>3.2919284358277219</v>
      </c>
      <c r="O48" s="34" t="b">
        <v>1</v>
      </c>
      <c r="P48" s="44">
        <v>2243.6708984375</v>
      </c>
      <c r="Q48" s="44">
        <v>223.10000610351562</v>
      </c>
      <c r="R48" s="4">
        <v>3.453405898097937</v>
      </c>
      <c r="S48" s="25">
        <f t="shared" si="0"/>
        <v>0.66794787463310135</v>
      </c>
      <c r="T48" s="25">
        <f t="shared" si="1"/>
        <v>0.50647041236288626</v>
      </c>
      <c r="V48" s="36">
        <v>40999</v>
      </c>
      <c r="W48" t="s">
        <v>126</v>
      </c>
      <c r="X48" t="s">
        <v>39</v>
      </c>
      <c r="Y48" s="4">
        <v>1.2256637811660767</v>
      </c>
      <c r="Z48" s="3">
        <v>4267.0458984375</v>
      </c>
      <c r="AA48" t="b">
        <v>1</v>
      </c>
      <c r="AB48" t="str">
        <f t="shared" si="2"/>
        <v>Incl.</v>
      </c>
    </row>
    <row r="49" spans="1:28" x14ac:dyDescent="0.2">
      <c r="A49" s="36">
        <v>41090</v>
      </c>
      <c r="B49" t="s">
        <v>133</v>
      </c>
      <c r="C49" t="s">
        <v>202</v>
      </c>
      <c r="D49" s="3" t="s">
        <v>37</v>
      </c>
      <c r="E49" s="37" t="b">
        <v>0</v>
      </c>
      <c r="F49" s="44">
        <v>7408.37353515625</v>
      </c>
      <c r="G49" s="44">
        <v>642.10198974609375</v>
      </c>
      <c r="H49" s="44">
        <v>2523.050537109375</v>
      </c>
      <c r="I49" s="53">
        <v>2.9362763155921261</v>
      </c>
      <c r="J49" s="37" t="b">
        <v>1</v>
      </c>
      <c r="K49" s="44">
        <v>7378.81396484375</v>
      </c>
      <c r="L49" s="44">
        <v>570.3770751953125</v>
      </c>
      <c r="M49" s="44">
        <v>2703.39404296875</v>
      </c>
      <c r="N49" s="53">
        <v>2.7294629815565683</v>
      </c>
      <c r="O49" s="34" t="b">
        <v>1</v>
      </c>
      <c r="P49" s="44">
        <v>7622.03076171875</v>
      </c>
      <c r="Q49" s="44">
        <v>820.71649169921875</v>
      </c>
      <c r="R49" s="4">
        <v>2.8384501618024998</v>
      </c>
      <c r="S49" s="25">
        <f t="shared" si="0"/>
        <v>0.20681333403555779</v>
      </c>
      <c r="T49" s="25">
        <f t="shared" si="1"/>
        <v>9.7826153789626336E-2</v>
      </c>
      <c r="V49" s="36">
        <v>40999</v>
      </c>
      <c r="W49" t="s">
        <v>246</v>
      </c>
      <c r="X49" t="s">
        <v>141</v>
      </c>
      <c r="Y49" s="4">
        <v>5.6747341156005859</v>
      </c>
      <c r="Z49" s="3">
        <v>3975.720947265625</v>
      </c>
      <c r="AA49" t="b">
        <v>1</v>
      </c>
      <c r="AB49" t="str">
        <f t="shared" si="2"/>
        <v>Not Incl.</v>
      </c>
    </row>
    <row r="50" spans="1:28" x14ac:dyDescent="0.2">
      <c r="A50" s="36">
        <v>41090</v>
      </c>
      <c r="B50" t="s">
        <v>82</v>
      </c>
      <c r="C50" t="s">
        <v>218</v>
      </c>
      <c r="D50" s="3" t="s">
        <v>143</v>
      </c>
      <c r="E50" s="37" t="b">
        <v>0</v>
      </c>
      <c r="F50" s="44">
        <v>425.56585693359375</v>
      </c>
      <c r="G50" s="44">
        <v>49.02606201171875</v>
      </c>
      <c r="H50" s="44">
        <v>191.69807434082031</v>
      </c>
      <c r="I50" s="53">
        <v>2.219979821899408</v>
      </c>
      <c r="J50" s="37" t="b">
        <v>0</v>
      </c>
      <c r="K50" s="44">
        <v>422.15838623046875</v>
      </c>
      <c r="L50" s="44">
        <v>54.840911865234375</v>
      </c>
      <c r="M50" s="44">
        <v>173.29510498046875</v>
      </c>
      <c r="N50" s="53">
        <v>2.4360664213686136</v>
      </c>
      <c r="O50" s="34" t="b">
        <v>0</v>
      </c>
      <c r="P50" s="44">
        <v>435.10000610351562</v>
      </c>
      <c r="Q50" s="44">
        <v>30.276920318603516</v>
      </c>
      <c r="R50" s="4">
        <v>2.6599241445270732</v>
      </c>
      <c r="S50" s="25">
        <f t="shared" si="0"/>
        <v>-0.21608659946920561</v>
      </c>
      <c r="T50" s="25">
        <f t="shared" si="1"/>
        <v>-0.43994432262766514</v>
      </c>
      <c r="V50" s="36">
        <v>40999</v>
      </c>
      <c r="W50" t="s">
        <v>71</v>
      </c>
      <c r="X50" t="s">
        <v>53</v>
      </c>
      <c r="Y50" s="4">
        <v>4.2687821388244629</v>
      </c>
      <c r="Z50" s="3">
        <v>3963.300048828125</v>
      </c>
      <c r="AA50" t="b">
        <v>1</v>
      </c>
      <c r="AB50" t="str">
        <f t="shared" si="2"/>
        <v>Incl.</v>
      </c>
    </row>
    <row r="51" spans="1:28" x14ac:dyDescent="0.2">
      <c r="A51" s="36">
        <v>41090</v>
      </c>
      <c r="B51" t="s">
        <v>162</v>
      </c>
      <c r="C51" t="s">
        <v>203</v>
      </c>
      <c r="D51" s="3" t="s">
        <v>38</v>
      </c>
      <c r="E51" s="37" t="b">
        <v>0</v>
      </c>
      <c r="F51" s="44">
        <v>3791.095947265625</v>
      </c>
      <c r="G51" s="44">
        <v>1267.7490234375</v>
      </c>
      <c r="H51" s="44">
        <v>5285.755859375</v>
      </c>
      <c r="I51" s="53">
        <v>0.71722872719170438</v>
      </c>
      <c r="J51" s="37" t="b">
        <v>1</v>
      </c>
      <c r="K51" s="44">
        <v>3835.718994140625</v>
      </c>
      <c r="L51" s="44">
        <v>1395.1309814453125</v>
      </c>
      <c r="M51" s="44">
        <v>5350.64404296875</v>
      </c>
      <c r="N51" s="53">
        <v>0.71687052312536481</v>
      </c>
      <c r="O51" s="34" t="b">
        <v>1</v>
      </c>
      <c r="P51" s="44">
        <v>4090.73388671875</v>
      </c>
      <c r="Q51" s="44">
        <v>1391.4239501953125</v>
      </c>
      <c r="R51" s="4">
        <v>0.86008993663247446</v>
      </c>
      <c r="S51" s="25">
        <f t="shared" si="0"/>
        <v>3.5820406633957358E-4</v>
      </c>
      <c r="T51" s="25">
        <f t="shared" si="1"/>
        <v>-0.14286120944077008</v>
      </c>
      <c r="V51" s="36">
        <v>40999</v>
      </c>
      <c r="W51" t="s">
        <v>132</v>
      </c>
      <c r="X51" t="s">
        <v>39</v>
      </c>
      <c r="Y51" s="4">
        <v>1.6239725351333618</v>
      </c>
      <c r="Z51" s="3">
        <v>3942.537109375</v>
      </c>
      <c r="AA51" t="b">
        <v>1</v>
      </c>
      <c r="AB51" t="str">
        <f t="shared" si="2"/>
        <v>Incl.</v>
      </c>
    </row>
    <row r="52" spans="1:28" x14ac:dyDescent="0.2">
      <c r="A52" s="36">
        <v>41090</v>
      </c>
      <c r="B52" t="s">
        <v>93</v>
      </c>
      <c r="C52" t="s">
        <v>219</v>
      </c>
      <c r="D52" s="3" t="s">
        <v>143</v>
      </c>
      <c r="E52" s="37" t="b">
        <v>0</v>
      </c>
      <c r="F52" s="44">
        <v>2603.311279296875</v>
      </c>
      <c r="G52" s="44">
        <v>-113.66474151611328</v>
      </c>
      <c r="H52" s="44">
        <v>37.324184417724609</v>
      </c>
      <c r="I52" s="53">
        <v>69.748644743610456</v>
      </c>
      <c r="J52" s="37" t="b">
        <v>1</v>
      </c>
      <c r="K52" s="44">
        <v>4796.77880859375</v>
      </c>
      <c r="L52" s="44">
        <v>151.60600280761719</v>
      </c>
      <c r="M52" s="44">
        <v>317.89340209960937</v>
      </c>
      <c r="N52" s="53">
        <v>15.089268216679494</v>
      </c>
      <c r="O52" s="34" t="b">
        <v>1</v>
      </c>
      <c r="P52" s="44">
        <v>4872.76416015625</v>
      </c>
      <c r="Q52" s="44">
        <v>-42.4051513671875</v>
      </c>
      <c r="R52" s="4">
        <v>6.9402077367116304</v>
      </c>
      <c r="S52" s="25">
        <f t="shared" si="0"/>
        <v>54.659376526930963</v>
      </c>
      <c r="T52" s="25">
        <f t="shared" si="1"/>
        <v>62.808437006898828</v>
      </c>
      <c r="V52" s="36">
        <v>40999</v>
      </c>
      <c r="W52" t="s">
        <v>256</v>
      </c>
      <c r="X52" t="s">
        <v>141</v>
      </c>
      <c r="Y52" s="4">
        <v>3.6072614192962646</v>
      </c>
      <c r="Z52" s="3">
        <v>3865.7529296875</v>
      </c>
      <c r="AA52" t="b">
        <v>0</v>
      </c>
      <c r="AB52" t="str">
        <f t="shared" si="2"/>
        <v>Incl.</v>
      </c>
    </row>
    <row r="53" spans="1:28" x14ac:dyDescent="0.2">
      <c r="A53" s="36">
        <v>41090</v>
      </c>
      <c r="B53" t="s">
        <v>71</v>
      </c>
      <c r="C53" t="s">
        <v>206</v>
      </c>
      <c r="D53" s="3" t="s">
        <v>53</v>
      </c>
      <c r="E53" s="37" t="b">
        <v>1</v>
      </c>
      <c r="F53" s="44">
        <v>3963.300048828125</v>
      </c>
      <c r="G53" s="44">
        <v>179.85000610351562</v>
      </c>
      <c r="H53" s="44">
        <v>737.4000244140625</v>
      </c>
      <c r="I53" s="53">
        <v>5.3746947621507877</v>
      </c>
      <c r="J53" s="37" t="b">
        <v>1</v>
      </c>
      <c r="K53" s="44">
        <v>3963.300048828125</v>
      </c>
      <c r="L53" s="44">
        <v>179.85000610351562</v>
      </c>
      <c r="M53" s="44">
        <v>737.4000244140625</v>
      </c>
      <c r="N53" s="53">
        <v>5.3746947621507877</v>
      </c>
      <c r="O53" s="34" t="b">
        <v>0</v>
      </c>
      <c r="P53" s="44">
        <v>2947.699951171875</v>
      </c>
      <c r="Q53" s="44">
        <v>227.85000610351562</v>
      </c>
      <c r="R53" s="4">
        <v>3.570805513230618</v>
      </c>
      <c r="S53" s="25">
        <f t="shared" si="0"/>
        <v>0</v>
      </c>
      <c r="T53" s="25">
        <f t="shared" si="1"/>
        <v>1.8038892489201697</v>
      </c>
      <c r="V53" s="36">
        <v>40999</v>
      </c>
      <c r="W53" t="s">
        <v>162</v>
      </c>
      <c r="X53" t="s">
        <v>38</v>
      </c>
      <c r="Y53" s="4">
        <v>0.17757262289524078</v>
      </c>
      <c r="Z53" s="3">
        <v>3835.718994140625</v>
      </c>
      <c r="AA53" t="b">
        <v>1</v>
      </c>
      <c r="AB53" t="str">
        <f t="shared" si="2"/>
        <v>Incl.</v>
      </c>
    </row>
    <row r="54" spans="1:28" x14ac:dyDescent="0.2">
      <c r="A54" s="36">
        <v>41090</v>
      </c>
      <c r="B54" t="s">
        <v>109</v>
      </c>
      <c r="C54" t="s">
        <v>211</v>
      </c>
      <c r="D54" s="3" t="s">
        <v>148</v>
      </c>
      <c r="E54" s="37" t="b">
        <v>0</v>
      </c>
      <c r="F54" s="44">
        <v>1492.759033203125</v>
      </c>
      <c r="G54" s="44">
        <v>6.9129848480224609</v>
      </c>
      <c r="H54" s="44">
        <v>212.14140319824219</v>
      </c>
      <c r="I54" s="53">
        <v>7.036622793562695</v>
      </c>
      <c r="J54" s="37" t="b">
        <v>1</v>
      </c>
      <c r="K54" s="44">
        <v>1369.10205078125</v>
      </c>
      <c r="L54" s="44">
        <v>103.50299835205078</v>
      </c>
      <c r="M54" s="44">
        <v>411.20388793945312</v>
      </c>
      <c r="N54" s="53">
        <v>3.3294968528674045</v>
      </c>
      <c r="O54" s="34" t="b">
        <v>1</v>
      </c>
      <c r="P54" s="44">
        <v>1120.2669677734375</v>
      </c>
      <c r="Q54" s="44">
        <v>105.54869842529297</v>
      </c>
      <c r="R54" s="4">
        <v>3.143692068300048</v>
      </c>
      <c r="S54" s="25">
        <f t="shared" si="0"/>
        <v>3.7071259406952906</v>
      </c>
      <c r="T54" s="25">
        <f t="shared" si="1"/>
        <v>3.8929307252626471</v>
      </c>
      <c r="V54" s="36">
        <v>40999</v>
      </c>
      <c r="W54" t="s">
        <v>158</v>
      </c>
      <c r="X54" t="s">
        <v>148</v>
      </c>
      <c r="Y54" s="4">
        <v>2.5177414417266846</v>
      </c>
      <c r="Z54" s="3">
        <v>3408.753173828125</v>
      </c>
      <c r="AA54" t="b">
        <v>1</v>
      </c>
      <c r="AB54" t="str">
        <f t="shared" si="2"/>
        <v>Not Incl.</v>
      </c>
    </row>
    <row r="55" spans="1:28" x14ac:dyDescent="0.2">
      <c r="A55" s="36">
        <v>41090</v>
      </c>
      <c r="B55" t="s">
        <v>115</v>
      </c>
      <c r="C55" t="s">
        <v>220</v>
      </c>
      <c r="D55" s="3" t="s">
        <v>148</v>
      </c>
      <c r="E55" s="37" t="b">
        <v>0</v>
      </c>
      <c r="F55" s="44">
        <v>2201.409423828125</v>
      </c>
      <c r="G55" s="44">
        <v>117.65910339355469</v>
      </c>
      <c r="H55" s="44">
        <v>316.40036010742187</v>
      </c>
      <c r="I55" s="53">
        <v>6.9576704118817023</v>
      </c>
      <c r="J55" s="37" t="b">
        <v>1</v>
      </c>
      <c r="K55" s="44">
        <v>2727.955078125</v>
      </c>
      <c r="L55" s="44">
        <v>108.88510131835937</v>
      </c>
      <c r="M55" s="44">
        <v>408.78628540039062</v>
      </c>
      <c r="N55" s="53">
        <v>6.6733038155941848</v>
      </c>
      <c r="O55" s="34" t="b">
        <v>1</v>
      </c>
      <c r="P55" s="44">
        <v>3586.68603515625</v>
      </c>
      <c r="Q55" s="44">
        <v>138.24899291992187</v>
      </c>
      <c r="R55" s="4">
        <v>7.1293298346020864</v>
      </c>
      <c r="S55" s="25">
        <f t="shared" si="0"/>
        <v>0.28436659628751748</v>
      </c>
      <c r="T55" s="25">
        <f t="shared" si="1"/>
        <v>-0.17165942272038404</v>
      </c>
      <c r="V55" s="36">
        <v>40999</v>
      </c>
      <c r="W55" t="s">
        <v>131</v>
      </c>
      <c r="X55" t="s">
        <v>38</v>
      </c>
      <c r="Y55" s="4">
        <v>2.6013278961181641</v>
      </c>
      <c r="Z55" s="3">
        <v>3341.596923828125</v>
      </c>
      <c r="AA55" t="b">
        <v>1</v>
      </c>
      <c r="AB55" t="str">
        <f t="shared" si="2"/>
        <v>Incl.</v>
      </c>
    </row>
    <row r="56" spans="1:28" x14ac:dyDescent="0.2">
      <c r="A56" s="36">
        <v>41090</v>
      </c>
      <c r="B56" t="s">
        <v>76</v>
      </c>
      <c r="C56" t="s">
        <v>221</v>
      </c>
      <c r="D56" s="3" t="s">
        <v>148</v>
      </c>
      <c r="E56" s="37" t="b">
        <v>0</v>
      </c>
      <c r="F56" s="44">
        <v>4877.60205078125</v>
      </c>
      <c r="G56" s="44">
        <v>412.96438598632812</v>
      </c>
      <c r="H56" s="44">
        <v>1167.815185546875</v>
      </c>
      <c r="I56" s="53">
        <v>4.1766900372143407</v>
      </c>
      <c r="J56" s="37" t="b">
        <v>0</v>
      </c>
      <c r="K56" s="44">
        <v>4541.1298828125</v>
      </c>
      <c r="L56" s="44">
        <v>211.67300415039062</v>
      </c>
      <c r="M56" s="44">
        <v>1570.0030517578125</v>
      </c>
      <c r="N56" s="53">
        <v>2.8924337935064162</v>
      </c>
      <c r="O56" s="34" t="b">
        <v>0</v>
      </c>
      <c r="P56" s="44">
        <v>4659.94287109375</v>
      </c>
      <c r="Q56" s="44">
        <v>832.82672119140625</v>
      </c>
      <c r="R56" s="4">
        <v>1.3124244803952085</v>
      </c>
      <c r="S56" s="25">
        <f t="shared" si="0"/>
        <v>1.2842562437079246</v>
      </c>
      <c r="T56" s="25">
        <f t="shared" si="1"/>
        <v>2.8642655568191322</v>
      </c>
      <c r="V56" s="36">
        <v>40999</v>
      </c>
      <c r="W56" t="s">
        <v>135</v>
      </c>
      <c r="X56" t="s">
        <v>38</v>
      </c>
      <c r="Y56" s="4">
        <v>2.5291388034820557</v>
      </c>
      <c r="Z56" s="3">
        <v>3276</v>
      </c>
      <c r="AA56" t="b">
        <v>1</v>
      </c>
      <c r="AB56" t="str">
        <f t="shared" si="2"/>
        <v>Incl.</v>
      </c>
    </row>
    <row r="57" spans="1:28" x14ac:dyDescent="0.2">
      <c r="A57" s="36">
        <v>41090</v>
      </c>
      <c r="B57" t="s">
        <v>96</v>
      </c>
      <c r="C57" t="s">
        <v>203</v>
      </c>
      <c r="D57" s="3" t="s">
        <v>141</v>
      </c>
      <c r="E57" s="37" t="b">
        <v>0</v>
      </c>
      <c r="F57" s="44">
        <v>978.39422607421875</v>
      </c>
      <c r="G57" s="44">
        <v>95.612869262695313</v>
      </c>
      <c r="H57" s="44">
        <v>179.5872802734375</v>
      </c>
      <c r="I57" s="53">
        <v>5.4480151633485798</v>
      </c>
      <c r="J57" s="37" t="b">
        <v>0</v>
      </c>
      <c r="K57" s="44">
        <v>974.456298828125</v>
      </c>
      <c r="L57" s="44">
        <v>27.723470687866211</v>
      </c>
      <c r="M57" s="44">
        <v>102.39739990234375</v>
      </c>
      <c r="N57" s="53">
        <v>9.5164164300798895</v>
      </c>
      <c r="O57" s="34" t="b">
        <v>0</v>
      </c>
      <c r="P57" s="44">
        <v>907.296875</v>
      </c>
      <c r="Q57" s="44">
        <v>18.426610946655273</v>
      </c>
      <c r="R57" s="4">
        <v>30.828016449217571</v>
      </c>
      <c r="S57" s="25">
        <f t="shared" si="0"/>
        <v>-4.0684012667313096</v>
      </c>
      <c r="T57" s="25">
        <f t="shared" si="1"/>
        <v>-25.380001285868993</v>
      </c>
      <c r="V57" s="36">
        <v>40999</v>
      </c>
      <c r="W57" t="s">
        <v>251</v>
      </c>
      <c r="X57" t="s">
        <v>37</v>
      </c>
      <c r="Y57" s="4">
        <v>0.17387336492538452</v>
      </c>
      <c r="Z57" s="3">
        <v>2931.631103515625</v>
      </c>
      <c r="AA57" t="b">
        <v>1</v>
      </c>
      <c r="AB57" t="str">
        <f t="shared" si="2"/>
        <v>Incl.</v>
      </c>
    </row>
    <row r="58" spans="1:28" x14ac:dyDescent="0.2">
      <c r="A58" s="36">
        <v>41090</v>
      </c>
      <c r="B58" t="s">
        <v>135</v>
      </c>
      <c r="C58" t="s">
        <v>217</v>
      </c>
      <c r="D58" s="3" t="s">
        <v>39</v>
      </c>
      <c r="E58" s="37" t="b">
        <v>0</v>
      </c>
      <c r="F58" s="44">
        <v>3804.360107421875</v>
      </c>
      <c r="G58" s="44">
        <v>226.94599914550781</v>
      </c>
      <c r="H58" s="44">
        <v>977.7340087890625</v>
      </c>
      <c r="I58" s="53">
        <v>3.8909970127086293</v>
      </c>
      <c r="J58" s="37" t="b">
        <v>1</v>
      </c>
      <c r="K58" s="44">
        <v>3276</v>
      </c>
      <c r="L58" s="44">
        <v>224.35699462890625</v>
      </c>
      <c r="M58" s="44">
        <v>985.71099853515625</v>
      </c>
      <c r="N58" s="53">
        <v>3.3234893441063278</v>
      </c>
      <c r="O58" s="34" t="b">
        <v>1</v>
      </c>
      <c r="P58" s="44">
        <v>3313</v>
      </c>
      <c r="Q58" s="44">
        <v>303.08200073242187</v>
      </c>
      <c r="R58" s="4">
        <v>2.6629841605006472</v>
      </c>
      <c r="S58" s="25">
        <f t="shared" si="0"/>
        <v>0.56750766860230151</v>
      </c>
      <c r="T58" s="25">
        <f t="shared" si="1"/>
        <v>1.2280128522079821</v>
      </c>
      <c r="V58" s="36">
        <v>40999</v>
      </c>
      <c r="W58" t="s">
        <v>86</v>
      </c>
      <c r="X58" t="s">
        <v>144</v>
      </c>
      <c r="Y58" s="4">
        <v>4.446681022644043</v>
      </c>
      <c r="Z58" s="3">
        <v>2809.157958984375</v>
      </c>
      <c r="AA58" t="b">
        <v>0</v>
      </c>
      <c r="AB58" t="str">
        <f t="shared" si="2"/>
        <v>Incl.</v>
      </c>
    </row>
    <row r="59" spans="1:28" x14ac:dyDescent="0.2">
      <c r="A59" s="36">
        <v>41090</v>
      </c>
      <c r="B59" t="s">
        <v>118</v>
      </c>
      <c r="C59" t="s">
        <v>204</v>
      </c>
      <c r="D59" s="3" t="s">
        <v>148</v>
      </c>
      <c r="E59" s="37" t="b">
        <v>0</v>
      </c>
      <c r="F59" s="44">
        <v>10324.5634765625</v>
      </c>
      <c r="G59" s="44">
        <v>514.03057861328125</v>
      </c>
      <c r="H59" s="44">
        <v>1878.0751953125</v>
      </c>
      <c r="I59" s="53">
        <v>5.4974175167914705</v>
      </c>
      <c r="J59" s="37" t="b">
        <v>1</v>
      </c>
      <c r="K59" s="44">
        <v>10834.7099609375</v>
      </c>
      <c r="L59" s="44">
        <v>378.2528076171875</v>
      </c>
      <c r="M59" s="44">
        <v>1660.6619873046875</v>
      </c>
      <c r="N59" s="53">
        <v>6.5243318891899325</v>
      </c>
      <c r="O59" s="34" t="b">
        <v>1</v>
      </c>
      <c r="P59" s="44">
        <v>10971.9501953125</v>
      </c>
      <c r="Q59" s="44">
        <v>363.07998657226563</v>
      </c>
      <c r="R59" s="4">
        <v>5.8677483390790757</v>
      </c>
      <c r="S59" s="25">
        <f t="shared" si="0"/>
        <v>-1.0269143723984619</v>
      </c>
      <c r="T59" s="25">
        <f t="shared" si="1"/>
        <v>-0.37033082228760517</v>
      </c>
      <c r="V59" s="36">
        <v>40999</v>
      </c>
      <c r="W59" t="s">
        <v>191</v>
      </c>
      <c r="X59" t="s">
        <v>152</v>
      </c>
      <c r="Y59" s="4">
        <v>1.4123865365982056</v>
      </c>
      <c r="Z59" s="3">
        <v>2782.264892578125</v>
      </c>
      <c r="AA59" t="b">
        <v>0</v>
      </c>
      <c r="AB59" t="str">
        <f t="shared" si="2"/>
        <v>Incl.</v>
      </c>
    </row>
    <row r="60" spans="1:28" x14ac:dyDescent="0.2">
      <c r="A60" s="36">
        <v>41090</v>
      </c>
      <c r="B60" t="s">
        <v>68</v>
      </c>
      <c r="C60" t="s">
        <v>199</v>
      </c>
      <c r="D60" s="3" t="s">
        <v>155</v>
      </c>
      <c r="E60" s="37" t="b">
        <v>0</v>
      </c>
      <c r="F60" s="44">
        <v>1584.5159912109375</v>
      </c>
      <c r="G60" s="44">
        <v>457.67111206054687</v>
      </c>
      <c r="H60" s="44">
        <v>2002.9560546875</v>
      </c>
      <c r="I60" s="53">
        <v>0.79108874480930769</v>
      </c>
      <c r="J60" s="37" t="b">
        <v>1</v>
      </c>
      <c r="K60" s="44">
        <v>1429.68701171875</v>
      </c>
      <c r="L60" s="44">
        <v>437.1864013671875</v>
      </c>
      <c r="M60" s="44">
        <v>1918.64794921875</v>
      </c>
      <c r="N60" s="53">
        <v>0.74515338381952823</v>
      </c>
      <c r="O60" s="34" t="b">
        <v>1</v>
      </c>
      <c r="P60" s="44">
        <v>1881.741943359375</v>
      </c>
      <c r="Q60" s="44">
        <v>492.72979736328125</v>
      </c>
      <c r="R60" s="4">
        <v>1.052364795328512</v>
      </c>
      <c r="S60" s="25">
        <f t="shared" si="0"/>
        <v>4.5935360989779461E-2</v>
      </c>
      <c r="T60" s="25">
        <f t="shared" si="1"/>
        <v>-0.26127605051920433</v>
      </c>
      <c r="V60" s="36">
        <v>40999</v>
      </c>
      <c r="W60" t="s">
        <v>123</v>
      </c>
      <c r="X60" t="s">
        <v>38</v>
      </c>
      <c r="Y60" s="4">
        <v>0.24201534688472748</v>
      </c>
      <c r="Z60" s="3">
        <v>2745.885009765625</v>
      </c>
      <c r="AA60" t="b">
        <v>1</v>
      </c>
      <c r="AB60" t="str">
        <f t="shared" si="2"/>
        <v>Incl.</v>
      </c>
    </row>
    <row r="61" spans="1:28" x14ac:dyDescent="0.2">
      <c r="A61" s="36">
        <v>41090</v>
      </c>
      <c r="B61" t="s">
        <v>95</v>
      </c>
      <c r="C61" t="s">
        <v>206</v>
      </c>
      <c r="D61" s="3" t="s">
        <v>141</v>
      </c>
      <c r="E61" s="37" t="b">
        <v>0</v>
      </c>
      <c r="F61" s="44">
        <v>384.47259521484375</v>
      </c>
      <c r="G61" s="44">
        <v>23.775999069213867</v>
      </c>
      <c r="H61" s="44">
        <v>64.327880859375</v>
      </c>
      <c r="I61" s="53">
        <v>5.9767645083059122</v>
      </c>
      <c r="J61" s="37" t="b">
        <v>0</v>
      </c>
      <c r="K61" s="44">
        <v>384.47259521484375</v>
      </c>
      <c r="L61" s="44">
        <v>23.775999069213867</v>
      </c>
      <c r="M61" s="44">
        <v>64.327880859375</v>
      </c>
      <c r="N61" s="53">
        <v>5.9767645083059122</v>
      </c>
      <c r="O61" s="34" t="b">
        <v>0</v>
      </c>
      <c r="P61" s="44">
        <v>347.62420654296875</v>
      </c>
      <c r="Q61" s="44">
        <v>8.8035650253295898</v>
      </c>
      <c r="R61" s="4">
        <v>11.827597550235355</v>
      </c>
      <c r="S61" s="25">
        <f t="shared" si="0"/>
        <v>0</v>
      </c>
      <c r="T61" s="25">
        <f t="shared" si="1"/>
        <v>-5.8508330419294428</v>
      </c>
      <c r="V61" s="36">
        <v>40999</v>
      </c>
      <c r="W61" t="s">
        <v>115</v>
      </c>
      <c r="X61" t="s">
        <v>148</v>
      </c>
      <c r="Y61" s="4">
        <v>3.6207013130187988</v>
      </c>
      <c r="Z61" s="3">
        <v>2727.955078125</v>
      </c>
      <c r="AA61" t="b">
        <v>1</v>
      </c>
      <c r="AB61" t="str">
        <f t="shared" si="2"/>
        <v>Incl.</v>
      </c>
    </row>
    <row r="62" spans="1:28" x14ac:dyDescent="0.2">
      <c r="A62" s="36">
        <v>41090</v>
      </c>
      <c r="B62" t="s">
        <v>74</v>
      </c>
      <c r="C62" t="s">
        <v>206</v>
      </c>
      <c r="D62" s="3" t="s">
        <v>148</v>
      </c>
      <c r="E62" s="37" t="b">
        <v>0</v>
      </c>
      <c r="F62" s="44">
        <v>549.42767333984375</v>
      </c>
      <c r="G62" s="44">
        <v>43.687232971191406</v>
      </c>
      <c r="H62" s="44">
        <v>145.51358032226562</v>
      </c>
      <c r="I62" s="53">
        <v>3.7757827972003626</v>
      </c>
      <c r="J62" s="37" t="b">
        <v>0</v>
      </c>
      <c r="K62" s="44">
        <v>404.27081298828125</v>
      </c>
      <c r="L62" s="44">
        <v>30.742509841918945</v>
      </c>
      <c r="M62" s="44">
        <v>127.05989837646484</v>
      </c>
      <c r="N62" s="53">
        <v>3.1817341124456924</v>
      </c>
      <c r="O62" s="34" t="b">
        <v>0</v>
      </c>
      <c r="P62" s="44">
        <v>402.89730834960937</v>
      </c>
      <c r="Q62" s="44">
        <v>25.394920349121094</v>
      </c>
      <c r="R62" s="4">
        <v>3.8753390922696429</v>
      </c>
      <c r="S62" s="25">
        <f t="shared" si="0"/>
        <v>0.59404868475467021</v>
      </c>
      <c r="T62" s="25">
        <f t="shared" si="1"/>
        <v>-9.9556295069280321E-2</v>
      </c>
      <c r="V62" s="36">
        <v>40999</v>
      </c>
      <c r="W62" t="s">
        <v>120</v>
      </c>
      <c r="X62" t="s">
        <v>141</v>
      </c>
      <c r="Y62" s="4">
        <v>7.0354084968566895</v>
      </c>
      <c r="Z62" s="3">
        <v>2679.635986328125</v>
      </c>
      <c r="AA62" t="b">
        <v>0</v>
      </c>
      <c r="AB62" t="str">
        <f t="shared" si="2"/>
        <v>Incl.</v>
      </c>
    </row>
    <row r="63" spans="1:28" x14ac:dyDescent="0.2">
      <c r="A63" s="36">
        <v>41090</v>
      </c>
      <c r="B63" t="s">
        <v>247</v>
      </c>
      <c r="C63" t="s">
        <v>213</v>
      </c>
      <c r="D63" s="3" t="s">
        <v>156</v>
      </c>
      <c r="E63" s="37" t="b">
        <v>0</v>
      </c>
      <c r="F63" s="44">
        <v>426</v>
      </c>
      <c r="G63" s="44">
        <v>-1</v>
      </c>
      <c r="H63" s="44">
        <v>-19</v>
      </c>
      <c r="I63" s="53">
        <v>-22.421052631578949</v>
      </c>
      <c r="J63" s="37" t="b">
        <v>1</v>
      </c>
      <c r="K63" s="44">
        <v>743.89959716796875</v>
      </c>
      <c r="L63" s="44">
        <v>5.3631291389465332</v>
      </c>
      <c r="M63" s="44">
        <v>34.157649993896484</v>
      </c>
      <c r="N63" s="53">
        <v>21.778418518279029</v>
      </c>
      <c r="O63" s="34" t="b">
        <v>1</v>
      </c>
      <c r="P63" s="44">
        <v>750.34222412109375</v>
      </c>
      <c r="Q63" s="44">
        <v>17.866420745849609</v>
      </c>
      <c r="R63" s="4">
        <v>18.463454044613556</v>
      </c>
      <c r="S63" s="25">
        <f t="shared" si="0"/>
        <v>-44.199471149857978</v>
      </c>
      <c r="T63" s="25">
        <f t="shared" si="1"/>
        <v>-40.884506676192501</v>
      </c>
      <c r="V63" s="36">
        <v>40999</v>
      </c>
      <c r="W63" t="s">
        <v>192</v>
      </c>
      <c r="Y63" s="4">
        <v>0.75348669290542603</v>
      </c>
      <c r="Z63" s="3">
        <v>2658.58203125</v>
      </c>
      <c r="AA63" t="b">
        <v>0</v>
      </c>
      <c r="AB63" t="str">
        <f t="shared" si="2"/>
        <v>Incl.</v>
      </c>
    </row>
    <row r="64" spans="1:28" x14ac:dyDescent="0.2">
      <c r="A64" s="36">
        <v>41090</v>
      </c>
      <c r="B64" t="s">
        <v>77</v>
      </c>
      <c r="C64" t="s">
        <v>208</v>
      </c>
      <c r="D64" s="3" t="s">
        <v>141</v>
      </c>
      <c r="E64" s="37" t="b">
        <v>0</v>
      </c>
      <c r="F64" s="44">
        <v>931.57452392578125</v>
      </c>
      <c r="G64" s="44">
        <v>53.769187927246094</v>
      </c>
      <c r="H64" s="44">
        <v>219.34217834472656</v>
      </c>
      <c r="I64" s="53">
        <v>4.2471289879399441</v>
      </c>
      <c r="J64" s="37" t="b">
        <v>1</v>
      </c>
      <c r="K64" s="44">
        <v>918.58758544921875</v>
      </c>
      <c r="L64" s="44">
        <v>38.522590637207031</v>
      </c>
      <c r="M64" s="44">
        <v>219.60980224609375</v>
      </c>
      <c r="N64" s="53">
        <v>4.1828168690751504</v>
      </c>
      <c r="O64" s="34" t="b">
        <v>1</v>
      </c>
      <c r="P64" s="44">
        <v>1047.2110595703125</v>
      </c>
      <c r="Q64" s="44">
        <v>64.683616638183594</v>
      </c>
      <c r="R64" s="4">
        <v>4.2205966026146413</v>
      </c>
      <c r="S64" s="25">
        <f t="shared" si="0"/>
        <v>6.431211886479371E-2</v>
      </c>
      <c r="T64" s="25">
        <f t="shared" si="1"/>
        <v>2.6532385325302776E-2</v>
      </c>
      <c r="V64" s="36">
        <v>40999</v>
      </c>
      <c r="W64" t="s">
        <v>107</v>
      </c>
      <c r="X64" t="s">
        <v>151</v>
      </c>
      <c r="Y64" s="4">
        <v>2.2231760025024414</v>
      </c>
      <c r="Z64" s="3">
        <v>2601.013916015625</v>
      </c>
      <c r="AA64" t="b">
        <v>0</v>
      </c>
      <c r="AB64" t="str">
        <f t="shared" si="2"/>
        <v>Not Incl.</v>
      </c>
    </row>
    <row r="65" spans="1:28" x14ac:dyDescent="0.2">
      <c r="A65" s="36">
        <v>41090</v>
      </c>
      <c r="B65" t="s">
        <v>91</v>
      </c>
      <c r="C65" t="s">
        <v>204</v>
      </c>
      <c r="D65" s="3" t="s">
        <v>141</v>
      </c>
      <c r="E65" s="37" t="b">
        <v>0</v>
      </c>
      <c r="F65" s="44">
        <v>6200.1044921875</v>
      </c>
      <c r="G65" s="44">
        <v>313.42840576171875</v>
      </c>
      <c r="H65" s="44">
        <v>1226.41943359375</v>
      </c>
      <c r="I65" s="53">
        <v>5.055451929703584</v>
      </c>
      <c r="J65" s="37" t="b">
        <v>0</v>
      </c>
      <c r="K65" s="44">
        <v>6773.84814453125</v>
      </c>
      <c r="L65" s="44">
        <v>232.53140258789062</v>
      </c>
      <c r="M65" s="44">
        <v>1091.18994140625</v>
      </c>
      <c r="N65" s="53">
        <v>6.2077626337002192</v>
      </c>
      <c r="O65" s="34" t="b">
        <v>1</v>
      </c>
      <c r="P65" s="44">
        <v>7450.43017578125</v>
      </c>
      <c r="Q65" s="44">
        <v>181.00909423828125</v>
      </c>
      <c r="R65" s="4">
        <v>9.2708805068990934</v>
      </c>
      <c r="S65" s="25">
        <f t="shared" si="0"/>
        <v>-1.1523107039966352</v>
      </c>
      <c r="T65" s="25">
        <f t="shared" si="1"/>
        <v>-4.2154285771955093</v>
      </c>
      <c r="V65" s="36">
        <v>40999</v>
      </c>
      <c r="W65" t="s">
        <v>64</v>
      </c>
      <c r="X65" t="s">
        <v>37</v>
      </c>
      <c r="Y65" s="4">
        <v>0.55524158477783203</v>
      </c>
      <c r="Z65" s="3">
        <v>2577.4619140625</v>
      </c>
      <c r="AA65" t="b">
        <v>1</v>
      </c>
      <c r="AB65" t="str">
        <f t="shared" si="2"/>
        <v>Not Incl.</v>
      </c>
    </row>
    <row r="66" spans="1:28" x14ac:dyDescent="0.2">
      <c r="A66" s="36">
        <v>41090</v>
      </c>
      <c r="B66" t="s">
        <v>197</v>
      </c>
      <c r="C66" t="s">
        <v>222</v>
      </c>
      <c r="D66" s="3" t="s">
        <v>144</v>
      </c>
      <c r="E66" s="37" t="b">
        <v>0</v>
      </c>
      <c r="F66" s="44">
        <v>121.68399810791016</v>
      </c>
      <c r="G66" s="44">
        <v>12.203000068664551</v>
      </c>
      <c r="H66" s="44">
        <v>63.379001617431641</v>
      </c>
      <c r="I66" s="53">
        <v>1.9199418577531271</v>
      </c>
      <c r="J66" s="37" t="b">
        <v>0</v>
      </c>
      <c r="K66" s="44">
        <v>128.39300537109375</v>
      </c>
      <c r="L66" s="44">
        <v>17.152999877929688</v>
      </c>
      <c r="M66" s="44">
        <v>64.63800048828125</v>
      </c>
      <c r="N66" s="53">
        <v>1.9863393731427563</v>
      </c>
      <c r="O66" s="34" t="b">
        <v>0</v>
      </c>
      <c r="P66" s="44">
        <v>320</v>
      </c>
      <c r="Q66" s="44">
        <v>13.461999893188477</v>
      </c>
      <c r="R66" s="4"/>
      <c r="S66" s="25">
        <f t="shared" si="0"/>
        <v>-6.6397515389629236E-2</v>
      </c>
      <c r="T66" s="25">
        <f t="shared" si="1"/>
        <v>1.9199418577531271</v>
      </c>
      <c r="V66" s="36">
        <v>40999</v>
      </c>
      <c r="W66" t="s">
        <v>302</v>
      </c>
      <c r="X66" t="s">
        <v>152</v>
      </c>
      <c r="Y66" s="4">
        <v>3.7438423633575439</v>
      </c>
      <c r="Z66" s="3">
        <v>2513</v>
      </c>
      <c r="AA66" t="b">
        <v>0</v>
      </c>
      <c r="AB66" t="str">
        <f t="shared" si="2"/>
        <v>Not Incl.</v>
      </c>
    </row>
    <row r="67" spans="1:28" x14ac:dyDescent="0.2">
      <c r="A67" s="36">
        <v>41090</v>
      </c>
      <c r="B67" t="s">
        <v>248</v>
      </c>
      <c r="C67" t="s">
        <v>204</v>
      </c>
      <c r="D67" s="3" t="s">
        <v>143</v>
      </c>
      <c r="E67" s="37" t="b">
        <v>0</v>
      </c>
      <c r="F67" s="44">
        <v>991</v>
      </c>
      <c r="G67" s="44">
        <v>147</v>
      </c>
      <c r="H67" s="44">
        <v>474</v>
      </c>
      <c r="I67" s="53">
        <v>2.090717299578059</v>
      </c>
      <c r="J67" s="37" t="b">
        <v>0</v>
      </c>
      <c r="K67" s="44">
        <v>965.760986328125</v>
      </c>
      <c r="L67" s="44">
        <v>83.982002258300781</v>
      </c>
      <c r="M67" s="44">
        <v>429.02301025390625</v>
      </c>
      <c r="N67" s="53">
        <v>2.2510703697607366</v>
      </c>
      <c r="O67" s="34" t="b">
        <v>0</v>
      </c>
      <c r="P67" s="44">
        <v>817.531982421875</v>
      </c>
      <c r="Q67" s="44">
        <v>101.16699981689453</v>
      </c>
      <c r="R67" s="4">
        <v>2.3249116948172888</v>
      </c>
      <c r="S67" s="25">
        <f t="shared" si="0"/>
        <v>-0.16035307018267764</v>
      </c>
      <c r="T67" s="25">
        <f t="shared" si="1"/>
        <v>-0.2341943952392298</v>
      </c>
      <c r="V67" s="36">
        <v>40999</v>
      </c>
      <c r="W67" t="s">
        <v>99</v>
      </c>
      <c r="X67" t="s">
        <v>141</v>
      </c>
      <c r="Y67" s="4">
        <v>0.67870402336120605</v>
      </c>
      <c r="Z67" s="3">
        <v>2504.681884765625</v>
      </c>
      <c r="AA67" t="b">
        <v>0</v>
      </c>
      <c r="AB67" t="str">
        <f t="shared" si="2"/>
        <v>Incl.</v>
      </c>
    </row>
    <row r="68" spans="1:28" x14ac:dyDescent="0.2">
      <c r="A68" s="36">
        <v>41090</v>
      </c>
      <c r="B68" t="s">
        <v>88</v>
      </c>
      <c r="C68" t="s">
        <v>204</v>
      </c>
      <c r="D68" s="3" t="s">
        <v>141</v>
      </c>
      <c r="E68" s="37" t="b">
        <v>0</v>
      </c>
      <c r="F68" s="44">
        <v>1210.84521484375</v>
      </c>
      <c r="G68" s="44">
        <v>57.54754638671875</v>
      </c>
      <c r="H68" s="44">
        <v>215.2734375</v>
      </c>
      <c r="I68" s="53">
        <v>5.6246847214661582</v>
      </c>
      <c r="J68" s="37" t="b">
        <v>0</v>
      </c>
      <c r="K68" s="44">
        <v>1249.748046875</v>
      </c>
      <c r="L68" s="44">
        <v>43.696319580078125</v>
      </c>
      <c r="M68" s="44">
        <v>206.19580078125</v>
      </c>
      <c r="N68" s="53">
        <v>6.0609771980799882</v>
      </c>
      <c r="O68" s="34" t="b">
        <v>1</v>
      </c>
      <c r="P68" s="44">
        <v>1308.9549560546875</v>
      </c>
      <c r="Q68" s="44">
        <v>49.987838745117188</v>
      </c>
      <c r="R68" s="4">
        <v>8.0382935483883067</v>
      </c>
      <c r="S68" s="25">
        <f t="shared" si="0"/>
        <v>-0.43629247661383008</v>
      </c>
      <c r="T68" s="25">
        <f t="shared" si="1"/>
        <v>-2.4136088269221485</v>
      </c>
      <c r="V68" s="36">
        <v>40999</v>
      </c>
      <c r="W68" t="s">
        <v>193</v>
      </c>
      <c r="X68" t="s">
        <v>37</v>
      </c>
      <c r="Y68" s="4">
        <v>2.4982388019561768</v>
      </c>
      <c r="Z68" s="3">
        <v>2395.10498046875</v>
      </c>
      <c r="AA68" t="b">
        <v>1</v>
      </c>
      <c r="AB68" t="str">
        <f t="shared" si="2"/>
        <v>Incl.</v>
      </c>
    </row>
    <row r="69" spans="1:28" x14ac:dyDescent="0.2">
      <c r="A69" s="36">
        <v>41090</v>
      </c>
      <c r="B69" t="s">
        <v>72</v>
      </c>
      <c r="C69" t="s">
        <v>223</v>
      </c>
      <c r="D69" s="3" t="s">
        <v>52</v>
      </c>
      <c r="E69" s="37" t="b">
        <v>0</v>
      </c>
      <c r="F69" s="44">
        <v>91.569793701171875</v>
      </c>
      <c r="G69" s="44">
        <v>57.098258972167969</v>
      </c>
      <c r="H69" s="44">
        <v>202.64549255371094</v>
      </c>
      <c r="I69" s="53">
        <v>0.45187185042816291</v>
      </c>
      <c r="J69" s="37" t="b">
        <v>0</v>
      </c>
      <c r="K69" s="44">
        <v>92.069633483886719</v>
      </c>
      <c r="L69" s="44">
        <v>46.989540100097656</v>
      </c>
      <c r="M69" s="44">
        <v>198.84230041503906</v>
      </c>
      <c r="N69" s="53">
        <v>0.4630284063889416</v>
      </c>
      <c r="O69" s="34" t="b">
        <v>0</v>
      </c>
      <c r="P69" s="44">
        <v>163.16610717773437</v>
      </c>
      <c r="Q69" s="44">
        <v>53.785419464111328</v>
      </c>
      <c r="R69" s="4">
        <v>0.95821783780543313</v>
      </c>
      <c r="S69" s="25">
        <f t="shared" si="0"/>
        <v>-1.1156555960778691E-2</v>
      </c>
      <c r="T69" s="25">
        <f t="shared" si="1"/>
        <v>-0.50634598737727021</v>
      </c>
      <c r="V69" s="36">
        <v>40999</v>
      </c>
      <c r="W69" t="s">
        <v>78</v>
      </c>
      <c r="X69" t="s">
        <v>141</v>
      </c>
      <c r="Y69" s="4">
        <v>0.98383474349975586</v>
      </c>
      <c r="Z69" s="3">
        <v>2326.02490234375</v>
      </c>
      <c r="AA69" t="b">
        <v>0</v>
      </c>
      <c r="AB69" t="str">
        <f t="shared" si="2"/>
        <v>Incl.</v>
      </c>
    </row>
    <row r="70" spans="1:28" x14ac:dyDescent="0.2">
      <c r="A70" s="36">
        <v>41090</v>
      </c>
      <c r="B70" t="s">
        <v>249</v>
      </c>
      <c r="C70" t="s">
        <v>200</v>
      </c>
      <c r="D70" s="3" t="s">
        <v>152</v>
      </c>
      <c r="E70" s="37" t="b">
        <v>0</v>
      </c>
      <c r="F70" s="44">
        <v>7345</v>
      </c>
      <c r="G70" s="44">
        <v>1375</v>
      </c>
      <c r="H70" s="44">
        <v>5359</v>
      </c>
      <c r="I70" s="53">
        <v>1.3705915282701997</v>
      </c>
      <c r="J70" s="37" t="b">
        <v>0</v>
      </c>
      <c r="K70" s="44">
        <v>8090.0927734375</v>
      </c>
      <c r="L70" s="44">
        <v>1261.14697265625</v>
      </c>
      <c r="M70" s="44">
        <v>2856.924072265625</v>
      </c>
      <c r="N70" s="53">
        <v>2.8317493110770067</v>
      </c>
      <c r="O70" s="34" t="b">
        <v>0</v>
      </c>
      <c r="P70" s="44">
        <v>7449.93310546875</v>
      </c>
      <c r="Q70" s="44">
        <v>1304.427001953125</v>
      </c>
      <c r="R70" s="4">
        <v>1.5206834884618639</v>
      </c>
      <c r="S70" s="25">
        <f t="shared" si="0"/>
        <v>-1.461157782806807</v>
      </c>
      <c r="T70" s="25">
        <f t="shared" si="1"/>
        <v>-0.15009196019166415</v>
      </c>
      <c r="V70" s="36">
        <v>40999</v>
      </c>
      <c r="W70" t="s">
        <v>253</v>
      </c>
      <c r="X70" t="s">
        <v>151</v>
      </c>
      <c r="Y70" s="4">
        <v>4.299797534942627</v>
      </c>
      <c r="Z70" s="3">
        <v>2287.489013671875</v>
      </c>
      <c r="AA70" t="b">
        <v>1</v>
      </c>
      <c r="AB70" t="str">
        <f t="shared" si="2"/>
        <v>Not Incl.</v>
      </c>
    </row>
    <row r="71" spans="1:28" x14ac:dyDescent="0.2">
      <c r="A71" s="36">
        <v>41090</v>
      </c>
      <c r="B71" t="s">
        <v>78</v>
      </c>
      <c r="C71" t="s">
        <v>224</v>
      </c>
      <c r="D71" s="3" t="s">
        <v>141</v>
      </c>
      <c r="E71" s="37" t="b">
        <v>0</v>
      </c>
      <c r="F71" s="44">
        <v>2365.64501953125</v>
      </c>
      <c r="G71" s="44">
        <v>198.65400695800781</v>
      </c>
      <c r="H71" s="44">
        <v>875.8179931640625</v>
      </c>
      <c r="I71" s="53">
        <v>2.7010692152885536</v>
      </c>
      <c r="J71" s="37" t="b">
        <v>0</v>
      </c>
      <c r="K71" s="44">
        <v>2326.02490234375</v>
      </c>
      <c r="L71" s="44">
        <v>211.51199340820312</v>
      </c>
      <c r="M71" s="44">
        <v>889.07598876953125</v>
      </c>
      <c r="N71" s="53">
        <v>2.6162273323374032</v>
      </c>
      <c r="O71" s="34" t="b">
        <v>0</v>
      </c>
      <c r="P71" s="44">
        <v>2432.387939453125</v>
      </c>
      <c r="Q71" s="44">
        <v>211.91200256347656</v>
      </c>
      <c r="R71" s="4">
        <v>4.1496358782410239</v>
      </c>
      <c r="S71" s="25">
        <f t="shared" ref="S71:S90" si="3">I71-N71</f>
        <v>8.484188295115036E-2</v>
      </c>
      <c r="T71" s="25">
        <f t="shared" ref="T71:T90" si="4">I71-R71</f>
        <v>-1.4485666629524703</v>
      </c>
      <c r="V71" s="36">
        <v>40999</v>
      </c>
      <c r="W71" t="s">
        <v>264</v>
      </c>
      <c r="X71" t="s">
        <v>154</v>
      </c>
      <c r="Y71" s="4">
        <v>0.70113986730575562</v>
      </c>
      <c r="Z71" s="3">
        <v>2112.294921875</v>
      </c>
      <c r="AA71" t="b">
        <v>0</v>
      </c>
      <c r="AB71" t="str">
        <f t="shared" ref="AB71:AB135" si="5">IF(ISERROR(VLOOKUP($W71,$B:$B,1,FALSE)),"Not Incl.","Incl.")</f>
        <v>Not Incl.</v>
      </c>
    </row>
    <row r="72" spans="1:28" x14ac:dyDescent="0.2">
      <c r="A72" s="36">
        <v>41090</v>
      </c>
      <c r="B72" t="s">
        <v>102</v>
      </c>
      <c r="C72" t="s">
        <v>205</v>
      </c>
      <c r="D72" s="3" t="s">
        <v>151</v>
      </c>
      <c r="E72" s="37" t="b">
        <v>0</v>
      </c>
      <c r="F72" s="44">
        <v>2483.74609375</v>
      </c>
      <c r="G72" s="44">
        <v>280.84921264648437</v>
      </c>
      <c r="H72" s="44">
        <v>873.0811767578125</v>
      </c>
      <c r="I72" s="53">
        <v>2.8448054543718291</v>
      </c>
      <c r="J72" s="37" t="b">
        <v>1</v>
      </c>
      <c r="K72" s="44">
        <v>1879.3719482421875</v>
      </c>
      <c r="L72" s="44">
        <v>226.21859741210937</v>
      </c>
      <c r="M72" s="44">
        <v>840.8900146484375</v>
      </c>
      <c r="N72" s="53">
        <v>2.2349795044574559</v>
      </c>
      <c r="O72" s="34" t="b">
        <v>1</v>
      </c>
      <c r="P72" s="44">
        <v>1556.2230224609375</v>
      </c>
      <c r="Q72" s="44">
        <v>254.51029968261719</v>
      </c>
      <c r="R72" s="4">
        <v>1.9328541089667515</v>
      </c>
      <c r="S72" s="25">
        <f t="shared" si="3"/>
        <v>0.60982594991437322</v>
      </c>
      <c r="T72" s="25">
        <f t="shared" si="4"/>
        <v>0.91195134540507761</v>
      </c>
      <c r="V72" s="36">
        <v>40999</v>
      </c>
      <c r="W72" t="s">
        <v>67</v>
      </c>
      <c r="X72" t="s">
        <v>154</v>
      </c>
      <c r="Y72" s="4">
        <v>-0.20142103731632233</v>
      </c>
      <c r="Z72" s="3">
        <v>2098.385986328125</v>
      </c>
      <c r="AA72" t="b">
        <v>1</v>
      </c>
      <c r="AB72" t="str">
        <f t="shared" si="5"/>
        <v>Incl.</v>
      </c>
    </row>
    <row r="73" spans="1:28" x14ac:dyDescent="0.2">
      <c r="A73" s="36">
        <v>41090</v>
      </c>
      <c r="B73" t="s">
        <v>100</v>
      </c>
      <c r="C73" t="s">
        <v>225</v>
      </c>
      <c r="D73" s="3" t="s">
        <v>151</v>
      </c>
      <c r="E73" s="37" t="b">
        <v>0</v>
      </c>
      <c r="F73" s="44">
        <v>744.46746826171875</v>
      </c>
      <c r="G73" s="44">
        <v>263.42990112304688</v>
      </c>
      <c r="H73" s="44">
        <v>1153.870361328125</v>
      </c>
      <c r="I73" s="53">
        <v>0.645191603157935</v>
      </c>
      <c r="J73" s="37" t="b">
        <v>1</v>
      </c>
      <c r="K73" s="44">
        <v>1168.8900146484375</v>
      </c>
      <c r="L73" s="44">
        <v>290.50299072265625</v>
      </c>
      <c r="M73" s="44">
        <v>1178.8929443359375</v>
      </c>
      <c r="N73" s="53">
        <v>0.99151498044367836</v>
      </c>
      <c r="O73" s="34" t="b">
        <v>1</v>
      </c>
      <c r="P73" s="44">
        <v>1202.364013671875</v>
      </c>
      <c r="Q73" s="44">
        <v>291.88729858398437</v>
      </c>
      <c r="R73" s="4">
        <v>1.1598966737141385</v>
      </c>
      <c r="S73" s="25">
        <f t="shared" si="3"/>
        <v>-0.34632337728574336</v>
      </c>
      <c r="T73" s="25">
        <f t="shared" si="4"/>
        <v>-0.51470507055620351</v>
      </c>
      <c r="V73" s="36">
        <v>40999</v>
      </c>
      <c r="W73" t="s">
        <v>265</v>
      </c>
      <c r="X73" t="s">
        <v>151</v>
      </c>
      <c r="Y73" s="4">
        <v>1.0517078638076782</v>
      </c>
      <c r="Z73" s="3">
        <v>2074.9169921875</v>
      </c>
      <c r="AA73" t="b">
        <v>0</v>
      </c>
      <c r="AB73" t="str">
        <f t="shared" si="5"/>
        <v>Incl.</v>
      </c>
    </row>
    <row r="74" spans="1:28" x14ac:dyDescent="0.2">
      <c r="A74" s="36">
        <v>41090</v>
      </c>
      <c r="B74" t="s">
        <v>139</v>
      </c>
      <c r="C74" t="s">
        <v>213</v>
      </c>
      <c r="D74" s="3" t="s">
        <v>37</v>
      </c>
      <c r="E74" s="37" t="b">
        <v>0</v>
      </c>
      <c r="F74" s="44">
        <v>5867.875</v>
      </c>
      <c r="G74" s="44">
        <v>183.64999389648437</v>
      </c>
      <c r="H74" s="44">
        <v>821.59002685546875</v>
      </c>
      <c r="I74" s="53">
        <v>7.1420961893348984</v>
      </c>
      <c r="J74" s="37" t="b">
        <v>0</v>
      </c>
      <c r="K74" s="44">
        <v>6540.98193359375</v>
      </c>
      <c r="L74" s="44">
        <v>314.02099609375</v>
      </c>
      <c r="M74" s="44">
        <v>948.70001220703125</v>
      </c>
      <c r="N74" s="53">
        <v>6.8946788757564974</v>
      </c>
      <c r="O74" s="34" t="b">
        <v>0</v>
      </c>
      <c r="P74" s="44">
        <v>6949.8681640625</v>
      </c>
      <c r="Q74" s="44">
        <v>318.4739990234375</v>
      </c>
      <c r="R74" s="4">
        <v>4.8791890511657652</v>
      </c>
      <c r="S74" s="25">
        <f t="shared" si="3"/>
        <v>0.24741731357840102</v>
      </c>
      <c r="T74" s="25">
        <f t="shared" si="4"/>
        <v>2.2629071381691332</v>
      </c>
      <c r="V74" s="36">
        <v>40999</v>
      </c>
      <c r="W74" t="s">
        <v>121</v>
      </c>
      <c r="X74" t="s">
        <v>37</v>
      </c>
      <c r="Y74" s="4">
        <v>-0.54526382684707642</v>
      </c>
      <c r="Z74" s="3">
        <v>1986.1290283203125</v>
      </c>
      <c r="AA74" t="b">
        <v>1</v>
      </c>
      <c r="AB74" t="str">
        <f t="shared" si="5"/>
        <v>Incl.</v>
      </c>
    </row>
    <row r="75" spans="1:28" x14ac:dyDescent="0.2">
      <c r="A75" s="36">
        <v>41090</v>
      </c>
      <c r="B75" t="s">
        <v>251</v>
      </c>
      <c r="C75" t="s">
        <v>211</v>
      </c>
      <c r="D75" s="3" t="s">
        <v>37</v>
      </c>
      <c r="E75" s="37" t="b">
        <v>1</v>
      </c>
      <c r="F75" s="44">
        <v>4009</v>
      </c>
      <c r="G75" s="44">
        <v>359</v>
      </c>
      <c r="H75" s="44">
        <v>1460</v>
      </c>
      <c r="I75" s="53">
        <v>2.745890410958904</v>
      </c>
      <c r="J75" s="37" t="b">
        <v>1</v>
      </c>
      <c r="K75" s="44">
        <v>2931.631103515625</v>
      </c>
      <c r="L75" s="44">
        <v>315</v>
      </c>
      <c r="M75" s="44">
        <v>1468</v>
      </c>
      <c r="N75" s="53">
        <v>1.9970239124765838</v>
      </c>
      <c r="O75" s="34" t="b">
        <v>1</v>
      </c>
      <c r="P75" s="44">
        <v>2504.00390625</v>
      </c>
      <c r="Q75" s="44">
        <v>367</v>
      </c>
      <c r="R75" s="4">
        <v>2.0643066003709811</v>
      </c>
      <c r="S75" s="25">
        <f t="shared" si="3"/>
        <v>0.74886649848232012</v>
      </c>
      <c r="T75" s="25">
        <f t="shared" si="4"/>
        <v>0.68158381058792283</v>
      </c>
      <c r="V75" s="36">
        <v>40999</v>
      </c>
      <c r="W75" t="s">
        <v>245</v>
      </c>
      <c r="X75" t="s">
        <v>151</v>
      </c>
      <c r="Y75" s="4">
        <v>2.012782096862793</v>
      </c>
      <c r="Z75" s="3">
        <v>1960.0560302734375</v>
      </c>
      <c r="AA75" t="b">
        <v>1</v>
      </c>
      <c r="AB75" t="str">
        <f t="shared" si="5"/>
        <v>Not Incl.</v>
      </c>
    </row>
    <row r="76" spans="1:28" x14ac:dyDescent="0.2">
      <c r="A76" s="36">
        <v>41090</v>
      </c>
      <c r="B76" t="s">
        <v>146</v>
      </c>
      <c r="C76" t="s">
        <v>226</v>
      </c>
      <c r="D76" s="3" t="s">
        <v>52</v>
      </c>
      <c r="E76" s="37" t="b">
        <v>0</v>
      </c>
      <c r="F76" s="44">
        <v>253.4595947265625</v>
      </c>
      <c r="G76" s="44">
        <v>27.255125045776367</v>
      </c>
      <c r="H76" s="44">
        <v>72.456703186035156</v>
      </c>
      <c r="I76" s="53">
        <v>3.4980834564856753</v>
      </c>
      <c r="J76" s="37" t="b">
        <v>1</v>
      </c>
      <c r="K76" s="44">
        <v>244.29229736328125</v>
      </c>
      <c r="L76" s="44">
        <v>16.902790069580078</v>
      </c>
      <c r="M76" s="44">
        <v>61.005538940429688</v>
      </c>
      <c r="N76" s="53">
        <v>4.0044281487591853</v>
      </c>
      <c r="O76" s="34" t="b">
        <v>1</v>
      </c>
      <c r="P76" s="44">
        <v>275.80929565429687</v>
      </c>
      <c r="Q76" s="44">
        <v>16.622230529785156</v>
      </c>
      <c r="R76" s="4">
        <v>3.3789411729847907</v>
      </c>
      <c r="S76" s="25">
        <f t="shared" si="3"/>
        <v>-0.50634469227350998</v>
      </c>
      <c r="T76" s="25">
        <f t="shared" si="4"/>
        <v>0.11914228350088463</v>
      </c>
      <c r="V76" s="36">
        <v>40999</v>
      </c>
      <c r="W76" t="s">
        <v>161</v>
      </c>
      <c r="X76" t="s">
        <v>141</v>
      </c>
      <c r="Y76" s="4">
        <v>3.2747752666473389</v>
      </c>
      <c r="Z76" s="3">
        <v>1941.8709716796875</v>
      </c>
      <c r="AA76" t="b">
        <v>0</v>
      </c>
      <c r="AB76" t="str">
        <f t="shared" si="5"/>
        <v>Not Incl.</v>
      </c>
    </row>
    <row r="77" spans="1:28" x14ac:dyDescent="0.2">
      <c r="A77" s="36">
        <v>41090</v>
      </c>
      <c r="B77" t="s">
        <v>252</v>
      </c>
      <c r="C77" t="s">
        <v>214</v>
      </c>
      <c r="D77" s="3" t="s">
        <v>38</v>
      </c>
      <c r="E77" s="37" t="b">
        <v>1</v>
      </c>
      <c r="F77" s="44">
        <v>57507</v>
      </c>
      <c r="G77" s="44">
        <v>21563</v>
      </c>
      <c r="H77" s="44">
        <v>87122</v>
      </c>
      <c r="I77" s="53">
        <v>0.66007437845779482</v>
      </c>
      <c r="J77" s="37" t="b">
        <v>1</v>
      </c>
      <c r="K77" s="44">
        <v>58048.51171875</v>
      </c>
      <c r="L77" s="44">
        <v>23547</v>
      </c>
      <c r="M77" s="44">
        <v>89839</v>
      </c>
      <c r="N77" s="53">
        <v>0.64613933501875576</v>
      </c>
      <c r="O77" s="34" t="b">
        <v>1</v>
      </c>
      <c r="P77" s="44">
        <v>53707.1796875</v>
      </c>
      <c r="Q77" s="44">
        <v>24327.529296875</v>
      </c>
      <c r="R77" s="4">
        <v>0.69978811478142433</v>
      </c>
      <c r="S77" s="25">
        <f t="shared" si="3"/>
        <v>1.3935043439039063E-2</v>
      </c>
      <c r="T77" s="25">
        <f t="shared" si="4"/>
        <v>-3.9713736323629512E-2</v>
      </c>
      <c r="V77" s="36">
        <v>40999</v>
      </c>
      <c r="W77" t="s">
        <v>250</v>
      </c>
      <c r="X77" t="s">
        <v>37</v>
      </c>
      <c r="Y77" s="4">
        <v>0.74467933177947998</v>
      </c>
      <c r="Z77" s="3">
        <v>1927.11865234375</v>
      </c>
      <c r="AA77" t="b">
        <v>1</v>
      </c>
      <c r="AB77" t="str">
        <f t="shared" si="5"/>
        <v>Not Incl.</v>
      </c>
    </row>
    <row r="78" spans="1:28" x14ac:dyDescent="0.2">
      <c r="A78" s="36">
        <v>41090</v>
      </c>
      <c r="B78" t="s">
        <v>98</v>
      </c>
      <c r="C78" t="s">
        <v>214</v>
      </c>
      <c r="D78" s="3" t="s">
        <v>151</v>
      </c>
      <c r="E78" s="37" t="b">
        <v>0</v>
      </c>
      <c r="F78" s="44">
        <v>557.0538330078125</v>
      </c>
      <c r="G78" s="44">
        <v>170.25033569335937</v>
      </c>
      <c r="H78" s="44">
        <v>658.67987060546875</v>
      </c>
      <c r="I78" s="53">
        <v>0.84571255000666712</v>
      </c>
      <c r="J78" s="37" t="b">
        <v>1</v>
      </c>
      <c r="K78" s="44">
        <v>524.3505859375</v>
      </c>
      <c r="L78" s="44">
        <v>158.9573974609375</v>
      </c>
      <c r="M78" s="44">
        <v>552.45068359375</v>
      </c>
      <c r="N78" s="53">
        <v>0.94913555455582765</v>
      </c>
      <c r="O78" s="34" t="b">
        <v>1</v>
      </c>
      <c r="P78" s="44">
        <v>590.88702392578125</v>
      </c>
      <c r="Q78" s="44">
        <v>211.69329833984375</v>
      </c>
      <c r="R78" s="4">
        <v>0.87627291878355917</v>
      </c>
      <c r="S78" s="25">
        <f t="shared" si="3"/>
        <v>-0.10342300454916054</v>
      </c>
      <c r="T78" s="25">
        <f t="shared" si="4"/>
        <v>-3.0560368776892055E-2</v>
      </c>
      <c r="V78" s="36">
        <v>40999</v>
      </c>
      <c r="W78" t="s">
        <v>102</v>
      </c>
      <c r="X78" t="s">
        <v>151</v>
      </c>
      <c r="Y78" s="4">
        <v>1.4210723638534546</v>
      </c>
      <c r="Z78" s="3">
        <v>1879.3719482421875</v>
      </c>
      <c r="AA78" t="b">
        <v>1</v>
      </c>
      <c r="AB78" t="str">
        <f t="shared" si="5"/>
        <v>Incl.</v>
      </c>
    </row>
    <row r="79" spans="1:28" x14ac:dyDescent="0.2">
      <c r="A79" s="36">
        <v>41090</v>
      </c>
      <c r="B79" t="s">
        <v>128</v>
      </c>
      <c r="C79" t="s">
        <v>214</v>
      </c>
      <c r="D79" s="3" t="s">
        <v>39</v>
      </c>
      <c r="E79" s="37" t="b">
        <v>1</v>
      </c>
      <c r="F79" s="44">
        <v>88769</v>
      </c>
      <c r="G79" s="44">
        <v>5402</v>
      </c>
      <c r="H79" s="44">
        <v>33143</v>
      </c>
      <c r="I79" s="53">
        <v>2.6783634553299338</v>
      </c>
      <c r="J79" s="37" t="b">
        <v>1</v>
      </c>
      <c r="K79" s="44">
        <v>89972</v>
      </c>
      <c r="L79" s="44">
        <v>9348</v>
      </c>
      <c r="M79" s="44">
        <v>37716</v>
      </c>
      <c r="N79" s="53">
        <v>2.3855127797221338</v>
      </c>
      <c r="O79" s="34" t="b">
        <v>1</v>
      </c>
      <c r="P79" s="44">
        <v>82124</v>
      </c>
      <c r="Q79" s="44">
        <v>9975</v>
      </c>
      <c r="R79" s="4">
        <v>2.2102921344959796</v>
      </c>
      <c r="S79" s="25">
        <f t="shared" si="3"/>
        <v>0.29285067560779998</v>
      </c>
      <c r="T79" s="25">
        <f t="shared" si="4"/>
        <v>0.4680713208339542</v>
      </c>
      <c r="V79" s="36">
        <v>40999</v>
      </c>
      <c r="W79" t="s">
        <v>113</v>
      </c>
      <c r="X79" t="s">
        <v>148</v>
      </c>
      <c r="Y79" s="4">
        <v>3.4413971900939941</v>
      </c>
      <c r="Z79" s="3">
        <v>1848.66796875</v>
      </c>
      <c r="AA79" t="b">
        <v>1</v>
      </c>
      <c r="AB79" t="str">
        <f t="shared" si="5"/>
        <v>Incl.</v>
      </c>
    </row>
    <row r="80" spans="1:28" x14ac:dyDescent="0.2">
      <c r="A80" s="36">
        <v>41090</v>
      </c>
      <c r="B80" t="s">
        <v>186</v>
      </c>
      <c r="C80" t="s">
        <v>202</v>
      </c>
      <c r="D80" s="3" t="s">
        <v>154</v>
      </c>
      <c r="E80" s="37" t="b">
        <v>0</v>
      </c>
      <c r="F80" s="44">
        <v>9677.8720703125</v>
      </c>
      <c r="G80" s="44">
        <v>1360.89208984375</v>
      </c>
      <c r="H80" s="44">
        <v>4691.56005859375</v>
      </c>
      <c r="I80" s="53">
        <v>2.0628260001883785</v>
      </c>
      <c r="J80" s="37" t="b">
        <v>0</v>
      </c>
      <c r="K80" s="44">
        <v>10134.8798828125</v>
      </c>
      <c r="L80" s="44">
        <v>819.364501953125</v>
      </c>
      <c r="M80" s="44">
        <v>5120.6640625</v>
      </c>
      <c r="N80" s="53">
        <v>1.9792120238921649</v>
      </c>
      <c r="O80" s="34" t="b">
        <v>0</v>
      </c>
      <c r="P80" s="44">
        <v>9759.2666015625</v>
      </c>
      <c r="Q80" s="44">
        <v>1812.7230224609375</v>
      </c>
      <c r="R80" s="4">
        <v>1.7500040276316544</v>
      </c>
      <c r="S80" s="25">
        <f t="shared" si="3"/>
        <v>8.3613976296213588E-2</v>
      </c>
      <c r="T80" s="25">
        <f t="shared" si="4"/>
        <v>0.31282197255672406</v>
      </c>
      <c r="V80" s="36">
        <v>40999</v>
      </c>
      <c r="W80" t="s">
        <v>62</v>
      </c>
      <c r="X80" t="s">
        <v>144</v>
      </c>
      <c r="Y80" s="4">
        <v>2.071552038192749</v>
      </c>
      <c r="Z80" s="3">
        <v>1688.7950439453125</v>
      </c>
      <c r="AA80" t="b">
        <v>0</v>
      </c>
      <c r="AB80" t="str">
        <f t="shared" si="5"/>
        <v>Incl.</v>
      </c>
    </row>
    <row r="81" spans="1:28" x14ac:dyDescent="0.2">
      <c r="A81" s="36">
        <v>41090</v>
      </c>
      <c r="B81" t="s">
        <v>90</v>
      </c>
      <c r="C81" t="s">
        <v>227</v>
      </c>
      <c r="D81" s="3" t="s">
        <v>143</v>
      </c>
      <c r="E81" s="37" t="b">
        <v>0</v>
      </c>
      <c r="F81" s="44">
        <v>453.29879760742187</v>
      </c>
      <c r="G81" s="44">
        <v>21.95306396484375</v>
      </c>
      <c r="H81" s="44">
        <v>75.587432861328125</v>
      </c>
      <c r="I81" s="53">
        <v>5.9970127367473758</v>
      </c>
      <c r="J81" s="37" t="b">
        <v>1</v>
      </c>
      <c r="K81" s="44">
        <v>474.14230346679687</v>
      </c>
      <c r="L81" s="44">
        <v>23.072229385375977</v>
      </c>
      <c r="M81" s="44">
        <v>78.204597473144531</v>
      </c>
      <c r="N81" s="53">
        <v>6.0628443695988254</v>
      </c>
      <c r="O81" s="34" t="b">
        <v>1</v>
      </c>
      <c r="P81" s="44">
        <v>491.66448974609375</v>
      </c>
      <c r="Q81" s="44">
        <v>26.201589584350586</v>
      </c>
      <c r="R81" s="4">
        <v>5.8602389601924285</v>
      </c>
      <c r="S81" s="25">
        <f t="shared" si="3"/>
        <v>-6.5831632851449662E-2</v>
      </c>
      <c r="T81" s="25">
        <f t="shared" si="4"/>
        <v>0.13677377655494727</v>
      </c>
      <c r="V81" s="36">
        <v>40999</v>
      </c>
      <c r="W81" t="s">
        <v>125</v>
      </c>
      <c r="X81" t="s">
        <v>38</v>
      </c>
      <c r="Y81" s="4">
        <v>1.2354183197021484</v>
      </c>
      <c r="Z81" s="3">
        <v>1665.7349853515625</v>
      </c>
      <c r="AA81" t="b">
        <v>0</v>
      </c>
      <c r="AB81" t="str">
        <f t="shared" si="5"/>
        <v>Incl.</v>
      </c>
    </row>
    <row r="82" spans="1:28" x14ac:dyDescent="0.2">
      <c r="A82" s="36">
        <v>41090</v>
      </c>
      <c r="B82" t="s">
        <v>97</v>
      </c>
      <c r="C82" t="s">
        <v>198</v>
      </c>
      <c r="D82" s="3" t="s">
        <v>152</v>
      </c>
      <c r="E82" s="37" t="b">
        <v>0</v>
      </c>
      <c r="F82" s="44">
        <v>1069.8990478515625</v>
      </c>
      <c r="G82" s="44">
        <v>559.176025390625</v>
      </c>
      <c r="H82" s="44">
        <v>2085.9208984375</v>
      </c>
      <c r="I82" s="53">
        <v>0.5129144871471355</v>
      </c>
      <c r="J82" s="37" t="b">
        <v>1</v>
      </c>
      <c r="K82" s="44">
        <v>1067.0570068359375</v>
      </c>
      <c r="L82" s="44">
        <v>538.19097900390625</v>
      </c>
      <c r="M82" s="44">
        <v>2122.251953125</v>
      </c>
      <c r="N82" s="53">
        <v>0.50279468715517217</v>
      </c>
      <c r="O82" s="34" t="b">
        <v>1</v>
      </c>
      <c r="P82" s="44">
        <v>680.79302978515625</v>
      </c>
      <c r="Q82" s="44">
        <v>558.3389892578125</v>
      </c>
      <c r="R82" s="4">
        <v>0.48125539163238501</v>
      </c>
      <c r="S82" s="25">
        <f t="shared" si="3"/>
        <v>1.011979999196333E-2</v>
      </c>
      <c r="T82" s="25">
        <f t="shared" si="4"/>
        <v>3.165909551475049E-2</v>
      </c>
      <c r="V82" s="36">
        <v>40999</v>
      </c>
      <c r="W82" t="s">
        <v>140</v>
      </c>
      <c r="X82" t="s">
        <v>37</v>
      </c>
      <c r="Y82" s="4">
        <v>6.3057827949523926</v>
      </c>
      <c r="Z82" s="3">
        <v>1560.635009765625</v>
      </c>
      <c r="AA82" t="b">
        <v>1</v>
      </c>
      <c r="AB82" t="str">
        <f t="shared" si="5"/>
        <v>Incl.</v>
      </c>
    </row>
    <row r="83" spans="1:28" x14ac:dyDescent="0.2">
      <c r="A83" s="36">
        <v>41090</v>
      </c>
      <c r="B83" t="s">
        <v>129</v>
      </c>
      <c r="C83" t="s">
        <v>214</v>
      </c>
      <c r="D83" s="3" t="s">
        <v>39</v>
      </c>
      <c r="E83" s="37" t="b">
        <v>0</v>
      </c>
      <c r="F83" s="44">
        <v>13937.5673828125</v>
      </c>
      <c r="G83" s="44">
        <v>1619.2679443359375</v>
      </c>
      <c r="H83" s="44">
        <v>6548.41796875</v>
      </c>
      <c r="I83" s="53">
        <v>2.1283869553416706</v>
      </c>
      <c r="J83" s="37" t="b">
        <v>0</v>
      </c>
      <c r="K83" s="44">
        <v>14010.33984375</v>
      </c>
      <c r="L83" s="44">
        <v>1833.625</v>
      </c>
      <c r="M83" s="44">
        <v>6774.9248046875</v>
      </c>
      <c r="N83" s="53">
        <v>2.0679697926767235</v>
      </c>
      <c r="O83" s="34" t="b">
        <v>0</v>
      </c>
      <c r="P83" s="44">
        <v>14088.990234375</v>
      </c>
      <c r="Q83" s="44">
        <v>1847.9439697265625</v>
      </c>
      <c r="R83" s="4">
        <v>2.297757973518439</v>
      </c>
      <c r="S83" s="25">
        <f t="shared" si="3"/>
        <v>6.0417162664947011E-2</v>
      </c>
      <c r="T83" s="25">
        <f t="shared" si="4"/>
        <v>-0.16937101817676847</v>
      </c>
      <c r="V83" s="36">
        <v>40999</v>
      </c>
      <c r="W83" t="s">
        <v>254</v>
      </c>
      <c r="X83" t="s">
        <v>38</v>
      </c>
      <c r="Y83" s="4">
        <v>0.7715790867805481</v>
      </c>
      <c r="Z83" s="3">
        <v>1435.2850341796875</v>
      </c>
      <c r="AA83" t="b">
        <v>1</v>
      </c>
      <c r="AB83" t="str">
        <f t="shared" si="5"/>
        <v>Incl.</v>
      </c>
    </row>
    <row r="84" spans="1:28" x14ac:dyDescent="0.2">
      <c r="A84" s="36">
        <v>41090</v>
      </c>
      <c r="B84" t="s">
        <v>189</v>
      </c>
      <c r="C84" t="s">
        <v>207</v>
      </c>
      <c r="D84" s="3" t="s">
        <v>190</v>
      </c>
      <c r="E84" s="37" t="b">
        <v>0</v>
      </c>
      <c r="F84" s="44">
        <v>3043.924072265625</v>
      </c>
      <c r="G84" s="44">
        <v>136.58305358886719</v>
      </c>
      <c r="H84" s="44">
        <v>689.05462646484375</v>
      </c>
      <c r="I84" s="53">
        <v>4.4175366587150098</v>
      </c>
      <c r="J84" s="37" t="b">
        <v>1</v>
      </c>
      <c r="K84" s="44">
        <v>4350.2509765625</v>
      </c>
      <c r="L84" s="44">
        <v>164.15660095214844</v>
      </c>
      <c r="M84" s="44">
        <v>884.22113037109375</v>
      </c>
      <c r="N84" s="53">
        <v>4.9198676972770015</v>
      </c>
      <c r="O84" s="34" t="b">
        <v>1</v>
      </c>
      <c r="P84" s="44">
        <v>5075</v>
      </c>
      <c r="Q84" s="44">
        <v>277.8052978515625</v>
      </c>
      <c r="R84" s="4">
        <v>5.8218640722506914</v>
      </c>
      <c r="S84" s="25">
        <f t="shared" si="3"/>
        <v>-0.50233103856199168</v>
      </c>
      <c r="T84" s="25">
        <f t="shared" si="4"/>
        <v>-1.4043274135356816</v>
      </c>
      <c r="V84" s="36">
        <v>40999</v>
      </c>
      <c r="W84" t="s">
        <v>68</v>
      </c>
      <c r="X84" t="s">
        <v>155</v>
      </c>
      <c r="Y84" s="4">
        <v>0.28207212686538696</v>
      </c>
      <c r="Z84" s="3">
        <v>1429.68701171875</v>
      </c>
      <c r="AA84" t="b">
        <v>1</v>
      </c>
      <c r="AB84" t="str">
        <f t="shared" si="5"/>
        <v>Incl.</v>
      </c>
    </row>
    <row r="85" spans="1:28" x14ac:dyDescent="0.2">
      <c r="A85" s="36">
        <v>41090</v>
      </c>
      <c r="B85" t="s">
        <v>105</v>
      </c>
      <c r="C85" t="s">
        <v>228</v>
      </c>
      <c r="D85" s="3" t="s">
        <v>151</v>
      </c>
      <c r="E85" s="37" t="b">
        <v>0</v>
      </c>
      <c r="F85" s="44">
        <v>4263.34033203125</v>
      </c>
      <c r="G85" s="44">
        <v>417.18841552734375</v>
      </c>
      <c r="H85" s="44">
        <v>1885.1363525390625</v>
      </c>
      <c r="I85" s="53">
        <v>2.2615554181473501</v>
      </c>
      <c r="J85" s="37" t="b">
        <v>1</v>
      </c>
      <c r="K85" s="44">
        <v>4547.10595703125</v>
      </c>
      <c r="L85" s="44">
        <v>502.84228515625</v>
      </c>
      <c r="M85" s="44">
        <v>2025.4720458984375</v>
      </c>
      <c r="N85" s="53">
        <v>2.2449611023954135</v>
      </c>
      <c r="O85" s="34" t="b">
        <v>1</v>
      </c>
      <c r="P85" s="44">
        <v>5193.703125</v>
      </c>
      <c r="Q85" s="44">
        <v>486.35198974609375</v>
      </c>
      <c r="R85" s="4">
        <v>2.8460253936638655</v>
      </c>
      <c r="S85" s="25">
        <f t="shared" si="3"/>
        <v>1.6594315751936595E-2</v>
      </c>
      <c r="T85" s="25">
        <f t="shared" si="4"/>
        <v>-0.58446997551651547</v>
      </c>
      <c r="V85" s="36">
        <v>40999</v>
      </c>
      <c r="W85" t="s">
        <v>160</v>
      </c>
      <c r="X85" t="s">
        <v>148</v>
      </c>
      <c r="Y85" s="4">
        <v>4.5966873168945312</v>
      </c>
      <c r="Z85" s="3">
        <v>1380.52294921875</v>
      </c>
      <c r="AA85" t="b">
        <v>1</v>
      </c>
      <c r="AB85" t="str">
        <f t="shared" si="5"/>
        <v>Incl.</v>
      </c>
    </row>
    <row r="86" spans="1:28" x14ac:dyDescent="0.2">
      <c r="A86" s="36">
        <v>41090</v>
      </c>
      <c r="B86" t="s">
        <v>83</v>
      </c>
      <c r="C86" t="s">
        <v>201</v>
      </c>
      <c r="D86" s="3" t="s">
        <v>143</v>
      </c>
      <c r="E86" s="37" t="b">
        <v>0</v>
      </c>
      <c r="F86" s="44">
        <v>360.66900634765625</v>
      </c>
      <c r="G86" s="44">
        <v>27.406999588012695</v>
      </c>
      <c r="H86" s="44">
        <v>104.94699859619141</v>
      </c>
      <c r="I86" s="53">
        <v>3.4366776675092559</v>
      </c>
      <c r="J86" s="37" t="b">
        <v>0</v>
      </c>
      <c r="K86" s="44">
        <v>325</v>
      </c>
      <c r="L86" s="44">
        <v>22.794000625610352</v>
      </c>
      <c r="M86" s="44">
        <v>79.877998352050781</v>
      </c>
      <c r="N86" s="53">
        <v>4.0687048587222892</v>
      </c>
      <c r="O86" s="34" t="b">
        <v>1</v>
      </c>
      <c r="P86" s="44">
        <v>325</v>
      </c>
      <c r="Q86" s="44">
        <v>22.007999420166016</v>
      </c>
      <c r="R86" s="4">
        <v>3.4520116299884758</v>
      </c>
      <c r="S86" s="25">
        <f t="shared" si="3"/>
        <v>-0.6320271912130333</v>
      </c>
      <c r="T86" s="25">
        <f t="shared" si="4"/>
        <v>-1.533396247921992E-2</v>
      </c>
      <c r="V86" s="36">
        <v>40999</v>
      </c>
      <c r="W86" t="s">
        <v>109</v>
      </c>
      <c r="X86" t="s">
        <v>148</v>
      </c>
      <c r="Y86" s="4">
        <v>2.2626485824584961</v>
      </c>
      <c r="Z86" s="3">
        <v>1369.10205078125</v>
      </c>
      <c r="AA86" t="b">
        <v>1</v>
      </c>
      <c r="AB86" t="str">
        <f t="shared" si="5"/>
        <v>Incl.</v>
      </c>
    </row>
    <row r="87" spans="1:28" x14ac:dyDescent="0.2">
      <c r="A87" s="36">
        <v>41090</v>
      </c>
      <c r="B87" t="s">
        <v>123</v>
      </c>
      <c r="C87" t="s">
        <v>203</v>
      </c>
      <c r="D87" s="3" t="s">
        <v>38</v>
      </c>
      <c r="E87" s="37" t="b">
        <v>0</v>
      </c>
      <c r="F87" s="44">
        <v>2741.0400390625</v>
      </c>
      <c r="G87" s="44">
        <v>954.03802490234375</v>
      </c>
      <c r="H87" s="44">
        <v>4012.47802734375</v>
      </c>
      <c r="I87" s="53">
        <v>0.68312898422949409</v>
      </c>
      <c r="J87" s="37" t="b">
        <v>1</v>
      </c>
      <c r="K87" s="44">
        <v>2745.885009765625</v>
      </c>
      <c r="L87" s="44">
        <v>1057.0999755859375</v>
      </c>
      <c r="M87" s="44">
        <v>4133.7998046875</v>
      </c>
      <c r="N87" s="53">
        <v>0.66425205367999285</v>
      </c>
      <c r="O87" s="34" t="b">
        <v>1</v>
      </c>
      <c r="P87" s="44">
        <v>2750.39990234375</v>
      </c>
      <c r="Q87" s="44">
        <v>1078.300048828125</v>
      </c>
      <c r="R87" s="4">
        <v>0.77807009486185119</v>
      </c>
      <c r="S87" s="25">
        <f t="shared" si="3"/>
        <v>1.8876930549501236E-2</v>
      </c>
      <c r="T87" s="25">
        <f t="shared" si="4"/>
        <v>-9.4941110632357106E-2</v>
      </c>
      <c r="V87" s="36">
        <v>40999</v>
      </c>
      <c r="W87" t="s">
        <v>101</v>
      </c>
      <c r="X87" t="s">
        <v>151</v>
      </c>
      <c r="Y87" s="4">
        <v>0.91269910335540771</v>
      </c>
      <c r="Z87" s="3">
        <v>1320.7320556640625</v>
      </c>
      <c r="AA87" t="b">
        <v>1</v>
      </c>
      <c r="AB87" t="str">
        <f t="shared" si="5"/>
        <v>Incl.</v>
      </c>
    </row>
    <row r="88" spans="1:28" x14ac:dyDescent="0.2">
      <c r="A88" s="36">
        <v>41090</v>
      </c>
      <c r="B88" t="s">
        <v>194</v>
      </c>
      <c r="C88" t="s">
        <v>229</v>
      </c>
      <c r="D88" s="3" t="s">
        <v>38</v>
      </c>
      <c r="E88" s="37" t="b">
        <v>0</v>
      </c>
      <c r="F88" s="44">
        <v>1115.4171142578125</v>
      </c>
      <c r="G88" s="44">
        <v>125.74227142333984</v>
      </c>
      <c r="H88" s="44">
        <v>1186.3912353515625</v>
      </c>
      <c r="I88" s="53">
        <v>0.94017646204818917</v>
      </c>
      <c r="J88" s="37" t="b">
        <v>0</v>
      </c>
      <c r="K88" s="44">
        <v>1228.1190185546875</v>
      </c>
      <c r="L88" s="44">
        <v>863.99737548828125</v>
      </c>
      <c r="M88" s="44">
        <v>1185.198974609375</v>
      </c>
      <c r="N88" s="53">
        <v>1.0362133657426242</v>
      </c>
      <c r="O88" s="34" t="b">
        <v>0</v>
      </c>
      <c r="P88" s="44">
        <v>1668.68505859375</v>
      </c>
      <c r="Q88" s="44">
        <v>113.61910247802734</v>
      </c>
      <c r="R88" s="4">
        <v>1.2973205563898116</v>
      </c>
      <c r="S88" s="25">
        <f t="shared" si="3"/>
        <v>-9.6036903694435072E-2</v>
      </c>
      <c r="T88" s="25">
        <f t="shared" si="4"/>
        <v>-0.35714409434162242</v>
      </c>
      <c r="V88" s="36">
        <v>40999</v>
      </c>
      <c r="W88" t="s">
        <v>110</v>
      </c>
      <c r="X88" t="s">
        <v>148</v>
      </c>
      <c r="Y88" s="4">
        <v>2.3854563236236572</v>
      </c>
      <c r="Z88" s="3">
        <v>1281.2840576171875</v>
      </c>
      <c r="AA88" t="b">
        <v>1</v>
      </c>
      <c r="AB88" t="str">
        <f t="shared" si="5"/>
        <v>Incl.</v>
      </c>
    </row>
    <row r="89" spans="1:28" x14ac:dyDescent="0.2">
      <c r="A89" s="36">
        <v>41090</v>
      </c>
      <c r="B89" t="s">
        <v>254</v>
      </c>
      <c r="C89" t="s">
        <v>205</v>
      </c>
      <c r="D89" s="3" t="s">
        <v>38</v>
      </c>
      <c r="E89" s="37" t="b">
        <v>0</v>
      </c>
      <c r="F89" s="44">
        <v>1553</v>
      </c>
      <c r="G89" s="44">
        <v>317</v>
      </c>
      <c r="H89" s="44">
        <v>1095</v>
      </c>
      <c r="I89" s="53">
        <v>1.4182648401826483</v>
      </c>
      <c r="J89" s="37" t="b">
        <v>1</v>
      </c>
      <c r="K89" s="44">
        <v>1435.2850341796875</v>
      </c>
      <c r="L89" s="44">
        <v>260.27801513671875</v>
      </c>
      <c r="M89" s="44">
        <v>1010.0780029296875</v>
      </c>
      <c r="N89" s="53">
        <v>1.4209645492889711</v>
      </c>
      <c r="O89" s="34" t="b">
        <v>1</v>
      </c>
      <c r="P89" s="44">
        <v>1293.7659912109375</v>
      </c>
      <c r="Q89" s="44">
        <v>233.5</v>
      </c>
      <c r="R89" s="4">
        <v>1.619231528424202</v>
      </c>
      <c r="S89" s="25">
        <f t="shared" si="3"/>
        <v>-2.6997091063227785E-3</v>
      </c>
      <c r="T89" s="25">
        <f t="shared" si="4"/>
        <v>-0.20096668824155373</v>
      </c>
      <c r="V89" s="36">
        <v>40999</v>
      </c>
      <c r="W89" t="s">
        <v>88</v>
      </c>
      <c r="X89" t="s">
        <v>141</v>
      </c>
      <c r="Y89" s="4">
        <v>4.5833544731140137</v>
      </c>
      <c r="Z89" s="3">
        <v>1249.748046875</v>
      </c>
      <c r="AA89" t="b">
        <v>0</v>
      </c>
      <c r="AB89" t="str">
        <f t="shared" si="5"/>
        <v>Incl.</v>
      </c>
    </row>
    <row r="90" spans="1:28" x14ac:dyDescent="0.2">
      <c r="A90" s="36">
        <v>41090</v>
      </c>
      <c r="B90" t="s">
        <v>255</v>
      </c>
      <c r="C90" t="s">
        <v>212</v>
      </c>
      <c r="D90" s="3" t="s">
        <v>266</v>
      </c>
      <c r="E90" s="37" t="b">
        <v>0</v>
      </c>
      <c r="F90" s="44">
        <v>1066</v>
      </c>
      <c r="G90" s="44">
        <v>170</v>
      </c>
      <c r="H90" s="44">
        <v>634</v>
      </c>
      <c r="I90" s="53">
        <v>1.6813880126182965</v>
      </c>
      <c r="J90" s="37" t="b">
        <v>0</v>
      </c>
      <c r="K90" s="44">
        <v>1041.0469970703125</v>
      </c>
      <c r="L90" s="44">
        <v>143.89590454101563</v>
      </c>
      <c r="M90" s="44">
        <v>615.772705078125</v>
      </c>
      <c r="N90" s="53">
        <v>1.6906351783459315</v>
      </c>
      <c r="O90" s="34" t="b">
        <v>0</v>
      </c>
      <c r="P90" s="44">
        <v>1020.0989990234375</v>
      </c>
      <c r="Q90" s="44">
        <v>152.04550170898437</v>
      </c>
      <c r="R90" s="4">
        <v>1.80772484746617</v>
      </c>
      <c r="S90" s="25">
        <f t="shared" si="3"/>
        <v>-9.2471657276349539E-3</v>
      </c>
      <c r="T90" s="25">
        <f t="shared" si="4"/>
        <v>-0.1263368348478735</v>
      </c>
      <c r="V90" s="36">
        <v>40999</v>
      </c>
      <c r="W90" t="s">
        <v>194</v>
      </c>
      <c r="X90" t="s">
        <v>38</v>
      </c>
      <c r="Y90" s="4">
        <v>0.26924994587898254</v>
      </c>
      <c r="Z90" s="3">
        <v>1228.1190185546875</v>
      </c>
      <c r="AA90" t="b">
        <v>0</v>
      </c>
      <c r="AB90" t="str">
        <f t="shared" si="5"/>
        <v>Incl.</v>
      </c>
    </row>
    <row r="91" spans="1:28" x14ac:dyDescent="0.2">
      <c r="A91" s="36">
        <v>41090</v>
      </c>
      <c r="B91" t="s">
        <v>116</v>
      </c>
      <c r="C91" t="s">
        <v>217</v>
      </c>
      <c r="D91" s="3" t="s">
        <v>152</v>
      </c>
      <c r="E91" s="37" t="b">
        <v>0</v>
      </c>
      <c r="F91" s="44">
        <v>4779.35009765625</v>
      </c>
      <c r="G91" s="44">
        <v>154.25997924804687</v>
      </c>
      <c r="H91" s="44">
        <v>691.28143310546875</v>
      </c>
      <c r="I91" s="53">
        <v>6.9137544692699207</v>
      </c>
      <c r="J91" s="37" t="b">
        <v>1</v>
      </c>
      <c r="K91" s="44">
        <v>5102.2578125</v>
      </c>
      <c r="L91" s="44">
        <v>134.78160095214844</v>
      </c>
      <c r="M91" s="44">
        <v>698.18548583984375</v>
      </c>
      <c r="N91" s="53">
        <v>7.3078829565792534</v>
      </c>
      <c r="O91" s="34" t="b">
        <v>1</v>
      </c>
      <c r="P91" s="44">
        <v>4607.9130859375</v>
      </c>
      <c r="Q91" s="44">
        <v>173.06649780273438</v>
      </c>
      <c r="R91" s="4">
        <v>5.4930885688663817</v>
      </c>
      <c r="S91" s="25">
        <f>I91-N91</f>
        <v>-0.3941284873093327</v>
      </c>
      <c r="T91" s="25">
        <f>I91-R91</f>
        <v>1.4206659004035389</v>
      </c>
      <c r="V91" s="36">
        <v>40999</v>
      </c>
      <c r="W91" t="s">
        <v>108</v>
      </c>
      <c r="X91" t="s">
        <v>148</v>
      </c>
      <c r="Y91" s="4">
        <v>2.5749785900115967</v>
      </c>
      <c r="Z91" s="3">
        <v>1210.1629638671875</v>
      </c>
      <c r="AA91" t="b">
        <v>1</v>
      </c>
      <c r="AB91" t="str">
        <f t="shared" si="5"/>
        <v>Incl.</v>
      </c>
    </row>
    <row r="92" spans="1:28" x14ac:dyDescent="0.2">
      <c r="A92" s="36">
        <v>41090</v>
      </c>
      <c r="B92" t="s">
        <v>192</v>
      </c>
      <c r="C92" t="s">
        <v>201</v>
      </c>
      <c r="D92" s="3" t="s">
        <v>151</v>
      </c>
      <c r="E92" s="37" t="b">
        <v>0</v>
      </c>
      <c r="F92" s="44">
        <v>2719.880859375</v>
      </c>
      <c r="G92" s="44">
        <v>453.615966796875</v>
      </c>
      <c r="H92" s="44">
        <v>2045.4970703125</v>
      </c>
      <c r="I92" s="53">
        <v>1.3296918870480079</v>
      </c>
      <c r="J92" s="37" t="b">
        <v>0</v>
      </c>
      <c r="K92" s="44">
        <v>2658.58203125</v>
      </c>
      <c r="L92" s="44">
        <v>490.29058837890625</v>
      </c>
      <c r="M92" s="44">
        <v>2081.4130859375</v>
      </c>
      <c r="N92" s="53">
        <v>1.2772966833023125</v>
      </c>
      <c r="O92" s="34" t="b">
        <v>0</v>
      </c>
      <c r="P92" s="44">
        <v>2168.97412109375</v>
      </c>
      <c r="Q92" s="44">
        <v>490.04681396484375</v>
      </c>
      <c r="R92" s="4">
        <v>1.1518348080270566</v>
      </c>
      <c r="S92" s="25">
        <f>I92-N92</f>
        <v>5.2395203745695396E-2</v>
      </c>
      <c r="T92" s="25">
        <f>I92-R92</f>
        <v>0.17785707902095127</v>
      </c>
      <c r="V92" s="36">
        <v>40999</v>
      </c>
      <c r="W92" t="s">
        <v>100</v>
      </c>
      <c r="X92" t="s">
        <v>151</v>
      </c>
      <c r="Y92" s="4">
        <v>0.76669967174530029</v>
      </c>
      <c r="Z92" s="3">
        <v>1168.8900146484375</v>
      </c>
      <c r="AA92" t="b">
        <v>1</v>
      </c>
      <c r="AB92" t="str">
        <f t="shared" si="5"/>
        <v>Incl.</v>
      </c>
    </row>
    <row r="93" spans="1:28" x14ac:dyDescent="0.2">
      <c r="A93" s="36">
        <v>41090</v>
      </c>
      <c r="B93" t="s">
        <v>126</v>
      </c>
      <c r="C93" t="s">
        <v>230</v>
      </c>
      <c r="D93" s="3" t="s">
        <v>39</v>
      </c>
      <c r="E93" s="37" t="b">
        <v>0</v>
      </c>
      <c r="F93" s="44">
        <v>4056.239990234375</v>
      </c>
      <c r="G93" s="44">
        <v>505.98779296875</v>
      </c>
      <c r="H93" s="44">
        <v>1991.779052734375</v>
      </c>
      <c r="I93" s="53">
        <v>2.0364909374189097</v>
      </c>
      <c r="J93" s="37" t="b">
        <v>1</v>
      </c>
      <c r="K93" s="44">
        <v>4267.0458984375</v>
      </c>
      <c r="L93" s="44">
        <v>412.15811157226562</v>
      </c>
      <c r="M93" s="44">
        <v>1996.64697265625</v>
      </c>
      <c r="N93" s="53">
        <v>2.1371058363716711</v>
      </c>
      <c r="O93" s="34" t="b">
        <v>1</v>
      </c>
      <c r="P93" s="44">
        <v>4597.44677734375</v>
      </c>
      <c r="Q93" s="44">
        <v>513.59271240234375</v>
      </c>
      <c r="R93" s="4">
        <v>2.4743795701962434</v>
      </c>
      <c r="S93" s="25">
        <f t="shared" ref="S93:S100" si="6">I93-N93</f>
        <v>-0.10061489895276132</v>
      </c>
      <c r="T93" s="25">
        <f t="shared" ref="T93:T100" si="7">I93-R93</f>
        <v>-0.4378886327773337</v>
      </c>
      <c r="V93" s="36">
        <v>40999</v>
      </c>
      <c r="W93" t="s">
        <v>103</v>
      </c>
      <c r="X93" t="s">
        <v>148</v>
      </c>
      <c r="Y93" s="4">
        <v>1.9237207174301147</v>
      </c>
      <c r="Z93" s="3">
        <v>1161.656005859375</v>
      </c>
      <c r="AA93" t="b">
        <v>1</v>
      </c>
      <c r="AB93" t="str">
        <f t="shared" si="5"/>
        <v>Incl.</v>
      </c>
    </row>
    <row r="94" spans="1:28" x14ac:dyDescent="0.2">
      <c r="A94" s="36">
        <v>41090</v>
      </c>
      <c r="B94" t="s">
        <v>70</v>
      </c>
      <c r="C94" t="s">
        <v>201</v>
      </c>
      <c r="D94" s="3" t="s">
        <v>154</v>
      </c>
      <c r="E94" s="37" t="b">
        <v>0</v>
      </c>
      <c r="F94" s="44">
        <v>4586.62548828125</v>
      </c>
      <c r="G94" s="44">
        <v>681.562255859375</v>
      </c>
      <c r="H94" s="44">
        <v>3999.94580078125</v>
      </c>
      <c r="I94" s="53">
        <v>1.1466719092507236</v>
      </c>
      <c r="J94" s="37" t="b">
        <v>1</v>
      </c>
      <c r="K94" s="44">
        <v>5910.09423828125</v>
      </c>
      <c r="L94" s="44">
        <v>738.52691650390625</v>
      </c>
      <c r="M94" s="44">
        <v>3429.166015625</v>
      </c>
      <c r="N94" s="53">
        <v>1.7234785983973646</v>
      </c>
      <c r="O94" s="34" t="b">
        <v>1</v>
      </c>
      <c r="P94" s="44">
        <v>5779.533203125</v>
      </c>
      <c r="Q94" s="44">
        <v>944.51959228515625</v>
      </c>
      <c r="R94" s="4">
        <v>1.5670106641332864</v>
      </c>
      <c r="S94" s="25">
        <f t="shared" si="6"/>
        <v>-0.57680668914664102</v>
      </c>
      <c r="T94" s="25">
        <f t="shared" si="7"/>
        <v>-0.42033875488256278</v>
      </c>
      <c r="V94" s="36">
        <v>40999</v>
      </c>
      <c r="W94" t="s">
        <v>97</v>
      </c>
      <c r="X94" t="s">
        <v>152</v>
      </c>
      <c r="Y94" s="4">
        <v>4.3625351041555405E-2</v>
      </c>
      <c r="Z94" s="3">
        <v>1067.0570068359375</v>
      </c>
      <c r="AA94" t="b">
        <v>1</v>
      </c>
      <c r="AB94" t="str">
        <f t="shared" si="5"/>
        <v>Incl.</v>
      </c>
    </row>
    <row r="95" spans="1:28" x14ac:dyDescent="0.2">
      <c r="A95" s="36">
        <v>41090</v>
      </c>
      <c r="B95" t="s">
        <v>125</v>
      </c>
      <c r="C95" t="s">
        <v>229</v>
      </c>
      <c r="D95" s="3" t="s">
        <v>38</v>
      </c>
      <c r="E95" s="37" t="b">
        <v>0</v>
      </c>
      <c r="F95" s="44">
        <v>1515.6243896484375</v>
      </c>
      <c r="G95" s="44">
        <v>-151.89691162109375</v>
      </c>
      <c r="H95" s="44">
        <v>392.66265869140625</v>
      </c>
      <c r="I95" s="53">
        <v>3.8598638197465251</v>
      </c>
      <c r="J95" s="37" t="b">
        <v>0</v>
      </c>
      <c r="K95" s="44">
        <v>1665.7349853515625</v>
      </c>
      <c r="L95" s="44">
        <v>270.65829467773438</v>
      </c>
      <c r="M95" s="44">
        <v>757.1480712890625</v>
      </c>
      <c r="N95" s="53">
        <v>2.2000121885216051</v>
      </c>
      <c r="O95" s="34" t="b">
        <v>0</v>
      </c>
      <c r="P95" s="44">
        <v>1574.47900390625</v>
      </c>
      <c r="Q95" s="44">
        <v>208.20150756835937</v>
      </c>
      <c r="R95" s="4">
        <v>1.7538329349131085</v>
      </c>
      <c r="S95" s="25">
        <f t="shared" si="6"/>
        <v>1.6598516312249201</v>
      </c>
      <c r="T95" s="25">
        <f t="shared" si="7"/>
        <v>2.1060308848334168</v>
      </c>
      <c r="V95" s="36">
        <v>40999</v>
      </c>
      <c r="W95" t="s">
        <v>255</v>
      </c>
      <c r="X95" t="s">
        <v>266</v>
      </c>
      <c r="Y95" s="4">
        <v>-0.72801220417022705</v>
      </c>
      <c r="Z95" s="3">
        <v>1041.0469970703125</v>
      </c>
      <c r="AA95" t="b">
        <v>0</v>
      </c>
      <c r="AB95" t="str">
        <f t="shared" si="5"/>
        <v>Incl.</v>
      </c>
    </row>
    <row r="96" spans="1:28" x14ac:dyDescent="0.2">
      <c r="A96" s="36">
        <v>41090</v>
      </c>
      <c r="B96" t="s">
        <v>79</v>
      </c>
      <c r="C96" t="s">
        <v>231</v>
      </c>
      <c r="D96" s="3" t="s">
        <v>144</v>
      </c>
      <c r="E96" s="37" t="b">
        <v>0</v>
      </c>
      <c r="F96" s="44">
        <v>377.97317504882812</v>
      </c>
      <c r="G96" s="44">
        <v>36.448417663574219</v>
      </c>
      <c r="H96" s="44">
        <v>189.36674499511719</v>
      </c>
      <c r="I96" s="53">
        <v>1.9959849606042188</v>
      </c>
      <c r="J96" s="37" t="b">
        <v>1</v>
      </c>
      <c r="K96" s="44">
        <v>385.09140014648437</v>
      </c>
      <c r="L96" s="44">
        <v>52.847591400146484</v>
      </c>
      <c r="M96" s="44">
        <v>178.85870361328125</v>
      </c>
      <c r="N96" s="53">
        <v>2.153048145641872</v>
      </c>
      <c r="O96" s="34" t="b">
        <v>1</v>
      </c>
      <c r="P96" s="44">
        <v>378.31381225585937</v>
      </c>
      <c r="Q96" s="44">
        <v>34.32666015625</v>
      </c>
      <c r="R96" s="4">
        <v>2.5829497343569492</v>
      </c>
      <c r="S96" s="25">
        <f t="shared" si="6"/>
        <v>-0.15706318503765315</v>
      </c>
      <c r="T96" s="25">
        <f t="shared" si="7"/>
        <v>-0.58696477375273037</v>
      </c>
      <c r="V96" s="36">
        <v>40999</v>
      </c>
      <c r="W96" t="s">
        <v>145</v>
      </c>
      <c r="X96" t="s">
        <v>52</v>
      </c>
      <c r="Y96" s="4">
        <v>0.98192238807678223</v>
      </c>
      <c r="Z96" s="3">
        <v>1038.449951171875</v>
      </c>
      <c r="AA96" t="b">
        <v>1</v>
      </c>
      <c r="AB96" t="str">
        <f t="shared" si="5"/>
        <v>Incl.</v>
      </c>
    </row>
    <row r="97" spans="1:28" x14ac:dyDescent="0.2">
      <c r="A97" s="36">
        <v>41090</v>
      </c>
      <c r="B97" t="s">
        <v>80</v>
      </c>
      <c r="C97" t="s">
        <v>215</v>
      </c>
      <c r="D97" s="3" t="s">
        <v>143</v>
      </c>
      <c r="E97" s="37" t="b">
        <v>0</v>
      </c>
      <c r="F97" s="44">
        <v>154.49916076660156</v>
      </c>
      <c r="G97" s="44">
        <v>-1.7659280300140381</v>
      </c>
      <c r="H97" s="44">
        <v>8.5684947967529297</v>
      </c>
      <c r="I97" s="53">
        <v>18.0310736519499</v>
      </c>
      <c r="J97" s="37" t="b">
        <v>0</v>
      </c>
      <c r="K97" s="44">
        <v>161.44340515136719</v>
      </c>
      <c r="L97" s="44">
        <v>-3.368602991104126</v>
      </c>
      <c r="M97" s="44">
        <v>14.882379531860352</v>
      </c>
      <c r="N97" s="53">
        <v>10.847956457886824</v>
      </c>
      <c r="O97" s="34" t="b">
        <v>1</v>
      </c>
      <c r="P97" s="44">
        <v>151.39999389648437</v>
      </c>
      <c r="Q97" s="44">
        <v>5.9786210060119629</v>
      </c>
      <c r="R97" s="4">
        <v>2.7582858521701228</v>
      </c>
      <c r="S97" s="25">
        <f t="shared" si="6"/>
        <v>7.183117194063076</v>
      </c>
      <c r="T97" s="25">
        <f t="shared" si="7"/>
        <v>15.272787799779778</v>
      </c>
      <c r="V97" s="36">
        <v>40999</v>
      </c>
      <c r="W97" t="s">
        <v>153</v>
      </c>
      <c r="X97" t="s">
        <v>50</v>
      </c>
      <c r="Y97" s="4">
        <v>2.296541690826416</v>
      </c>
      <c r="Z97" s="3">
        <v>1007.6400146484375</v>
      </c>
      <c r="AA97" t="b">
        <v>0</v>
      </c>
      <c r="AB97" t="str">
        <f t="shared" si="5"/>
        <v>Not Incl.</v>
      </c>
    </row>
    <row r="98" spans="1:28" x14ac:dyDescent="0.2">
      <c r="A98" s="36">
        <v>41090</v>
      </c>
      <c r="B98" t="s">
        <v>256</v>
      </c>
      <c r="C98" t="s">
        <v>222</v>
      </c>
      <c r="D98" s="3" t="s">
        <v>141</v>
      </c>
      <c r="E98" s="37" t="b">
        <v>0</v>
      </c>
      <c r="F98" s="44">
        <v>3661</v>
      </c>
      <c r="G98" s="44">
        <v>267</v>
      </c>
      <c r="H98" s="44">
        <v>962</v>
      </c>
      <c r="I98" s="53">
        <v>3.8056133056133055</v>
      </c>
      <c r="J98" s="37" t="b">
        <v>0</v>
      </c>
      <c r="K98" s="44">
        <v>3865.7529296875</v>
      </c>
      <c r="L98" s="44">
        <v>284.89801025390625</v>
      </c>
      <c r="M98" s="44">
        <v>1011.0700073242187</v>
      </c>
      <c r="N98" s="53">
        <v>3.8234275586100668</v>
      </c>
      <c r="O98" s="34" t="b">
        <v>1</v>
      </c>
      <c r="P98" s="44">
        <v>4016.554931640625</v>
      </c>
      <c r="Q98" s="44">
        <v>332.2659912109375</v>
      </c>
      <c r="R98" s="4">
        <v>3.4832122864901263</v>
      </c>
      <c r="S98" s="25">
        <f t="shared" si="6"/>
        <v>-1.7814252996761315E-2</v>
      </c>
      <c r="T98" s="25">
        <f t="shared" si="7"/>
        <v>0.3224010191231792</v>
      </c>
      <c r="V98" s="36">
        <v>40999</v>
      </c>
      <c r="W98" t="s">
        <v>96</v>
      </c>
      <c r="X98" t="s">
        <v>141</v>
      </c>
      <c r="Y98" s="4">
        <v>5.2443499565124512</v>
      </c>
      <c r="Z98" s="3">
        <v>974.456298828125</v>
      </c>
      <c r="AA98" t="b">
        <v>0</v>
      </c>
      <c r="AB98" t="str">
        <f t="shared" si="5"/>
        <v>Incl.</v>
      </c>
    </row>
    <row r="99" spans="1:28" x14ac:dyDescent="0.2">
      <c r="A99" s="36">
        <v>41090</v>
      </c>
      <c r="B99" t="s">
        <v>86</v>
      </c>
      <c r="C99" t="s">
        <v>200</v>
      </c>
      <c r="D99" s="3" t="s">
        <v>143</v>
      </c>
      <c r="E99" s="37" t="b">
        <v>0</v>
      </c>
      <c r="F99" s="44">
        <v>2800.9013671875</v>
      </c>
      <c r="G99" s="44">
        <v>138.59812927246094</v>
      </c>
      <c r="H99" s="44">
        <v>538.67083740234375</v>
      </c>
      <c r="I99" s="53">
        <v>5.199652872790387</v>
      </c>
      <c r="J99" s="37" t="b">
        <v>0</v>
      </c>
      <c r="K99" s="44">
        <v>2809.157958984375</v>
      </c>
      <c r="L99" s="44">
        <v>151.6968994140625</v>
      </c>
      <c r="M99" s="44">
        <v>563.5347900390625</v>
      </c>
      <c r="N99" s="53">
        <v>4.9848882600303215</v>
      </c>
      <c r="O99" s="34" t="b">
        <v>0</v>
      </c>
      <c r="P99" s="44">
        <v>2586.820068359375</v>
      </c>
      <c r="Q99" s="44">
        <v>163.88259887695312</v>
      </c>
      <c r="R99" s="4">
        <v>4.0122537986633855</v>
      </c>
      <c r="S99" s="25">
        <f t="shared" si="6"/>
        <v>0.21476461276006553</v>
      </c>
      <c r="T99" s="25">
        <f t="shared" si="7"/>
        <v>1.1873990741270015</v>
      </c>
      <c r="V99" s="36">
        <v>40999</v>
      </c>
      <c r="W99" t="s">
        <v>248</v>
      </c>
      <c r="X99" t="s">
        <v>143</v>
      </c>
      <c r="Y99" s="4">
        <v>1.993084192276001</v>
      </c>
      <c r="Z99" s="3">
        <v>965.760986328125</v>
      </c>
      <c r="AA99" t="b">
        <v>0</v>
      </c>
      <c r="AB99" t="str">
        <f t="shared" si="5"/>
        <v>Incl.</v>
      </c>
    </row>
    <row r="100" spans="1:28" x14ac:dyDescent="0.2">
      <c r="A100" s="36">
        <v>41090</v>
      </c>
      <c r="B100" t="s">
        <v>103</v>
      </c>
      <c r="C100" t="s">
        <v>211</v>
      </c>
      <c r="D100" s="3" t="s">
        <v>148</v>
      </c>
      <c r="E100" s="37" t="b">
        <v>0</v>
      </c>
      <c r="F100" s="44">
        <v>1364.718017578125</v>
      </c>
      <c r="G100" s="44">
        <v>59.790050506591797</v>
      </c>
      <c r="H100" s="44">
        <v>260.49176025390625</v>
      </c>
      <c r="I100" s="53">
        <v>5.2390064708684392</v>
      </c>
      <c r="J100" s="37" t="b">
        <v>1</v>
      </c>
      <c r="K100" s="44">
        <v>1161.656005859375</v>
      </c>
      <c r="L100" s="44">
        <v>65.057373046875</v>
      </c>
      <c r="M100" s="44">
        <v>365.79998779296875</v>
      </c>
      <c r="N100" s="53">
        <v>3.1756589519539178</v>
      </c>
      <c r="O100" s="34" t="b">
        <v>1</v>
      </c>
      <c r="P100" s="44">
        <v>1175.85302734375</v>
      </c>
      <c r="Q100" s="44">
        <v>88.23052978515625</v>
      </c>
      <c r="R100" s="4">
        <v>3.3441063549764674</v>
      </c>
      <c r="S100" s="25">
        <f t="shared" si="6"/>
        <v>2.0633475189145214</v>
      </c>
      <c r="T100" s="25">
        <f t="shared" si="7"/>
        <v>1.8949001158919718</v>
      </c>
      <c r="V100" s="36">
        <v>40999</v>
      </c>
      <c r="W100" t="s">
        <v>73</v>
      </c>
      <c r="X100" t="s">
        <v>50</v>
      </c>
      <c r="Y100" s="4">
        <v>0.53673887252807617</v>
      </c>
      <c r="Z100" s="3">
        <v>935.677001953125</v>
      </c>
      <c r="AA100" t="b">
        <v>0</v>
      </c>
      <c r="AB100" t="str">
        <f t="shared" si="5"/>
        <v>Incl.</v>
      </c>
    </row>
    <row r="101" spans="1:28" x14ac:dyDescent="0.2">
      <c r="A101" s="36">
        <v>41090</v>
      </c>
      <c r="B101" t="s">
        <v>136</v>
      </c>
      <c r="C101" t="s">
        <v>202</v>
      </c>
      <c r="D101" s="3" t="s">
        <v>151</v>
      </c>
      <c r="E101" s="37" t="b">
        <v>0</v>
      </c>
      <c r="F101" s="44">
        <v>4339.1884765625</v>
      </c>
      <c r="G101" s="44">
        <v>118.57113647460937</v>
      </c>
      <c r="H101" s="44">
        <v>614.22821044921875</v>
      </c>
      <c r="I101" s="53">
        <v>7.064456504511595</v>
      </c>
      <c r="J101" s="37" t="b">
        <v>1</v>
      </c>
      <c r="K101" s="44">
        <v>4810.36279296875</v>
      </c>
      <c r="L101" s="44">
        <v>107.41880035400391</v>
      </c>
      <c r="M101" s="44">
        <v>667.50482177734375</v>
      </c>
      <c r="N101" s="53">
        <v>7.2064839624084671</v>
      </c>
      <c r="O101" s="34" t="b">
        <v>1</v>
      </c>
      <c r="P101" s="44">
        <v>5364.99609375</v>
      </c>
      <c r="Q101" s="44">
        <v>229.01060485839844</v>
      </c>
      <c r="R101" s="4">
        <v>5.1219492241158591</v>
      </c>
      <c r="S101" s="25">
        <f t="shared" ref="S101:S107" si="8">I101-N101</f>
        <v>-0.1420274578968721</v>
      </c>
      <c r="T101" s="25">
        <f t="shared" ref="T101:T107" si="9">I101-R101</f>
        <v>1.9425072803957359</v>
      </c>
      <c r="V101" s="36">
        <v>40999</v>
      </c>
      <c r="W101" t="s">
        <v>77</v>
      </c>
      <c r="X101" t="s">
        <v>141</v>
      </c>
      <c r="Y101" s="4">
        <v>2.4764142036437988</v>
      </c>
      <c r="Z101" s="3">
        <v>918.58758544921875</v>
      </c>
      <c r="AA101" t="b">
        <v>1</v>
      </c>
      <c r="AB101" t="str">
        <f t="shared" si="5"/>
        <v>Incl.</v>
      </c>
    </row>
    <row r="102" spans="1:28" x14ac:dyDescent="0.2">
      <c r="A102" s="36">
        <v>41090</v>
      </c>
      <c r="B102" t="s">
        <v>124</v>
      </c>
      <c r="C102" t="s">
        <v>203</v>
      </c>
      <c r="D102" s="3" t="s">
        <v>39</v>
      </c>
      <c r="E102" s="37" t="b">
        <v>0</v>
      </c>
      <c r="F102" s="44">
        <v>26848</v>
      </c>
      <c r="G102" s="44">
        <v>5384</v>
      </c>
      <c r="H102" s="44">
        <v>27818.359375</v>
      </c>
      <c r="I102" s="53">
        <v>0.9651180228884364</v>
      </c>
      <c r="J102" s="37" t="b">
        <v>1</v>
      </c>
      <c r="K102" s="44">
        <v>24939</v>
      </c>
      <c r="L102" s="44">
        <v>4965</v>
      </c>
      <c r="M102" s="44">
        <v>31060</v>
      </c>
      <c r="N102" s="53">
        <v>0.80292981326464907</v>
      </c>
      <c r="O102" s="34" t="b">
        <v>1</v>
      </c>
      <c r="P102" s="44">
        <v>24453</v>
      </c>
      <c r="Q102" s="44">
        <v>9069</v>
      </c>
      <c r="R102" s="4">
        <v>0.71051255230125521</v>
      </c>
      <c r="S102" s="25">
        <f t="shared" si="8"/>
        <v>0.16218820962378733</v>
      </c>
      <c r="T102" s="25">
        <f t="shared" si="9"/>
        <v>0.25460547058718119</v>
      </c>
      <c r="V102" s="36">
        <v>40999</v>
      </c>
      <c r="W102" t="s">
        <v>114</v>
      </c>
      <c r="Y102" s="4">
        <v>3.3803198337554932</v>
      </c>
      <c r="Z102" s="3">
        <v>901.52667236328125</v>
      </c>
      <c r="AA102" t="b">
        <v>0</v>
      </c>
      <c r="AB102" t="str">
        <f t="shared" si="5"/>
        <v>Incl.</v>
      </c>
    </row>
    <row r="103" spans="1:28" x14ac:dyDescent="0.2">
      <c r="A103" s="36">
        <v>41090</v>
      </c>
      <c r="B103" t="s">
        <v>112</v>
      </c>
      <c r="C103" t="s">
        <v>203</v>
      </c>
      <c r="D103" s="3" t="s">
        <v>152</v>
      </c>
      <c r="E103" s="37" t="b">
        <v>0</v>
      </c>
      <c r="F103" s="44">
        <v>13056.2998046875</v>
      </c>
      <c r="G103" s="44">
        <v>855.70001220703125</v>
      </c>
      <c r="H103" s="44">
        <v>3853.5</v>
      </c>
      <c r="I103" s="53">
        <v>3.3881665511061372</v>
      </c>
      <c r="J103" s="37" t="b">
        <v>0</v>
      </c>
      <c r="K103" s="44">
        <v>13056.2998046875</v>
      </c>
      <c r="L103" s="44">
        <v>855.70001220703125</v>
      </c>
      <c r="M103" s="44">
        <v>3853.5</v>
      </c>
      <c r="N103" s="53">
        <v>3.3881665511061372</v>
      </c>
      <c r="O103" s="34" t="b">
        <v>0</v>
      </c>
      <c r="P103" s="44">
        <v>8983.2998046875</v>
      </c>
      <c r="Q103" s="44">
        <v>674.25</v>
      </c>
      <c r="R103" s="4">
        <v>3.4054741033599947</v>
      </c>
      <c r="S103" s="25">
        <f t="shared" si="8"/>
        <v>0</v>
      </c>
      <c r="T103" s="25">
        <f t="shared" si="9"/>
        <v>-1.7307552253857494E-2</v>
      </c>
      <c r="V103" s="36">
        <v>40999</v>
      </c>
      <c r="W103" t="s">
        <v>84</v>
      </c>
      <c r="X103" t="s">
        <v>150</v>
      </c>
      <c r="Y103" s="4">
        <v>3.0247147083282471</v>
      </c>
      <c r="Z103" s="3">
        <v>879.55792236328125</v>
      </c>
      <c r="AA103" t="b">
        <v>1</v>
      </c>
      <c r="AB103" t="str">
        <f t="shared" si="5"/>
        <v>Incl.</v>
      </c>
    </row>
    <row r="104" spans="1:28" x14ac:dyDescent="0.2">
      <c r="A104" s="36">
        <v>41090</v>
      </c>
      <c r="B104" t="s">
        <v>62</v>
      </c>
      <c r="C104" t="s">
        <v>198</v>
      </c>
      <c r="D104" s="3" t="s">
        <v>144</v>
      </c>
      <c r="E104" s="37" t="b">
        <v>0</v>
      </c>
      <c r="F104" s="44">
        <v>1747.9530029296875</v>
      </c>
      <c r="G104" s="44">
        <v>133.01600646972656</v>
      </c>
      <c r="H104" s="44">
        <v>759.84100341796875</v>
      </c>
      <c r="I104" s="53">
        <v>2.3004194233621584</v>
      </c>
      <c r="J104" s="37" t="b">
        <v>0</v>
      </c>
      <c r="K104" s="44">
        <v>1688.7950439453125</v>
      </c>
      <c r="L104" s="44">
        <v>217.88200378417969</v>
      </c>
      <c r="M104" s="44">
        <v>750.86798095703125</v>
      </c>
      <c r="N104" s="53">
        <v>2.2491237964266779</v>
      </c>
      <c r="O104" s="34" t="b">
        <v>0</v>
      </c>
      <c r="P104" s="44">
        <v>1664.990966796875</v>
      </c>
      <c r="Q104" s="44">
        <v>124.04299926757812</v>
      </c>
      <c r="R104" s="4">
        <v>3.1121965577746695</v>
      </c>
      <c r="S104" s="25">
        <f t="shared" si="8"/>
        <v>5.1295626935480509E-2</v>
      </c>
      <c r="T104" s="25">
        <f t="shared" si="9"/>
        <v>-0.81177713441251109</v>
      </c>
      <c r="V104" s="36">
        <v>40999</v>
      </c>
      <c r="W104" t="s">
        <v>267</v>
      </c>
      <c r="Y104" s="4">
        <v>4.9365806579589844</v>
      </c>
      <c r="Z104" s="3">
        <v>855.84808349609375</v>
      </c>
      <c r="AA104" t="b">
        <v>0</v>
      </c>
      <c r="AB104" t="str">
        <f t="shared" si="5"/>
        <v>Not Incl.</v>
      </c>
    </row>
    <row r="105" spans="1:28" x14ac:dyDescent="0.2">
      <c r="A105" s="36">
        <v>41090</v>
      </c>
      <c r="B105" t="s">
        <v>120</v>
      </c>
      <c r="C105" t="s">
        <v>206</v>
      </c>
      <c r="D105" s="3" t="s">
        <v>141</v>
      </c>
      <c r="E105" s="37" t="b">
        <v>0</v>
      </c>
      <c r="F105" s="44">
        <v>2498.73583984375</v>
      </c>
      <c r="G105" s="44">
        <v>132.46287536621094</v>
      </c>
      <c r="H105" s="44">
        <v>367.8292236328125</v>
      </c>
      <c r="I105" s="53">
        <v>6.7931955355948732</v>
      </c>
      <c r="J105" s="37" t="b">
        <v>0</v>
      </c>
      <c r="K105" s="44">
        <v>2679.635986328125</v>
      </c>
      <c r="L105" s="44">
        <v>12.877269744873047</v>
      </c>
      <c r="M105" s="44">
        <v>281.49090576171875</v>
      </c>
      <c r="N105" s="53">
        <v>9.5194407047609175</v>
      </c>
      <c r="O105" s="34" t="b">
        <v>0</v>
      </c>
      <c r="P105" s="44">
        <v>2202.10302734375</v>
      </c>
      <c r="Q105" s="44">
        <v>46.392539978027344</v>
      </c>
      <c r="R105" s="4">
        <v>5.6896417762046481</v>
      </c>
      <c r="S105" s="25">
        <f t="shared" si="8"/>
        <v>-2.7262451691660443</v>
      </c>
      <c r="T105" s="25">
        <f t="shared" si="9"/>
        <v>1.1035537593902252</v>
      </c>
      <c r="V105" s="36">
        <v>40999</v>
      </c>
      <c r="W105" t="s">
        <v>268</v>
      </c>
      <c r="X105" t="s">
        <v>37</v>
      </c>
      <c r="Z105" s="3">
        <v>805.169921875</v>
      </c>
      <c r="AA105" t="b">
        <v>1</v>
      </c>
      <c r="AB105" t="str">
        <f t="shared" si="5"/>
        <v>Not Incl.</v>
      </c>
    </row>
    <row r="106" spans="1:28" x14ac:dyDescent="0.2">
      <c r="A106" s="36">
        <v>41090</v>
      </c>
      <c r="B106" t="s">
        <v>99</v>
      </c>
      <c r="C106" t="s">
        <v>214</v>
      </c>
      <c r="D106" s="3" t="s">
        <v>144</v>
      </c>
      <c r="E106" s="37" t="b">
        <v>0</v>
      </c>
      <c r="F106" s="44">
        <v>2350.899658203125</v>
      </c>
      <c r="G106" s="44">
        <v>853.7255859375</v>
      </c>
      <c r="H106" s="44">
        <v>3522.4951171875</v>
      </c>
      <c r="I106" s="53">
        <v>0.66739614392430346</v>
      </c>
      <c r="J106" s="37" t="b">
        <v>0</v>
      </c>
      <c r="K106" s="44">
        <v>2504.681884765625</v>
      </c>
      <c r="L106" s="44">
        <v>995.23468017578125</v>
      </c>
      <c r="M106" s="44">
        <v>3386.866455078125</v>
      </c>
      <c r="N106" s="53">
        <v>0.73952779596910601</v>
      </c>
      <c r="O106" s="34" t="b">
        <v>1</v>
      </c>
      <c r="P106" s="44">
        <v>2520.7109375</v>
      </c>
      <c r="Q106" s="44">
        <v>741.4166259765625</v>
      </c>
      <c r="R106" s="4">
        <v>0.71096161584889717</v>
      </c>
      <c r="S106" s="25">
        <f t="shared" si="8"/>
        <v>-7.2131652044802541E-2</v>
      </c>
      <c r="T106" s="25">
        <f t="shared" si="9"/>
        <v>-4.3565471924593702E-2</v>
      </c>
      <c r="V106" s="36">
        <v>40999</v>
      </c>
      <c r="W106" t="s">
        <v>247</v>
      </c>
      <c r="X106" t="s">
        <v>156</v>
      </c>
      <c r="Y106" s="4">
        <v>21.437707901000977</v>
      </c>
      <c r="Z106" s="3">
        <v>743.89959716796875</v>
      </c>
      <c r="AA106" t="b">
        <v>1</v>
      </c>
      <c r="AB106" t="str">
        <f t="shared" si="5"/>
        <v>Incl.</v>
      </c>
    </row>
    <row r="107" spans="1:28" x14ac:dyDescent="0.2">
      <c r="A107" s="36">
        <v>41090</v>
      </c>
      <c r="B107" t="s">
        <v>257</v>
      </c>
      <c r="C107" t="s">
        <v>198</v>
      </c>
      <c r="D107" s="3" t="s">
        <v>143</v>
      </c>
      <c r="E107" s="37" t="b">
        <v>0</v>
      </c>
      <c r="F107" s="44">
        <v>446</v>
      </c>
      <c r="G107" s="44">
        <v>94</v>
      </c>
      <c r="H107" s="44">
        <v>305</v>
      </c>
      <c r="I107" s="53">
        <v>1.4622950819672131</v>
      </c>
      <c r="J107" s="37" t="b">
        <v>1</v>
      </c>
      <c r="K107" s="44">
        <v>457.04901123046875</v>
      </c>
      <c r="L107" s="44">
        <v>108.30400085449219</v>
      </c>
      <c r="M107" s="44">
        <v>261.32000732421875</v>
      </c>
      <c r="N107" s="53">
        <v>1.7490012185075816</v>
      </c>
      <c r="O107" s="34" t="b">
        <v>0</v>
      </c>
      <c r="P107" s="44">
        <v>450</v>
      </c>
      <c r="Q107" s="44">
        <v>37.479999542236328</v>
      </c>
      <c r="R107" s="4">
        <v>3.5516970074105689</v>
      </c>
      <c r="S107" s="25">
        <f t="shared" si="8"/>
        <v>-0.28670613654036847</v>
      </c>
      <c r="T107" s="25">
        <f t="shared" si="9"/>
        <v>-2.0894019254433558</v>
      </c>
      <c r="V107" s="36">
        <v>40999</v>
      </c>
      <c r="W107" t="s">
        <v>147</v>
      </c>
      <c r="X107" t="s">
        <v>141</v>
      </c>
      <c r="Y107" s="4">
        <v>0.21098397672176361</v>
      </c>
      <c r="Z107" s="3">
        <v>725.49859619140625</v>
      </c>
      <c r="AA107" t="b">
        <v>1</v>
      </c>
      <c r="AB107" t="str">
        <f t="shared" si="5"/>
        <v>Not Incl.</v>
      </c>
    </row>
    <row r="108" spans="1:28" x14ac:dyDescent="0.2">
      <c r="V108" s="36">
        <v>40999</v>
      </c>
      <c r="W108" t="s">
        <v>134</v>
      </c>
      <c r="X108" t="s">
        <v>37</v>
      </c>
      <c r="Y108" s="4">
        <v>1.2451431751251221</v>
      </c>
      <c r="Z108" s="3">
        <v>698.45697021484375</v>
      </c>
      <c r="AA108" t="b">
        <v>1</v>
      </c>
      <c r="AB108" t="str">
        <f t="shared" si="5"/>
        <v>Incl.</v>
      </c>
    </row>
    <row r="109" spans="1:28" x14ac:dyDescent="0.2">
      <c r="V109" s="36">
        <v>40999</v>
      </c>
      <c r="W109" t="s">
        <v>89</v>
      </c>
      <c r="X109" t="s">
        <v>156</v>
      </c>
      <c r="Y109" s="4">
        <v>5.1714253425598145</v>
      </c>
      <c r="Z109" s="3">
        <v>617.31640625</v>
      </c>
      <c r="AA109" t="b">
        <v>0</v>
      </c>
      <c r="AB109" t="str">
        <f t="shared" si="5"/>
        <v>Not Incl.</v>
      </c>
    </row>
    <row r="110" spans="1:28" x14ac:dyDescent="0.2">
      <c r="V110" s="36">
        <v>40999</v>
      </c>
      <c r="W110" t="s">
        <v>85</v>
      </c>
      <c r="X110" t="s">
        <v>144</v>
      </c>
      <c r="Y110" s="4">
        <v>2.5004217624664307</v>
      </c>
      <c r="Z110" s="3">
        <v>604.1898193359375</v>
      </c>
      <c r="AA110" t="b">
        <v>1</v>
      </c>
      <c r="AB110" t="str">
        <f t="shared" si="5"/>
        <v>Not Incl.</v>
      </c>
    </row>
    <row r="111" spans="1:28" x14ac:dyDescent="0.2">
      <c r="V111" s="36">
        <v>40999</v>
      </c>
      <c r="W111" t="s">
        <v>159</v>
      </c>
      <c r="X111" t="s">
        <v>37</v>
      </c>
      <c r="Y111" s="4">
        <v>-0.37368771433830261</v>
      </c>
      <c r="Z111" s="3">
        <v>586.2030029296875</v>
      </c>
      <c r="AA111" t="b">
        <v>1</v>
      </c>
      <c r="AB111" t="str">
        <f t="shared" si="5"/>
        <v>Incl.</v>
      </c>
    </row>
    <row r="112" spans="1:28" x14ac:dyDescent="0.2">
      <c r="V112" s="36">
        <v>40999</v>
      </c>
      <c r="W112" t="s">
        <v>303</v>
      </c>
      <c r="X112" t="s">
        <v>151</v>
      </c>
      <c r="Y112" s="4">
        <v>1.2288401126861572</v>
      </c>
      <c r="Z112" s="3">
        <v>536</v>
      </c>
      <c r="AA112" t="b">
        <v>0</v>
      </c>
      <c r="AB112" t="str">
        <f t="shared" si="5"/>
        <v>Not Incl.</v>
      </c>
    </row>
    <row r="113" spans="22:28" x14ac:dyDescent="0.2">
      <c r="V113" s="36">
        <v>40999</v>
      </c>
      <c r="W113" t="s">
        <v>98</v>
      </c>
      <c r="X113" t="s">
        <v>151</v>
      </c>
      <c r="Y113" s="4">
        <v>0.27655568718910217</v>
      </c>
      <c r="Z113" s="3">
        <v>524.3505859375</v>
      </c>
      <c r="AA113" t="b">
        <v>1</v>
      </c>
      <c r="AB113" t="str">
        <f t="shared" si="5"/>
        <v>Incl.</v>
      </c>
    </row>
    <row r="114" spans="22:28" x14ac:dyDescent="0.2">
      <c r="V114" s="36">
        <v>40999</v>
      </c>
      <c r="W114" t="s">
        <v>142</v>
      </c>
      <c r="X114" t="s">
        <v>157</v>
      </c>
      <c r="Y114" s="4">
        <v>-2.3032166957855225</v>
      </c>
      <c r="Z114" s="3">
        <v>503.6597900390625</v>
      </c>
      <c r="AA114" t="b">
        <v>0</v>
      </c>
      <c r="AB114" t="str">
        <f t="shared" si="5"/>
        <v>Not Incl.</v>
      </c>
    </row>
    <row r="115" spans="22:28" x14ac:dyDescent="0.2">
      <c r="V115" s="36">
        <v>40999</v>
      </c>
      <c r="W115" t="s">
        <v>106</v>
      </c>
      <c r="Y115" s="4">
        <v>1.911942720413208</v>
      </c>
      <c r="Z115" s="3">
        <v>500.14999389648437</v>
      </c>
      <c r="AA115" t="b">
        <v>0</v>
      </c>
      <c r="AB115" t="str">
        <f t="shared" si="5"/>
        <v>Incl.</v>
      </c>
    </row>
    <row r="116" spans="22:28" x14ac:dyDescent="0.2">
      <c r="V116" s="36">
        <v>40999</v>
      </c>
      <c r="W116" t="s">
        <v>90</v>
      </c>
      <c r="X116" t="s">
        <v>143</v>
      </c>
      <c r="Y116" s="4">
        <v>5.6443147659301758</v>
      </c>
      <c r="Z116" s="3">
        <v>474.14230346679687</v>
      </c>
      <c r="AA116" t="b">
        <v>1</v>
      </c>
      <c r="AB116" t="str">
        <f t="shared" si="5"/>
        <v>Incl.</v>
      </c>
    </row>
    <row r="117" spans="22:28" x14ac:dyDescent="0.2">
      <c r="V117" s="36">
        <v>40999</v>
      </c>
      <c r="W117" t="s">
        <v>257</v>
      </c>
      <c r="X117" t="s">
        <v>143</v>
      </c>
      <c r="Y117" s="4">
        <v>1.2088702917098999</v>
      </c>
      <c r="Z117" s="3">
        <v>457.04901123046875</v>
      </c>
      <c r="AA117" t="b">
        <v>1</v>
      </c>
      <c r="AB117" t="str">
        <f t="shared" si="5"/>
        <v>Incl.</v>
      </c>
    </row>
    <row r="118" spans="22:28" x14ac:dyDescent="0.2">
      <c r="V118" s="36">
        <v>40999</v>
      </c>
      <c r="W118" t="s">
        <v>104</v>
      </c>
      <c r="X118" t="s">
        <v>152</v>
      </c>
      <c r="Y118" s="4">
        <v>2.137566089630127</v>
      </c>
      <c r="Z118" s="3">
        <v>453</v>
      </c>
      <c r="AA118" t="b">
        <v>1</v>
      </c>
      <c r="AB118" t="str">
        <f t="shared" si="5"/>
        <v>Incl.</v>
      </c>
    </row>
    <row r="119" spans="22:28" x14ac:dyDescent="0.2">
      <c r="V119" s="36">
        <v>40999</v>
      </c>
      <c r="W119" t="s">
        <v>82</v>
      </c>
      <c r="X119" t="s">
        <v>143</v>
      </c>
      <c r="Y119" s="4">
        <v>1.9615904092788696</v>
      </c>
      <c r="Z119" s="3">
        <v>422.15838623046875</v>
      </c>
      <c r="AA119" t="b">
        <v>0</v>
      </c>
      <c r="AB119" t="str">
        <f t="shared" si="5"/>
        <v>Incl.</v>
      </c>
    </row>
    <row r="120" spans="22:28" x14ac:dyDescent="0.2">
      <c r="V120" s="36">
        <v>40999</v>
      </c>
      <c r="W120" t="s">
        <v>119</v>
      </c>
      <c r="X120" t="s">
        <v>141</v>
      </c>
      <c r="Y120" s="4">
        <v>3.0641014575958252</v>
      </c>
      <c r="Z120" s="3">
        <v>408.03961181640625</v>
      </c>
      <c r="AA120" t="b">
        <v>0</v>
      </c>
      <c r="AB120" t="str">
        <f t="shared" si="5"/>
        <v>Not Incl.</v>
      </c>
    </row>
    <row r="121" spans="22:28" x14ac:dyDescent="0.2">
      <c r="V121" s="36">
        <v>40999</v>
      </c>
      <c r="W121" t="s">
        <v>74</v>
      </c>
      <c r="X121" t="s">
        <v>141</v>
      </c>
      <c r="Y121" s="4">
        <v>1.399118185043335</v>
      </c>
      <c r="Z121" s="3">
        <v>404.27081298828125</v>
      </c>
      <c r="AA121" t="b">
        <v>0</v>
      </c>
      <c r="AB121" t="str">
        <f t="shared" si="5"/>
        <v>Incl.</v>
      </c>
    </row>
    <row r="122" spans="22:28" x14ac:dyDescent="0.2">
      <c r="V122" s="36">
        <v>40999</v>
      </c>
      <c r="W122" t="s">
        <v>269</v>
      </c>
      <c r="Y122" s="4">
        <v>0.66628962755203247</v>
      </c>
      <c r="Z122" s="3">
        <v>392.46200561523437</v>
      </c>
      <c r="AA122" t="b">
        <v>0</v>
      </c>
      <c r="AB122" t="str">
        <f t="shared" si="5"/>
        <v>Not Incl.</v>
      </c>
    </row>
    <row r="123" spans="22:28" x14ac:dyDescent="0.2">
      <c r="V123" s="36">
        <v>40999</v>
      </c>
      <c r="W123" t="s">
        <v>79</v>
      </c>
      <c r="X123" t="s">
        <v>144</v>
      </c>
      <c r="Y123" s="4">
        <v>1.3772177696228027</v>
      </c>
      <c r="Z123" s="3">
        <v>385.09140014648437</v>
      </c>
      <c r="AA123" t="b">
        <v>1</v>
      </c>
      <c r="AB123" t="str">
        <f t="shared" si="5"/>
        <v>Incl.</v>
      </c>
    </row>
    <row r="124" spans="22:28" x14ac:dyDescent="0.2">
      <c r="V124" s="36">
        <v>40999</v>
      </c>
      <c r="W124" t="s">
        <v>95</v>
      </c>
      <c r="X124" t="s">
        <v>141</v>
      </c>
      <c r="Y124" s="4">
        <v>4.4565682411193848</v>
      </c>
      <c r="Z124" s="3">
        <v>384.47259521484375</v>
      </c>
      <c r="AA124" t="b">
        <v>0</v>
      </c>
      <c r="AB124" t="str">
        <f t="shared" si="5"/>
        <v>Incl.</v>
      </c>
    </row>
    <row r="125" spans="22:28" x14ac:dyDescent="0.2">
      <c r="V125" s="36">
        <v>40999</v>
      </c>
      <c r="W125" t="s">
        <v>83</v>
      </c>
      <c r="X125" t="s">
        <v>143</v>
      </c>
      <c r="Y125" s="4">
        <v>3.0968854427337646</v>
      </c>
      <c r="Z125" s="3">
        <v>325</v>
      </c>
      <c r="AA125" t="b">
        <v>0</v>
      </c>
      <c r="AB125" t="str">
        <f t="shared" si="5"/>
        <v>Incl.</v>
      </c>
    </row>
    <row r="126" spans="22:28" x14ac:dyDescent="0.2">
      <c r="V126" s="36">
        <v>40999</v>
      </c>
      <c r="W126" t="s">
        <v>75</v>
      </c>
      <c r="X126" t="s">
        <v>144</v>
      </c>
      <c r="Y126" s="4">
        <v>2.3634529113769531</v>
      </c>
      <c r="Z126" s="3">
        <v>321.80599975585937</v>
      </c>
      <c r="AA126" t="b">
        <v>0</v>
      </c>
      <c r="AB126" t="str">
        <f t="shared" si="5"/>
        <v>Incl.</v>
      </c>
    </row>
    <row r="127" spans="22:28" x14ac:dyDescent="0.2">
      <c r="V127" s="36">
        <v>40999</v>
      </c>
      <c r="W127" t="s">
        <v>195</v>
      </c>
      <c r="X127" t="s">
        <v>144</v>
      </c>
      <c r="Y127" s="4">
        <v>8.1244230270385742</v>
      </c>
      <c r="Z127" s="3">
        <v>312.5740966796875</v>
      </c>
      <c r="AA127" t="b">
        <v>0</v>
      </c>
      <c r="AB127" t="str">
        <f t="shared" si="5"/>
        <v>Incl.</v>
      </c>
    </row>
    <row r="128" spans="22:28" x14ac:dyDescent="0.2">
      <c r="V128" s="36">
        <v>40999</v>
      </c>
      <c r="W128" t="s">
        <v>87</v>
      </c>
      <c r="Y128" s="4">
        <v>4.1696858406066895</v>
      </c>
      <c r="Z128" s="3">
        <v>270.64630126953125</v>
      </c>
      <c r="AA128" t="b">
        <v>0</v>
      </c>
      <c r="AB128" t="str">
        <f t="shared" si="5"/>
        <v>Incl.</v>
      </c>
    </row>
    <row r="129" spans="22:28" x14ac:dyDescent="0.2">
      <c r="V129" s="36">
        <v>40999</v>
      </c>
      <c r="W129" t="s">
        <v>270</v>
      </c>
      <c r="X129" t="s">
        <v>148</v>
      </c>
      <c r="Y129" s="4">
        <v>1.0674703121185303</v>
      </c>
      <c r="Z129" s="3">
        <v>253.05783081054687</v>
      </c>
      <c r="AA129" t="b">
        <v>1</v>
      </c>
      <c r="AB129" t="str">
        <f t="shared" si="5"/>
        <v>Not Incl.</v>
      </c>
    </row>
    <row r="130" spans="22:28" x14ac:dyDescent="0.2">
      <c r="V130" s="36">
        <v>40999</v>
      </c>
      <c r="W130" t="s">
        <v>146</v>
      </c>
      <c r="X130" t="s">
        <v>144</v>
      </c>
      <c r="Y130" s="4">
        <v>2.6660332679748535</v>
      </c>
      <c r="Z130" s="3">
        <v>244.29229736328125</v>
      </c>
      <c r="AA130" t="b">
        <v>1</v>
      </c>
      <c r="AB130" t="str">
        <f t="shared" si="5"/>
        <v>Incl.</v>
      </c>
    </row>
    <row r="131" spans="22:28" x14ac:dyDescent="0.2">
      <c r="V131" s="36">
        <v>40999</v>
      </c>
      <c r="W131" t="s">
        <v>81</v>
      </c>
      <c r="X131" t="s">
        <v>141</v>
      </c>
      <c r="Y131" s="4">
        <v>1.2951270341873169</v>
      </c>
      <c r="Z131" s="3">
        <v>235.552001953125</v>
      </c>
      <c r="AA131" t="b">
        <v>1</v>
      </c>
      <c r="AB131" t="str">
        <f t="shared" si="5"/>
        <v>Incl.</v>
      </c>
    </row>
    <row r="132" spans="22:28" x14ac:dyDescent="0.2">
      <c r="V132" s="36">
        <v>40999</v>
      </c>
      <c r="W132" t="s">
        <v>42</v>
      </c>
      <c r="X132" t="s">
        <v>143</v>
      </c>
      <c r="Y132" s="4">
        <v>5.4312467575073242</v>
      </c>
      <c r="Z132" s="3">
        <v>235.38240051269531</v>
      </c>
      <c r="AA132" t="b">
        <v>0</v>
      </c>
      <c r="AB132" t="str">
        <f t="shared" si="5"/>
        <v>Incl.</v>
      </c>
    </row>
    <row r="133" spans="22:28" x14ac:dyDescent="0.2">
      <c r="V133" s="36">
        <v>40999</v>
      </c>
      <c r="W133" t="s">
        <v>304</v>
      </c>
      <c r="X133" t="s">
        <v>141</v>
      </c>
      <c r="Y133" s="4">
        <v>1.2846715450286865</v>
      </c>
      <c r="Z133" s="3">
        <v>215</v>
      </c>
      <c r="AA133" t="b">
        <v>0</v>
      </c>
      <c r="AB133" t="str">
        <f t="shared" si="5"/>
        <v>Incl.</v>
      </c>
    </row>
    <row r="134" spans="22:28" x14ac:dyDescent="0.2">
      <c r="V134" s="36">
        <v>40999</v>
      </c>
      <c r="W134" t="s">
        <v>305</v>
      </c>
      <c r="X134" t="s">
        <v>144</v>
      </c>
      <c r="Y134" s="4">
        <v>2.3620688915252686</v>
      </c>
      <c r="Z134" s="3">
        <v>191</v>
      </c>
      <c r="AA134" t="b">
        <v>0</v>
      </c>
      <c r="AB134" t="str">
        <f t="shared" si="5"/>
        <v>Incl.</v>
      </c>
    </row>
    <row r="135" spans="22:28" x14ac:dyDescent="0.2">
      <c r="V135" s="36">
        <v>40999</v>
      </c>
      <c r="W135" t="s">
        <v>243</v>
      </c>
      <c r="X135" t="s">
        <v>151</v>
      </c>
      <c r="Y135" s="4">
        <v>-1.2903166003525257E-2</v>
      </c>
      <c r="Z135" s="3">
        <v>173.59089660644531</v>
      </c>
      <c r="AA135" t="b">
        <v>1</v>
      </c>
      <c r="AB135" t="str">
        <f t="shared" si="5"/>
        <v>Incl.</v>
      </c>
    </row>
    <row r="136" spans="22:28" x14ac:dyDescent="0.2">
      <c r="V136" s="36">
        <v>40999</v>
      </c>
      <c r="W136" t="s">
        <v>80</v>
      </c>
      <c r="X136" t="s">
        <v>271</v>
      </c>
      <c r="Y136" s="4">
        <v>9.1413078308105469</v>
      </c>
      <c r="Z136" s="3">
        <v>161.44340515136719</v>
      </c>
      <c r="AA136" t="b">
        <v>0</v>
      </c>
      <c r="AB136" t="str">
        <f>IF(ISERROR(VLOOKUP($W136,$B:$B,1,FALSE)),"Not Incl.","Incl.")</f>
        <v>Incl.</v>
      </c>
    </row>
    <row r="137" spans="22:28" x14ac:dyDescent="0.2">
      <c r="V137" s="36">
        <v>40999</v>
      </c>
      <c r="W137" t="s">
        <v>196</v>
      </c>
      <c r="X137" t="s">
        <v>54</v>
      </c>
      <c r="Y137" s="4">
        <v>2.090874195098877</v>
      </c>
      <c r="Z137" s="3">
        <v>161.17390441894531</v>
      </c>
      <c r="AA137" t="b">
        <v>1</v>
      </c>
      <c r="AB137" t="str">
        <f>IF(ISERROR(VLOOKUP($W137,$B:$B,1,FALSE)),"Not Incl.","Incl.")</f>
        <v>Incl.</v>
      </c>
    </row>
    <row r="138" spans="22:28" x14ac:dyDescent="0.2">
      <c r="V138" s="36">
        <v>40999</v>
      </c>
      <c r="W138" t="s">
        <v>197</v>
      </c>
      <c r="X138" t="s">
        <v>144</v>
      </c>
      <c r="Y138" s="4">
        <v>1.7375228404998779</v>
      </c>
      <c r="Z138" s="3">
        <v>128.39300537109375</v>
      </c>
      <c r="AA138" t="b">
        <v>0</v>
      </c>
      <c r="AB138" t="str">
        <f>IF(ISERROR(VLOOKUP($W138,$B:$B,1,FALSE)),"Not Incl.","Incl.")</f>
        <v>Incl.</v>
      </c>
    </row>
    <row r="139" spans="22:28" x14ac:dyDescent="0.2">
      <c r="V139" s="36">
        <v>40999</v>
      </c>
      <c r="W139" t="s">
        <v>72</v>
      </c>
      <c r="Y139" s="4">
        <v>1.1767793912440538E-3</v>
      </c>
      <c r="Z139" s="3">
        <v>92.069633483886719</v>
      </c>
      <c r="AA139" t="b">
        <v>0</v>
      </c>
      <c r="AB139" t="str">
        <f>IF(ISERROR(VLOOKUP($W139,$B:$B,1,FALSE)),"Not Incl.","Incl.")</f>
        <v>Incl.</v>
      </c>
    </row>
    <row r="140" spans="22:28" x14ac:dyDescent="0.2">
      <c r="V140" s="36">
        <v>40999</v>
      </c>
      <c r="W140" t="s">
        <v>92</v>
      </c>
      <c r="X140" t="s">
        <v>141</v>
      </c>
      <c r="AA140" t="b">
        <v>0</v>
      </c>
      <c r="AB140" t="str">
        <f>IF(ISERROR(VLOOKUP($W140,$B:$B,1,FALSE)),"Not Incl.","Incl.")</f>
        <v>Not Incl.</v>
      </c>
    </row>
  </sheetData>
  <sheetCalcPr fullCalcOnLoad="1"/>
  <autoFilter ref="A5:T107"/>
  <phoneticPr fontId="5" type="noConversion"/>
  <dataValidations count="1">
    <dataValidation type="list" allowBlank="1" showInputMessage="1" showErrorMessage="1" sqref="B3">
      <formula1>"YoY,QoQ"</formula1>
    </dataValidation>
  </dataValidations>
  <pageMargins left="0.75" right="0.75" top="1" bottom="1" header="0.5" footer="0.5"/>
  <headerFooter alignWithMargins="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2:E18"/>
  <sheetViews>
    <sheetView zoomScale="85" workbookViewId="0">
      <selection activeCell="H31" sqref="H31"/>
    </sheetView>
  </sheetViews>
  <sheetFormatPr defaultRowHeight="12.75" x14ac:dyDescent="0.2"/>
  <cols>
    <col min="1" max="1" width="22.140625" bestFit="1" customWidth="1"/>
    <col min="2" max="2" width="16.42578125" bestFit="1" customWidth="1"/>
    <col min="3" max="3" width="16.42578125" customWidth="1"/>
    <col min="5" max="5" width="45.7109375" bestFit="1" customWidth="1"/>
  </cols>
  <sheetData>
    <row r="2" spans="1:5" x14ac:dyDescent="0.2">
      <c r="A2" s="12" t="s">
        <v>28</v>
      </c>
      <c r="B2" s="67" t="str">
        <f>VLOOKUP(SelectEM,$A$4:$B$9,2,FALSE)</f>
        <v>US HY Corporates</v>
      </c>
      <c r="C2" s="67" t="str">
        <f>VLOOKUP(SelectEM,$A$4:$C$9,3,FALSE)</f>
        <v>LatAm HY</v>
      </c>
      <c r="E2" s="12" t="s">
        <v>281</v>
      </c>
    </row>
    <row r="3" spans="1:5" ht="7.5" customHeight="1" x14ac:dyDescent="0.2"/>
    <row r="4" spans="1:5" x14ac:dyDescent="0.2">
      <c r="A4" s="21" t="s">
        <v>8</v>
      </c>
      <c r="B4" s="21" t="s">
        <v>25</v>
      </c>
      <c r="C4" s="21" t="s">
        <v>182</v>
      </c>
      <c r="E4" s="42" t="s">
        <v>181</v>
      </c>
    </row>
    <row r="5" spans="1:5" x14ac:dyDescent="0.2">
      <c r="A5" s="21" t="s">
        <v>9</v>
      </c>
      <c r="B5" s="21" t="s">
        <v>26</v>
      </c>
      <c r="C5" s="21" t="s">
        <v>183</v>
      </c>
    </row>
    <row r="6" spans="1:5" x14ac:dyDescent="0.2">
      <c r="A6" s="21" t="s">
        <v>10</v>
      </c>
      <c r="B6" s="21" t="s">
        <v>27</v>
      </c>
      <c r="C6" s="21" t="s">
        <v>184</v>
      </c>
    </row>
    <row r="7" spans="1:5" x14ac:dyDescent="0.2">
      <c r="A7" s="21" t="s">
        <v>55</v>
      </c>
      <c r="B7" s="21" t="s">
        <v>25</v>
      </c>
      <c r="C7" s="21" t="s">
        <v>59</v>
      </c>
    </row>
    <row r="8" spans="1:5" x14ac:dyDescent="0.2">
      <c r="A8" s="21" t="s">
        <v>166</v>
      </c>
      <c r="B8" s="21" t="s">
        <v>26</v>
      </c>
      <c r="C8" s="21" t="s">
        <v>287</v>
      </c>
    </row>
    <row r="9" spans="1:5" x14ac:dyDescent="0.2">
      <c r="A9" s="21" t="s">
        <v>167</v>
      </c>
      <c r="B9" s="21" t="s">
        <v>27</v>
      </c>
      <c r="C9" s="21" t="s">
        <v>288</v>
      </c>
    </row>
    <row r="11" spans="1:5" x14ac:dyDescent="0.2">
      <c r="A11" s="7" t="s">
        <v>289</v>
      </c>
    </row>
    <row r="13" spans="1:5" x14ac:dyDescent="0.2">
      <c r="A13" s="68" t="s">
        <v>56</v>
      </c>
      <c r="B13" s="68" t="s">
        <v>25</v>
      </c>
      <c r="C13" s="68" t="s">
        <v>44</v>
      </c>
    </row>
    <row r="14" spans="1:5" x14ac:dyDescent="0.2">
      <c r="A14" s="68" t="s">
        <v>168</v>
      </c>
      <c r="B14" s="68" t="s">
        <v>26</v>
      </c>
      <c r="C14" s="68" t="s">
        <v>282</v>
      </c>
    </row>
    <row r="15" spans="1:5" x14ac:dyDescent="0.2">
      <c r="A15" s="68" t="s">
        <v>169</v>
      </c>
      <c r="B15" s="68" t="s">
        <v>27</v>
      </c>
      <c r="C15" s="68" t="s">
        <v>283</v>
      </c>
    </row>
    <row r="16" spans="1:5" x14ac:dyDescent="0.2">
      <c r="A16" s="68" t="s">
        <v>170</v>
      </c>
      <c r="B16" s="68" t="s">
        <v>25</v>
      </c>
      <c r="C16" s="68" t="s">
        <v>284</v>
      </c>
    </row>
    <row r="17" spans="1:3" x14ac:dyDescent="0.2">
      <c r="A17" s="68" t="s">
        <v>171</v>
      </c>
      <c r="B17" s="68" t="s">
        <v>26</v>
      </c>
      <c r="C17" s="68" t="s">
        <v>285</v>
      </c>
    </row>
    <row r="18" spans="1:3" x14ac:dyDescent="0.2">
      <c r="A18" s="68" t="s">
        <v>172</v>
      </c>
      <c r="B18" s="68" t="s">
        <v>27</v>
      </c>
      <c r="C18" s="68" t="s">
        <v>286</v>
      </c>
    </row>
  </sheetData>
  <phoneticPr fontId="5"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AQ337"/>
  <sheetViews>
    <sheetView zoomScale="85" workbookViewId="0">
      <pane ySplit="2" topLeftCell="A87" activePane="bottomLeft" state="frozen"/>
      <selection activeCell="F16" sqref="F16"/>
      <selection pane="bottomLeft" activeCell="F16" sqref="F16"/>
    </sheetView>
  </sheetViews>
  <sheetFormatPr defaultRowHeight="12.75" x14ac:dyDescent="0.2"/>
  <cols>
    <col min="2" max="2" width="10.28515625" style="1" bestFit="1" customWidth="1"/>
    <col min="3" max="5" width="6.85546875" style="34" customWidth="1"/>
    <col min="6" max="11" width="9.140625" style="34"/>
    <col min="12" max="17" width="8.42578125" style="34" customWidth="1"/>
    <col min="18" max="18" width="9.140625" style="35"/>
    <col min="19" max="19" width="1.7109375" style="77" customWidth="1"/>
    <col min="20" max="20" width="13.28515625" style="35" bestFit="1" customWidth="1"/>
    <col min="21" max="21" width="9.7109375" bestFit="1" customWidth="1"/>
    <col min="22" max="22" width="1.7109375" customWidth="1"/>
    <col min="23" max="23" width="9.140625" style="35"/>
    <col min="24" max="24" width="9.140625" style="3"/>
    <col min="31" max="31" width="10.28515625" bestFit="1" customWidth="1"/>
  </cols>
  <sheetData>
    <row r="1" spans="1:43" x14ac:dyDescent="0.2">
      <c r="A1" s="9"/>
      <c r="B1" s="8" t="s">
        <v>0</v>
      </c>
      <c r="C1" s="8" t="s">
        <v>1</v>
      </c>
      <c r="D1" s="66"/>
      <c r="E1" s="66"/>
      <c r="F1" s="66" t="s">
        <v>2</v>
      </c>
      <c r="G1" s="66" t="s">
        <v>4</v>
      </c>
      <c r="H1" s="66"/>
      <c r="I1" s="66" t="s">
        <v>20</v>
      </c>
      <c r="J1" s="66" t="s">
        <v>3</v>
      </c>
      <c r="K1" s="66" t="s">
        <v>24</v>
      </c>
      <c r="L1" s="66" t="s">
        <v>5</v>
      </c>
      <c r="M1" s="66"/>
      <c r="N1" s="66" t="s">
        <v>6</v>
      </c>
      <c r="O1" s="66" t="s">
        <v>22</v>
      </c>
      <c r="P1" s="66" t="s">
        <v>21</v>
      </c>
      <c r="Q1" s="66" t="s">
        <v>23</v>
      </c>
      <c r="R1" s="66" t="s">
        <v>7</v>
      </c>
      <c r="S1" s="80"/>
      <c r="T1" s="82" t="s">
        <v>323</v>
      </c>
    </row>
    <row r="2" spans="1:43" x14ac:dyDescent="0.2">
      <c r="A2" s="42"/>
      <c r="T2" s="82" t="s">
        <v>326</v>
      </c>
      <c r="W2" s="85" t="s">
        <v>328</v>
      </c>
    </row>
    <row r="3" spans="1:43" x14ac:dyDescent="0.2">
      <c r="A3" s="12" t="s">
        <v>182</v>
      </c>
      <c r="B3" s="40" t="s">
        <v>0</v>
      </c>
      <c r="C3" s="41" t="s">
        <v>174</v>
      </c>
      <c r="D3" s="41" t="s">
        <v>173</v>
      </c>
      <c r="E3" s="41" t="s">
        <v>175</v>
      </c>
      <c r="F3" s="41" t="s">
        <v>2</v>
      </c>
      <c r="G3" s="41" t="s">
        <v>31</v>
      </c>
      <c r="H3" s="41" t="s">
        <v>41</v>
      </c>
      <c r="I3" s="41" t="s">
        <v>20</v>
      </c>
      <c r="J3" s="41" t="s">
        <v>3</v>
      </c>
      <c r="K3" s="41" t="s">
        <v>24</v>
      </c>
      <c r="L3" s="41" t="s">
        <v>5</v>
      </c>
      <c r="M3" s="41" t="s">
        <v>43</v>
      </c>
      <c r="N3" s="41" t="s">
        <v>6</v>
      </c>
      <c r="O3" s="41" t="s">
        <v>176</v>
      </c>
      <c r="P3" s="41" t="s">
        <v>21</v>
      </c>
      <c r="Q3" s="41" t="s">
        <v>177</v>
      </c>
      <c r="R3" s="83" t="s">
        <v>7</v>
      </c>
      <c r="T3" s="43" t="s">
        <v>324</v>
      </c>
      <c r="U3" s="43" t="s">
        <v>325</v>
      </c>
      <c r="V3" s="3"/>
      <c r="W3" s="35" t="str">
        <f>A3&amp;" spread per turn of leverage"</f>
        <v>EM spread per turn of leverage</v>
      </c>
      <c r="X3" s="3" t="s">
        <v>25</v>
      </c>
      <c r="Y3" t="str">
        <f>A3&amp;" vs. US spread per turn of leverage ratio"</f>
        <v>EM vs. US spread per turn of leverage ratio</v>
      </c>
      <c r="AE3" s="40" t="s">
        <v>0</v>
      </c>
      <c r="AF3" t="s">
        <v>329</v>
      </c>
      <c r="AG3" t="s">
        <v>339</v>
      </c>
      <c r="AH3" t="s">
        <v>340</v>
      </c>
      <c r="AI3" t="s">
        <v>330</v>
      </c>
      <c r="AJ3" t="s">
        <v>331</v>
      </c>
      <c r="AK3" t="s">
        <v>332</v>
      </c>
      <c r="AL3" t="s">
        <v>333</v>
      </c>
      <c r="AM3" t="s">
        <v>334</v>
      </c>
      <c r="AN3" t="s">
        <v>335</v>
      </c>
      <c r="AO3" t="s">
        <v>336</v>
      </c>
      <c r="AP3" t="s">
        <v>337</v>
      </c>
      <c r="AQ3" t="s">
        <v>338</v>
      </c>
    </row>
    <row r="4" spans="1:43" x14ac:dyDescent="0.2">
      <c r="A4" s="42" t="str">
        <f>$A$3&amp;$B4</f>
        <v>EM38807</v>
      </c>
      <c r="B4" s="1">
        <v>38807</v>
      </c>
      <c r="C4" s="34">
        <v>107</v>
      </c>
      <c r="D4" s="34">
        <v>107</v>
      </c>
      <c r="E4" s="37">
        <v>97</v>
      </c>
      <c r="F4" s="37">
        <v>259650.67800819874</v>
      </c>
      <c r="G4" s="37">
        <v>56420.057952046627</v>
      </c>
      <c r="H4" s="37">
        <v>203230.62005615211</v>
      </c>
      <c r="I4" s="37">
        <v>43698.299017879181</v>
      </c>
      <c r="J4" s="37">
        <v>213754.85211399198</v>
      </c>
      <c r="K4" s="37">
        <v>17929.524567649234</v>
      </c>
      <c r="L4" s="38">
        <v>0.95076494426321856</v>
      </c>
      <c r="M4" s="38">
        <v>1.2147124401636098</v>
      </c>
      <c r="N4" s="38">
        <v>11.492118041919214</v>
      </c>
      <c r="O4" s="39">
        <v>129.11270969371677</v>
      </c>
      <c r="P4" s="39">
        <v>21.729216493809851</v>
      </c>
      <c r="Q4" s="39">
        <v>16.829649494117387</v>
      </c>
      <c r="R4" s="44">
        <v>157.37964924791149</v>
      </c>
      <c r="S4" s="81"/>
      <c r="T4" s="44">
        <v>153</v>
      </c>
      <c r="U4" s="44">
        <f>R4-T4</f>
        <v>4.3796492479114875</v>
      </c>
      <c r="W4" s="44">
        <f>R4/L4</f>
        <v>165.52950358289721</v>
      </c>
      <c r="X4" s="3">
        <v>74.649498492262481</v>
      </c>
      <c r="Y4" s="10">
        <f>W4/X4</f>
        <v>2.2174228484609921</v>
      </c>
      <c r="AE4" s="1">
        <v>38807</v>
      </c>
      <c r="AF4" s="86">
        <v>2.2174228484609921</v>
      </c>
      <c r="AG4" s="86">
        <v>2.928407953499824</v>
      </c>
      <c r="AH4" s="86">
        <v>1.7701704289962086</v>
      </c>
      <c r="AI4" s="86">
        <v>2.1260150313263342</v>
      </c>
      <c r="AJ4" s="86">
        <v>3.1066188373354793</v>
      </c>
      <c r="AK4" s="86">
        <v>1.4378481211927063</v>
      </c>
      <c r="AL4" s="86">
        <v>3.1420714899220945</v>
      </c>
      <c r="AM4" s="86">
        <v>3.7761207563882553</v>
      </c>
      <c r="AN4" s="86">
        <v>2.7416628075171503</v>
      </c>
      <c r="AO4" s="86">
        <v>1.4135924957624575</v>
      </c>
      <c r="AP4" s="86">
        <v>1.5927296264053483</v>
      </c>
      <c r="AQ4" s="86">
        <v>1.4074084225769405</v>
      </c>
    </row>
    <row r="5" spans="1:43" x14ac:dyDescent="0.2">
      <c r="A5" s="42" t="str">
        <f t="shared" ref="A5:A29" si="0">$A$3&amp;$B5</f>
        <v>EM38898</v>
      </c>
      <c r="B5" s="1">
        <v>38898</v>
      </c>
      <c r="C5" s="34">
        <v>107</v>
      </c>
      <c r="D5" s="34">
        <v>107</v>
      </c>
      <c r="E5" s="37">
        <v>97</v>
      </c>
      <c r="F5" s="37">
        <v>267521.80854713917</v>
      </c>
      <c r="G5" s="37">
        <v>55227.514018454356</v>
      </c>
      <c r="H5" s="37">
        <v>212294.29452868481</v>
      </c>
      <c r="I5" s="37">
        <v>47938.408528718166</v>
      </c>
      <c r="J5" s="37">
        <v>227859.50612094998</v>
      </c>
      <c r="K5" s="37">
        <v>17911.066216990817</v>
      </c>
      <c r="L5" s="38">
        <v>0.93168943505037261</v>
      </c>
      <c r="M5" s="38">
        <v>1.174064725678533</v>
      </c>
      <c r="N5" s="38">
        <v>12.264362199116142</v>
      </c>
      <c r="O5" s="39">
        <v>115.20514700726778</v>
      </c>
      <c r="P5" s="39">
        <v>20.644116574414863</v>
      </c>
      <c r="Q5" s="39">
        <v>17.919439461426599</v>
      </c>
      <c r="R5" s="44">
        <v>192.46714141227935</v>
      </c>
      <c r="S5" s="81"/>
      <c r="T5" s="44">
        <v>181</v>
      </c>
      <c r="U5" s="44">
        <f t="shared" ref="U5:U29" si="1">R5-T5</f>
        <v>11.467141412279346</v>
      </c>
      <c r="W5" s="44">
        <f t="shared" ref="W5:W29" si="2">R5/L5</f>
        <v>206.57864538506163</v>
      </c>
      <c r="X5" s="3">
        <v>79.101138779969233</v>
      </c>
      <c r="Y5" s="10">
        <f t="shared" ref="Y5:Y29" si="3">W5/X5</f>
        <v>2.611576123571226</v>
      </c>
      <c r="AE5" s="1">
        <v>38898</v>
      </c>
      <c r="AF5" s="86">
        <v>2.611576123571226</v>
      </c>
      <c r="AG5" s="86">
        <v>3.3605753730472427</v>
      </c>
      <c r="AH5" s="86">
        <v>2.1313471873295802</v>
      </c>
      <c r="AI5" s="86">
        <v>2.4526774445930193</v>
      </c>
      <c r="AJ5" s="86">
        <v>3.5066747765192581</v>
      </c>
      <c r="AK5" s="86">
        <v>1.6649708663656688</v>
      </c>
      <c r="AL5" s="86">
        <v>3.9811410674846397</v>
      </c>
      <c r="AM5" s="86">
        <v>4.7393363875485237</v>
      </c>
      <c r="AN5" s="86">
        <v>3.4462558370331879</v>
      </c>
      <c r="AO5" s="86">
        <v>1.5306152238222741</v>
      </c>
      <c r="AP5" s="86">
        <v>1.591560869914602</v>
      </c>
      <c r="AQ5" s="86">
        <v>1.7196910198691882</v>
      </c>
    </row>
    <row r="6" spans="1:43" x14ac:dyDescent="0.2">
      <c r="A6" s="42" t="str">
        <f t="shared" si="0"/>
        <v>EM38990</v>
      </c>
      <c r="B6" s="1">
        <v>38990</v>
      </c>
      <c r="C6" s="34">
        <v>108</v>
      </c>
      <c r="D6" s="34">
        <v>108</v>
      </c>
      <c r="E6" s="37">
        <v>94</v>
      </c>
      <c r="F6" s="37">
        <v>297327.67835533619</v>
      </c>
      <c r="G6" s="37">
        <v>59419.230545550003</v>
      </c>
      <c r="H6" s="37">
        <v>237908.44780978619</v>
      </c>
      <c r="I6" s="37">
        <v>59010.656414004974</v>
      </c>
      <c r="J6" s="37">
        <v>262680.62299838662</v>
      </c>
      <c r="K6" s="37">
        <v>18156.696855590213</v>
      </c>
      <c r="L6" s="38">
        <v>0.9056946991147018</v>
      </c>
      <c r="M6" s="38">
        <v>1.1318980249150785</v>
      </c>
      <c r="N6" s="38">
        <v>12.629629751286599</v>
      </c>
      <c r="O6" s="39">
        <v>100.69237347349362</v>
      </c>
      <c r="P6" s="39">
        <v>19.984426231095142</v>
      </c>
      <c r="Q6" s="39">
        <v>19.847010793082426</v>
      </c>
      <c r="R6" s="44">
        <v>174.09968035467276</v>
      </c>
      <c r="S6" s="81"/>
      <c r="T6" s="44">
        <v>175</v>
      </c>
      <c r="U6" s="44">
        <f t="shared" si="1"/>
        <v>-0.90031964532724373</v>
      </c>
      <c r="W6" s="44">
        <f t="shared" si="2"/>
        <v>192.22777888051201</v>
      </c>
      <c r="X6" s="3">
        <v>82.426664650883126</v>
      </c>
      <c r="Y6" s="10">
        <f t="shared" si="3"/>
        <v>2.3321067241370232</v>
      </c>
      <c r="AE6" s="1">
        <v>38990</v>
      </c>
      <c r="AF6" s="86">
        <v>2.3321067241370232</v>
      </c>
      <c r="AG6" s="86">
        <v>3.0035697087326785</v>
      </c>
      <c r="AH6" s="86">
        <v>1.6801516044690421</v>
      </c>
      <c r="AI6" s="86">
        <v>2.3121622798338963</v>
      </c>
      <c r="AJ6" s="86">
        <v>3.2578349205627957</v>
      </c>
      <c r="AK6" s="86">
        <v>1.3949995734413412</v>
      </c>
      <c r="AL6" s="86">
        <v>3.1277295261542921</v>
      </c>
      <c r="AM6" s="86">
        <v>3.8214964332946111</v>
      </c>
      <c r="AN6" s="86">
        <v>2.3981465980741561</v>
      </c>
      <c r="AO6" s="86">
        <v>1.4122651289225514</v>
      </c>
      <c r="AP6" s="86">
        <v>1.3582185724866183</v>
      </c>
      <c r="AQ6" s="86">
        <v>1.5987341232415742</v>
      </c>
    </row>
    <row r="7" spans="1:43" x14ac:dyDescent="0.2">
      <c r="A7" s="42" t="str">
        <f t="shared" si="0"/>
        <v>EM39082</v>
      </c>
      <c r="B7" s="1">
        <v>39082</v>
      </c>
      <c r="C7" s="34">
        <v>110</v>
      </c>
      <c r="D7" s="34">
        <v>110</v>
      </c>
      <c r="E7" s="37">
        <v>94</v>
      </c>
      <c r="F7" s="37">
        <v>314297.19013130665</v>
      </c>
      <c r="G7" s="37">
        <v>75493.178529389086</v>
      </c>
      <c r="H7" s="37">
        <v>238804.01160191756</v>
      </c>
      <c r="I7" s="37">
        <v>62862.439829188399</v>
      </c>
      <c r="J7" s="37">
        <v>273712.7054721415</v>
      </c>
      <c r="K7" s="37">
        <v>16853.698507115711</v>
      </c>
      <c r="L7" s="38">
        <v>0.87246228190244912</v>
      </c>
      <c r="M7" s="38">
        <v>1.1482740254573087</v>
      </c>
      <c r="N7" s="38">
        <v>14.190321491688216</v>
      </c>
      <c r="O7" s="39">
        <v>120.09266381406971</v>
      </c>
      <c r="P7" s="39">
        <v>24.019679748918421</v>
      </c>
      <c r="Q7" s="39">
        <v>20.000955084239163</v>
      </c>
      <c r="R7" s="44">
        <v>137.76416639286265</v>
      </c>
      <c r="S7" s="81"/>
      <c r="T7" s="44">
        <v>155</v>
      </c>
      <c r="U7" s="44">
        <f t="shared" si="1"/>
        <v>-17.235833607137351</v>
      </c>
      <c r="W7" s="44">
        <f t="shared" si="2"/>
        <v>157.90271883440136</v>
      </c>
      <c r="X7" s="3">
        <v>72.305867651615713</v>
      </c>
      <c r="Y7" s="10">
        <f t="shared" si="3"/>
        <v>2.183816112894303</v>
      </c>
      <c r="AE7" s="1">
        <v>39082</v>
      </c>
      <c r="AF7" s="86">
        <v>2.183816112894303</v>
      </c>
      <c r="AG7" s="86">
        <v>2.6732159799580697</v>
      </c>
      <c r="AH7" s="86">
        <v>1.6540077878637351</v>
      </c>
      <c r="AI7" s="86">
        <v>2.0914713811386356</v>
      </c>
      <c r="AJ7" s="86">
        <v>2.8448567397799298</v>
      </c>
      <c r="AK7" s="86">
        <v>1.3042777940272283</v>
      </c>
      <c r="AL7" s="86">
        <v>2.8881675419514061</v>
      </c>
      <c r="AM7" s="86">
        <v>3.317300832918729</v>
      </c>
      <c r="AN7" s="86">
        <v>2.4083132276128927</v>
      </c>
      <c r="AO7" s="86">
        <v>1.4905347356408714</v>
      </c>
      <c r="AP7" s="86">
        <v>1.2987269728411279</v>
      </c>
      <c r="AQ7" s="86">
        <v>1.7606259923305192</v>
      </c>
    </row>
    <row r="8" spans="1:43" x14ac:dyDescent="0.2">
      <c r="A8" s="42" t="str">
        <f t="shared" si="0"/>
        <v>EM39172</v>
      </c>
      <c r="B8" s="1">
        <v>39172</v>
      </c>
      <c r="C8" s="34">
        <v>119</v>
      </c>
      <c r="D8" s="34">
        <v>118</v>
      </c>
      <c r="E8" s="37">
        <v>106</v>
      </c>
      <c r="F8" s="37">
        <v>369080.17238566279</v>
      </c>
      <c r="G8" s="37">
        <v>103896.12428790331</v>
      </c>
      <c r="H8" s="37">
        <v>265184.04809775949</v>
      </c>
      <c r="I8" s="37">
        <v>87534.910457930528</v>
      </c>
      <c r="J8" s="37">
        <v>293954.98063409328</v>
      </c>
      <c r="K8" s="37">
        <v>19821.359549538465</v>
      </c>
      <c r="L8" s="38">
        <v>0.90212469788988869</v>
      </c>
      <c r="M8" s="38">
        <v>1.2555669973324357</v>
      </c>
      <c r="N8" s="38">
        <v>12.949447327622089</v>
      </c>
      <c r="O8" s="39">
        <v>118.48418601144699</v>
      </c>
      <c r="P8" s="39">
        <v>28.035320704244594</v>
      </c>
      <c r="Q8" s="39">
        <v>23.661656165267527</v>
      </c>
      <c r="R8" s="44">
        <v>145.80135579440727</v>
      </c>
      <c r="S8" s="81"/>
      <c r="T8" s="44">
        <v>163</v>
      </c>
      <c r="U8" s="44">
        <f t="shared" si="1"/>
        <v>-17.198644205592728</v>
      </c>
      <c r="W8" s="44">
        <f t="shared" si="2"/>
        <v>161.61995801183957</v>
      </c>
      <c r="X8" s="3">
        <v>70.667489236998037</v>
      </c>
      <c r="Y8" s="10">
        <f t="shared" si="3"/>
        <v>2.2870482559499692</v>
      </c>
      <c r="AE8" s="1">
        <v>39172</v>
      </c>
      <c r="AF8" s="86">
        <v>2.2870482559499692</v>
      </c>
      <c r="AG8" s="86">
        <v>2.6743128146084656</v>
      </c>
      <c r="AH8" s="86">
        <v>1.8647240212915861</v>
      </c>
      <c r="AI8" s="86">
        <v>2.0515321640407351</v>
      </c>
      <c r="AJ8" s="86">
        <v>2.616776416493571</v>
      </c>
      <c r="AK8" s="86">
        <v>1.3399738448051308</v>
      </c>
      <c r="AL8" s="86">
        <v>3.2363146283418276</v>
      </c>
      <c r="AM8" s="86">
        <v>3.8200474905954684</v>
      </c>
      <c r="AN8" s="86">
        <v>2.9927928800683627</v>
      </c>
      <c r="AO8" s="86">
        <v>1.6684592498341611</v>
      </c>
      <c r="AP8" s="86">
        <v>1.2457292433255891</v>
      </c>
      <c r="AQ8" s="86">
        <v>1.7777060076442082</v>
      </c>
    </row>
    <row r="9" spans="1:43" x14ac:dyDescent="0.2">
      <c r="A9" s="42" t="str">
        <f t="shared" si="0"/>
        <v>EM39263</v>
      </c>
      <c r="B9" s="1">
        <v>39263</v>
      </c>
      <c r="C9" s="34">
        <v>120</v>
      </c>
      <c r="D9" s="34">
        <v>120</v>
      </c>
      <c r="E9" s="37">
        <v>106</v>
      </c>
      <c r="F9" s="37">
        <v>381181.53151253238</v>
      </c>
      <c r="G9" s="37">
        <v>108798.92526888847</v>
      </c>
      <c r="H9" s="37">
        <v>272382.60624364391</v>
      </c>
      <c r="I9" s="37">
        <v>88850.628818466328</v>
      </c>
      <c r="J9" s="37">
        <v>296927.1328034699</v>
      </c>
      <c r="K9" s="37">
        <v>21843.9563973248</v>
      </c>
      <c r="L9" s="38">
        <v>0.91733821585085151</v>
      </c>
      <c r="M9" s="38">
        <v>1.2837544616201471</v>
      </c>
      <c r="N9" s="38">
        <v>11.872534117156627</v>
      </c>
      <c r="O9" s="39">
        <v>123.07599664793767</v>
      </c>
      <c r="P9" s="39">
        <v>28.595377110327856</v>
      </c>
      <c r="Q9" s="39">
        <v>23.233918789319851</v>
      </c>
      <c r="R9" s="44">
        <v>146.14023550868868</v>
      </c>
      <c r="S9" s="81"/>
      <c r="T9" s="44">
        <v>171</v>
      </c>
      <c r="U9" s="44">
        <f t="shared" si="1"/>
        <v>-24.859764491311324</v>
      </c>
      <c r="W9" s="44">
        <f t="shared" si="2"/>
        <v>159.30900183106442</v>
      </c>
      <c r="X9" s="3">
        <v>73.413395096249914</v>
      </c>
      <c r="Y9" s="10">
        <f t="shared" si="3"/>
        <v>2.1700263503983104</v>
      </c>
      <c r="AE9" s="1">
        <v>39263</v>
      </c>
      <c r="AF9" s="86">
        <v>2.1700263503983104</v>
      </c>
      <c r="AG9" s="86">
        <v>2.4234055387483493</v>
      </c>
      <c r="AH9" s="86">
        <v>1.7536849354197059</v>
      </c>
      <c r="AI9" s="86">
        <v>1.9626068704894739</v>
      </c>
      <c r="AJ9" s="86">
        <v>2.4668770903549251</v>
      </c>
      <c r="AK9" s="86">
        <v>1.2234229194631969</v>
      </c>
      <c r="AL9" s="86">
        <v>2.7664155637121599</v>
      </c>
      <c r="AM9" s="86">
        <v>3.1230512822701386</v>
      </c>
      <c r="AN9" s="86">
        <v>2.8374383103602034</v>
      </c>
      <c r="AO9" s="86">
        <v>1.7156826170213124</v>
      </c>
      <c r="AP9" s="86">
        <v>1.2291409817799672</v>
      </c>
      <c r="AQ9" s="86">
        <v>1.6802165425683873</v>
      </c>
    </row>
    <row r="10" spans="1:43" x14ac:dyDescent="0.2">
      <c r="A10" s="42" t="str">
        <f t="shared" si="0"/>
        <v>EM39355</v>
      </c>
      <c r="B10" s="1">
        <v>39355</v>
      </c>
      <c r="C10" s="34">
        <v>119</v>
      </c>
      <c r="D10" s="34">
        <v>119</v>
      </c>
      <c r="E10" s="37">
        <v>105</v>
      </c>
      <c r="F10" s="37">
        <v>392631.553565979</v>
      </c>
      <c r="G10" s="37">
        <v>102552.3535670042</v>
      </c>
      <c r="H10" s="37">
        <v>290079.1999989748</v>
      </c>
      <c r="I10" s="37">
        <v>86570.407317786478</v>
      </c>
      <c r="J10" s="37">
        <v>300067.58787885308</v>
      </c>
      <c r="K10" s="37">
        <v>22010.873063236475</v>
      </c>
      <c r="L10" s="38">
        <v>0.96671287308807607</v>
      </c>
      <c r="M10" s="38">
        <v>1.3084770545911042</v>
      </c>
      <c r="N10" s="38">
        <v>11.884578066399209</v>
      </c>
      <c r="O10" s="39">
        <v>119.83311210480407</v>
      </c>
      <c r="P10" s="39">
        <v>26.287812138006757</v>
      </c>
      <c r="Q10" s="39">
        <v>21.93701863890163</v>
      </c>
      <c r="R10" s="44">
        <v>214.04573089394074</v>
      </c>
      <c r="S10" s="81"/>
      <c r="T10" s="44">
        <v>256</v>
      </c>
      <c r="U10" s="44">
        <f t="shared" si="1"/>
        <v>-41.954269106059257</v>
      </c>
      <c r="W10" s="44">
        <f t="shared" si="2"/>
        <v>221.4160345358712</v>
      </c>
      <c r="X10" s="3">
        <v>105.71931483046447</v>
      </c>
      <c r="Y10" s="10">
        <f t="shared" si="3"/>
        <v>2.0943763671845814</v>
      </c>
      <c r="AE10" s="1">
        <v>39355</v>
      </c>
      <c r="AF10" s="86">
        <v>2.0943763671845814</v>
      </c>
      <c r="AG10" s="86">
        <v>2.3236146706907346</v>
      </c>
      <c r="AH10" s="86">
        <v>1.6541877028665217</v>
      </c>
      <c r="AI10" s="86">
        <v>1.8553766769041362</v>
      </c>
      <c r="AJ10" s="86">
        <v>2.2656196679162837</v>
      </c>
      <c r="AK10" s="86">
        <v>1.2325035733759413</v>
      </c>
      <c r="AL10" s="86">
        <v>2.7228860403098007</v>
      </c>
      <c r="AM10" s="86">
        <v>3.0344270207294759</v>
      </c>
      <c r="AN10" s="86">
        <v>2.7177053017522197</v>
      </c>
      <c r="AO10" s="86">
        <v>1.5785116585073178</v>
      </c>
      <c r="AP10" s="86">
        <v>1.1489865392903165</v>
      </c>
      <c r="AQ10" s="86">
        <v>1.3891568714298337</v>
      </c>
    </row>
    <row r="11" spans="1:43" x14ac:dyDescent="0.2">
      <c r="A11" s="42" t="str">
        <f t="shared" si="0"/>
        <v>EM39447</v>
      </c>
      <c r="B11" s="1">
        <v>39447</v>
      </c>
      <c r="C11" s="34">
        <v>123</v>
      </c>
      <c r="D11" s="34">
        <v>121</v>
      </c>
      <c r="E11" s="37">
        <v>110</v>
      </c>
      <c r="F11" s="37">
        <v>424049.22317123413</v>
      </c>
      <c r="G11" s="37">
        <v>94772.602808594704</v>
      </c>
      <c r="H11" s="37">
        <v>329276.62036263943</v>
      </c>
      <c r="I11" s="37">
        <v>99583.961605856195</v>
      </c>
      <c r="J11" s="37">
        <v>319629.64048162103</v>
      </c>
      <c r="K11" s="37">
        <v>25873.170072942972</v>
      </c>
      <c r="L11" s="38">
        <v>1.0301817436783467</v>
      </c>
      <c r="M11" s="38">
        <v>1.3266892974389755</v>
      </c>
      <c r="N11" s="38">
        <v>11.015540246275583</v>
      </c>
      <c r="O11" s="39">
        <v>94.657122342154537</v>
      </c>
      <c r="P11" s="39">
        <v>22.268623952380736</v>
      </c>
      <c r="Q11" s="39">
        <v>23.525566171224753</v>
      </c>
      <c r="R11" s="44">
        <v>303.1098721341254</v>
      </c>
      <c r="S11" s="81"/>
      <c r="T11" s="44">
        <v>339</v>
      </c>
      <c r="U11" s="44">
        <f t="shared" si="1"/>
        <v>-35.890127865874604</v>
      </c>
      <c r="W11" s="44">
        <f t="shared" si="2"/>
        <v>294.22951240802155</v>
      </c>
      <c r="X11" s="3">
        <v>141.64643191733737</v>
      </c>
      <c r="Y11" s="10">
        <f t="shared" si="3"/>
        <v>2.0772109005875223</v>
      </c>
      <c r="AE11" s="1">
        <v>39447</v>
      </c>
      <c r="AF11" s="86">
        <v>2.0772109005875223</v>
      </c>
      <c r="AG11" s="86">
        <v>2.3482503868201574</v>
      </c>
      <c r="AH11" s="86">
        <v>1.5819088093865725</v>
      </c>
      <c r="AI11" s="86">
        <v>2.1140107214551573</v>
      </c>
      <c r="AJ11" s="86">
        <v>2.6874286174937376</v>
      </c>
      <c r="AK11" s="86">
        <v>1.1075275111001144</v>
      </c>
      <c r="AL11" s="86">
        <v>2.1347146171548039</v>
      </c>
      <c r="AM11" s="86">
        <v>2.2948809025070029</v>
      </c>
      <c r="AN11" s="86">
        <v>2.6068390331221121</v>
      </c>
      <c r="AO11" s="86">
        <v>1.5893694642061265</v>
      </c>
      <c r="AP11" s="86">
        <v>1.1474965583297445</v>
      </c>
      <c r="AQ11" s="86">
        <v>1.3609919926567637</v>
      </c>
    </row>
    <row r="12" spans="1:43" x14ac:dyDescent="0.2">
      <c r="A12" s="42" t="str">
        <f t="shared" si="0"/>
        <v>EM39538</v>
      </c>
      <c r="B12" s="1">
        <v>39538</v>
      </c>
      <c r="C12" s="34">
        <v>139</v>
      </c>
      <c r="D12" s="34">
        <v>138</v>
      </c>
      <c r="E12" s="37">
        <v>130</v>
      </c>
      <c r="F12" s="37">
        <v>478306.44122028351</v>
      </c>
      <c r="G12" s="37">
        <v>125292.87168883532</v>
      </c>
      <c r="H12" s="37">
        <v>353013.56953144819</v>
      </c>
      <c r="I12" s="37">
        <v>112387.68651355803</v>
      </c>
      <c r="J12" s="37">
        <v>357646.3282917738</v>
      </c>
      <c r="K12" s="37">
        <v>29292.299738049507</v>
      </c>
      <c r="L12" s="38">
        <v>0.98704653621790817</v>
      </c>
      <c r="M12" s="38">
        <v>1.3373727153996482</v>
      </c>
      <c r="N12" s="38">
        <v>11.152221928310686</v>
      </c>
      <c r="O12" s="39">
        <v>110.72398404897135</v>
      </c>
      <c r="P12" s="39">
        <v>26.059855302764284</v>
      </c>
      <c r="Q12" s="39">
        <v>23.535872129780348</v>
      </c>
      <c r="R12" s="44">
        <v>424.4385999395077</v>
      </c>
      <c r="S12" s="81"/>
      <c r="T12" s="44">
        <v>458</v>
      </c>
      <c r="U12" s="44">
        <f t="shared" si="1"/>
        <v>-33.561400060492304</v>
      </c>
      <c r="W12" s="44">
        <f t="shared" si="2"/>
        <v>430.00870208798875</v>
      </c>
      <c r="X12" s="3">
        <v>190.18118089299128</v>
      </c>
      <c r="Y12" s="10">
        <f t="shared" si="3"/>
        <v>2.2610475971854469</v>
      </c>
      <c r="AE12" s="1">
        <v>39538</v>
      </c>
      <c r="AF12" s="86">
        <v>2.2610475971854469</v>
      </c>
      <c r="AG12" s="86">
        <v>2.4430704714200746</v>
      </c>
      <c r="AH12" s="86">
        <v>1.6905917615437844</v>
      </c>
      <c r="AI12" s="86">
        <v>2.5229679929536672</v>
      </c>
      <c r="AJ12" s="86">
        <v>2.6680325887070278</v>
      </c>
      <c r="AK12" s="86">
        <v>1.7053321975603104</v>
      </c>
      <c r="AL12" s="86">
        <v>2.1291894285648421</v>
      </c>
      <c r="AM12" s="86">
        <v>2.5029843565556864</v>
      </c>
      <c r="AN12" s="86">
        <v>1.7143074322685987</v>
      </c>
      <c r="AO12" s="86">
        <v>1.6396661283833802</v>
      </c>
      <c r="AP12" s="86">
        <v>1.2631499061870635</v>
      </c>
      <c r="AQ12" s="86">
        <v>1.2898916187539733</v>
      </c>
    </row>
    <row r="13" spans="1:43" x14ac:dyDescent="0.2">
      <c r="A13" s="42" t="str">
        <f t="shared" si="0"/>
        <v>EM39629</v>
      </c>
      <c r="B13" s="1">
        <v>39629</v>
      </c>
      <c r="C13" s="34">
        <v>142</v>
      </c>
      <c r="D13" s="34">
        <v>142</v>
      </c>
      <c r="E13" s="37">
        <v>133</v>
      </c>
      <c r="F13" s="37">
        <v>505219.18330192566</v>
      </c>
      <c r="G13" s="37">
        <v>138432.00306987017</v>
      </c>
      <c r="H13" s="37">
        <v>366787.18023205549</v>
      </c>
      <c r="I13" s="37">
        <v>108548.389245525</v>
      </c>
      <c r="J13" s="37">
        <v>405667.28292834759</v>
      </c>
      <c r="K13" s="37">
        <v>30610.302939087152</v>
      </c>
      <c r="L13" s="38">
        <v>0.90415765743879462</v>
      </c>
      <c r="M13" s="38">
        <v>1.2454028327227999</v>
      </c>
      <c r="N13" s="38">
        <v>12.101614874184644</v>
      </c>
      <c r="O13" s="39">
        <v>126.83346995699188</v>
      </c>
      <c r="P13" s="39">
        <v>27.285035140157994</v>
      </c>
      <c r="Q13" s="39">
        <v>21.512488106972167</v>
      </c>
      <c r="R13" s="44">
        <v>372.27272624895687</v>
      </c>
      <c r="S13" s="81"/>
      <c r="T13" s="44">
        <v>403</v>
      </c>
      <c r="U13" s="44">
        <f t="shared" si="1"/>
        <v>-30.727273751043128</v>
      </c>
      <c r="W13" s="44">
        <f t="shared" si="2"/>
        <v>411.73430671758393</v>
      </c>
      <c r="X13" s="3">
        <v>173.16421780962932</v>
      </c>
      <c r="Y13" s="10">
        <f t="shared" si="3"/>
        <v>2.3777100830971341</v>
      </c>
      <c r="AE13" s="1">
        <v>39629</v>
      </c>
      <c r="AF13" s="86">
        <v>2.3777100830971341</v>
      </c>
      <c r="AG13" s="86">
        <v>2.4287305378235735</v>
      </c>
      <c r="AH13" s="86">
        <v>1.8827043482523282</v>
      </c>
      <c r="AI13" s="86">
        <v>2.3962947707734275</v>
      </c>
      <c r="AJ13" s="86">
        <v>2.3446018646209037</v>
      </c>
      <c r="AK13" s="86">
        <v>2.0237957107293325</v>
      </c>
      <c r="AL13" s="86">
        <v>2.5297129060396326</v>
      </c>
      <c r="AM13" s="86">
        <v>2.9267502710515867</v>
      </c>
      <c r="AN13" s="86">
        <v>1.9474699283252459</v>
      </c>
      <c r="AO13" s="86">
        <v>1.6838642364116236</v>
      </c>
      <c r="AP13" s="86">
        <v>1.2682806818070291</v>
      </c>
      <c r="AQ13" s="86">
        <v>1.3552083579193781</v>
      </c>
    </row>
    <row r="14" spans="1:43" x14ac:dyDescent="0.2">
      <c r="A14" s="42" t="str">
        <f t="shared" si="0"/>
        <v>EM39721</v>
      </c>
      <c r="B14" s="1">
        <v>39721</v>
      </c>
      <c r="C14" s="34">
        <v>143</v>
      </c>
      <c r="D14" s="34">
        <v>142</v>
      </c>
      <c r="E14" s="37">
        <v>133</v>
      </c>
      <c r="F14" s="37">
        <v>526002.28150463104</v>
      </c>
      <c r="G14" s="37">
        <v>147045.44249003381</v>
      </c>
      <c r="H14" s="37">
        <v>378956.83901459724</v>
      </c>
      <c r="I14" s="37">
        <v>111633.82055732608</v>
      </c>
      <c r="J14" s="37">
        <v>440994.61199903488</v>
      </c>
      <c r="K14" s="37">
        <v>32702.114972122014</v>
      </c>
      <c r="L14" s="38">
        <v>0.85932305906591577</v>
      </c>
      <c r="M14" s="38">
        <v>1.19276351046616</v>
      </c>
      <c r="N14" s="38">
        <v>12.316771282256711</v>
      </c>
      <c r="O14" s="39">
        <v>130.65677855017245</v>
      </c>
      <c r="P14" s="39">
        <v>27.815082007628334</v>
      </c>
      <c r="Q14" s="39">
        <v>21.288663562868489</v>
      </c>
      <c r="R14" s="44">
        <v>638.43486374686427</v>
      </c>
      <c r="S14" s="81"/>
      <c r="T14" s="44">
        <v>698</v>
      </c>
      <c r="U14" s="44">
        <f t="shared" si="1"/>
        <v>-59.565136253135734</v>
      </c>
      <c r="W14" s="44">
        <f t="shared" si="2"/>
        <v>742.95092749034688</v>
      </c>
      <c r="X14" s="3">
        <v>268.56652368612174</v>
      </c>
      <c r="Y14" s="10">
        <f t="shared" si="3"/>
        <v>2.7663571665344495</v>
      </c>
      <c r="AE14" s="1">
        <v>39721</v>
      </c>
      <c r="AF14" s="86">
        <v>2.7663571665344495</v>
      </c>
      <c r="AG14" s="86">
        <v>2.58597697618828</v>
      </c>
      <c r="AH14" s="86">
        <v>2.3563779623982954</v>
      </c>
      <c r="AI14" s="86">
        <v>2.4244890430654147</v>
      </c>
      <c r="AJ14" s="86">
        <v>2.1534362990537326</v>
      </c>
      <c r="AK14" s="86">
        <v>2.3191271971527772</v>
      </c>
      <c r="AL14" s="86">
        <v>3.7316165471420217</v>
      </c>
      <c r="AM14" s="86">
        <v>3.8250572689991857</v>
      </c>
      <c r="AN14" s="86">
        <v>3.3835120169072104</v>
      </c>
      <c r="AO14" s="86">
        <v>1.4520514798135968</v>
      </c>
      <c r="AP14" s="86">
        <v>0.96407956058002242</v>
      </c>
      <c r="AQ14" s="86">
        <v>1.2365001622209935</v>
      </c>
    </row>
    <row r="15" spans="1:43" x14ac:dyDescent="0.2">
      <c r="A15" s="42" t="str">
        <f t="shared" si="0"/>
        <v>EM39813</v>
      </c>
      <c r="B15" s="1">
        <v>39813</v>
      </c>
      <c r="C15" s="34">
        <v>148</v>
      </c>
      <c r="D15" s="34">
        <v>145</v>
      </c>
      <c r="E15" s="37">
        <v>135</v>
      </c>
      <c r="F15" s="37">
        <v>543878.83575153351</v>
      </c>
      <c r="G15" s="37">
        <v>145696.89278631657</v>
      </c>
      <c r="H15" s="37">
        <v>398181.94296521693</v>
      </c>
      <c r="I15" s="37">
        <v>125766.22568547726</v>
      </c>
      <c r="J15" s="37">
        <v>425691.87909269333</v>
      </c>
      <c r="K15" s="37">
        <v>32250.128289230168</v>
      </c>
      <c r="L15" s="38">
        <v>0.93537594330878415</v>
      </c>
      <c r="M15" s="38">
        <v>1.2776349807535448</v>
      </c>
      <c r="N15" s="38">
        <v>11.923945730233104</v>
      </c>
      <c r="O15" s="39">
        <v>114.79982127226469</v>
      </c>
      <c r="P15" s="39">
        <v>26.66640407155435</v>
      </c>
      <c r="Q15" s="39">
        <v>23.228611138959046</v>
      </c>
      <c r="R15" s="84">
        <v>1140.405359456583</v>
      </c>
      <c r="S15" s="81"/>
      <c r="T15" s="44">
        <v>1283</v>
      </c>
      <c r="U15" s="44">
        <f t="shared" si="1"/>
        <v>-142.59464054341697</v>
      </c>
      <c r="W15" s="44">
        <f t="shared" si="2"/>
        <v>1219.1946645778926</v>
      </c>
      <c r="X15" s="3">
        <v>375.24267309373568</v>
      </c>
      <c r="Y15" s="10">
        <f t="shared" si="3"/>
        <v>3.2490831986833695</v>
      </c>
      <c r="AE15" s="1">
        <v>39813</v>
      </c>
      <c r="AF15" s="86">
        <v>3.2490831986833695</v>
      </c>
      <c r="AG15" s="86">
        <v>3.2898688500411666</v>
      </c>
      <c r="AH15" s="86">
        <v>2.3631573747380643</v>
      </c>
      <c r="AI15" s="86">
        <v>2.64272041391441</v>
      </c>
      <c r="AJ15" s="86">
        <v>2.4811601290367018</v>
      </c>
      <c r="AK15" s="86">
        <v>1.9589423442161853</v>
      </c>
      <c r="AL15" s="86">
        <v>4.7338804768321348</v>
      </c>
      <c r="AM15" s="86">
        <v>5.4237347547135766</v>
      </c>
      <c r="AN15" s="86">
        <v>3.4683261683760773</v>
      </c>
      <c r="AO15" s="86">
        <v>1.8551241026432852</v>
      </c>
      <c r="AP15" s="86">
        <v>1.2536451962721353</v>
      </c>
      <c r="AQ15" s="86">
        <v>1.5412127125277768</v>
      </c>
    </row>
    <row r="16" spans="1:43" x14ac:dyDescent="0.2">
      <c r="A16" s="42" t="str">
        <f t="shared" si="0"/>
        <v>EM39903</v>
      </c>
      <c r="B16" s="1">
        <v>39903</v>
      </c>
      <c r="C16" s="34">
        <v>148</v>
      </c>
      <c r="D16" s="34">
        <v>148</v>
      </c>
      <c r="E16" s="37">
        <v>140</v>
      </c>
      <c r="F16" s="37">
        <v>562535.98302108049</v>
      </c>
      <c r="G16" s="37">
        <v>148358.32426607609</v>
      </c>
      <c r="H16" s="37">
        <v>414177.65875500441</v>
      </c>
      <c r="I16" s="37">
        <v>125182.15682327747</v>
      </c>
      <c r="J16" s="37">
        <v>378925.62271118164</v>
      </c>
      <c r="K16" s="37">
        <v>33438.735403239727</v>
      </c>
      <c r="L16" s="38">
        <v>1.0930315447965682</v>
      </c>
      <c r="M16" s="38">
        <v>1.484555145667326</v>
      </c>
      <c r="N16" s="38">
        <v>10.211497212051988</v>
      </c>
      <c r="O16" s="39">
        <v>118.51395440926693</v>
      </c>
      <c r="P16" s="39">
        <v>26.373126118852475</v>
      </c>
      <c r="Q16" s="39">
        <v>22.253182125522166</v>
      </c>
      <c r="R16" s="44">
        <v>956.87491399966814</v>
      </c>
      <c r="S16" s="81"/>
      <c r="T16" s="44">
        <v>1104</v>
      </c>
      <c r="U16" s="44">
        <f t="shared" si="1"/>
        <v>-147.12508600033186</v>
      </c>
      <c r="W16" s="44">
        <f t="shared" si="2"/>
        <v>875.43211223401511</v>
      </c>
      <c r="X16" s="3">
        <v>382.70274484058507</v>
      </c>
      <c r="Y16" s="10">
        <f t="shared" si="3"/>
        <v>2.2874989114558781</v>
      </c>
      <c r="AE16" s="1">
        <v>39903</v>
      </c>
      <c r="AF16" s="86">
        <v>2.2874989114558781</v>
      </c>
      <c r="AG16" s="86">
        <v>2.070129063755612</v>
      </c>
      <c r="AH16" s="86">
        <v>1.9571728878661045</v>
      </c>
      <c r="AI16" s="86">
        <v>2.0641563773303861</v>
      </c>
      <c r="AJ16" s="86">
        <v>1.8428039157887812</v>
      </c>
      <c r="AK16" s="86">
        <v>1.7393978079195505</v>
      </c>
      <c r="AL16" s="86">
        <v>2.884734427153373</v>
      </c>
      <c r="AM16" s="86">
        <v>2.8139059626867327</v>
      </c>
      <c r="AN16" s="86">
        <v>2.6030226969132446</v>
      </c>
      <c r="AO16" s="86">
        <v>1.4572073986812613</v>
      </c>
      <c r="AP16" s="86">
        <v>0.86387760634774158</v>
      </c>
      <c r="AQ16" s="86">
        <v>1.5877608634693035</v>
      </c>
    </row>
    <row r="17" spans="1:43" x14ac:dyDescent="0.2">
      <c r="A17" s="42" t="str">
        <f t="shared" si="0"/>
        <v>EM39994</v>
      </c>
      <c r="B17" s="1">
        <v>39994</v>
      </c>
      <c r="C17" s="34">
        <v>148</v>
      </c>
      <c r="D17" s="34">
        <v>147</v>
      </c>
      <c r="E17" s="37">
        <v>140</v>
      </c>
      <c r="F17" s="37">
        <v>609405.42412310839</v>
      </c>
      <c r="G17" s="37">
        <v>162484.90827786922</v>
      </c>
      <c r="H17" s="37">
        <v>446920.51584523916</v>
      </c>
      <c r="I17" s="37">
        <v>132368.71233087778</v>
      </c>
      <c r="J17" s="37">
        <v>328352.1405479908</v>
      </c>
      <c r="K17" s="37">
        <v>34058.158419549465</v>
      </c>
      <c r="L17" s="38">
        <v>1.3611012710298407</v>
      </c>
      <c r="M17" s="38">
        <v>1.8559508188558309</v>
      </c>
      <c r="N17" s="38">
        <v>8.6371897180771011</v>
      </c>
      <c r="O17" s="39">
        <v>122.722335970614</v>
      </c>
      <c r="P17" s="39">
        <v>26.674854509134587</v>
      </c>
      <c r="Q17" s="39">
        <v>21.735940974527988</v>
      </c>
      <c r="R17" s="44">
        <v>630.51767089668533</v>
      </c>
      <c r="S17" s="81"/>
      <c r="T17" s="44">
        <v>669</v>
      </c>
      <c r="U17" s="44">
        <f t="shared" si="1"/>
        <v>-38.482329103314669</v>
      </c>
      <c r="W17" s="44">
        <f t="shared" si="2"/>
        <v>463.2408214707059</v>
      </c>
      <c r="X17" s="3">
        <v>236.86459324791133</v>
      </c>
      <c r="Y17" s="10">
        <f t="shared" si="3"/>
        <v>1.9557199964701384</v>
      </c>
      <c r="AE17" s="1">
        <v>39994</v>
      </c>
      <c r="AF17" s="86">
        <v>1.9557199964701384</v>
      </c>
      <c r="AG17" s="86">
        <v>1.8774561698128625</v>
      </c>
      <c r="AH17" s="86">
        <v>1.6625227477066966</v>
      </c>
      <c r="AI17" s="86">
        <v>1.7385596160970009</v>
      </c>
      <c r="AJ17" s="86">
        <v>1.5209343419981391</v>
      </c>
      <c r="AK17" s="86">
        <v>1.4462229918855485</v>
      </c>
      <c r="AL17" s="86">
        <v>2.428130612020678</v>
      </c>
      <c r="AM17" s="86">
        <v>2.6301557308529731</v>
      </c>
      <c r="AN17" s="86">
        <v>2.1351061442990393</v>
      </c>
      <c r="AO17" s="86">
        <v>1.2811291865697392</v>
      </c>
      <c r="AP17" s="86">
        <v>0.69947009806051463</v>
      </c>
      <c r="AQ17" s="86">
        <v>1.4514653823278751</v>
      </c>
    </row>
    <row r="18" spans="1:43" x14ac:dyDescent="0.2">
      <c r="A18" s="42" t="str">
        <f t="shared" si="0"/>
        <v>EM40086</v>
      </c>
      <c r="B18" s="1">
        <v>40086</v>
      </c>
      <c r="C18" s="34">
        <v>149</v>
      </c>
      <c r="D18" s="34">
        <v>147</v>
      </c>
      <c r="E18" s="37">
        <v>141</v>
      </c>
      <c r="F18" s="37">
        <v>649406.58245784044</v>
      </c>
      <c r="G18" s="37">
        <v>183537.14420759678</v>
      </c>
      <c r="H18" s="37">
        <v>465869.43825024366</v>
      </c>
      <c r="I18" s="37">
        <v>125876.97068530321</v>
      </c>
      <c r="J18" s="37">
        <v>294823.57236671448</v>
      </c>
      <c r="K18" s="37">
        <v>33111.307752132416</v>
      </c>
      <c r="L18" s="38">
        <v>1.580163466952279</v>
      </c>
      <c r="M18" s="38">
        <v>2.2026955892457609</v>
      </c>
      <c r="N18" s="38">
        <v>7.9365859060284665</v>
      </c>
      <c r="O18" s="39">
        <v>145.64295216328168</v>
      </c>
      <c r="P18" s="39">
        <v>28.264979717513611</v>
      </c>
      <c r="Q18" s="39">
        <v>19.407035697700959</v>
      </c>
      <c r="R18" s="44">
        <v>417.08337576093959</v>
      </c>
      <c r="S18" s="81"/>
      <c r="T18" s="44">
        <v>463</v>
      </c>
      <c r="U18" s="44">
        <f t="shared" si="1"/>
        <v>-45.916624239060411</v>
      </c>
      <c r="W18" s="44">
        <f t="shared" si="2"/>
        <v>263.94951185992426</v>
      </c>
      <c r="X18" s="3">
        <v>169.85935116272969</v>
      </c>
      <c r="Y18" s="10">
        <f t="shared" si="3"/>
        <v>1.5539298251943381</v>
      </c>
      <c r="AE18" s="1">
        <v>40086</v>
      </c>
      <c r="AF18" s="86">
        <v>1.5539298251943381</v>
      </c>
      <c r="AG18" s="86">
        <v>1.5999981093438478</v>
      </c>
      <c r="AH18" s="86">
        <v>1.2603237296597141</v>
      </c>
      <c r="AI18" s="86">
        <v>1.5580086867950607</v>
      </c>
      <c r="AJ18" s="86">
        <v>1.5474478004720778</v>
      </c>
      <c r="AK18" s="86">
        <v>1.2130689413451969</v>
      </c>
      <c r="AL18" s="86">
        <v>1.7147352749267604</v>
      </c>
      <c r="AM18" s="86">
        <v>1.9815996750836193</v>
      </c>
      <c r="AN18" s="86">
        <v>1.3304008912037724</v>
      </c>
      <c r="AO18" s="86">
        <v>1.0690005018482833</v>
      </c>
      <c r="AP18" s="86">
        <v>0.64631129844172763</v>
      </c>
      <c r="AQ18" s="86">
        <v>1.2296788552818567</v>
      </c>
    </row>
    <row r="19" spans="1:43" x14ac:dyDescent="0.2">
      <c r="A19" s="42" t="str">
        <f t="shared" si="0"/>
        <v>EM40178</v>
      </c>
      <c r="B19" s="1">
        <v>40178</v>
      </c>
      <c r="C19" s="34">
        <v>154</v>
      </c>
      <c r="D19" s="34">
        <v>152</v>
      </c>
      <c r="E19" s="37">
        <v>152</v>
      </c>
      <c r="F19" s="37">
        <v>696286.12258273363</v>
      </c>
      <c r="G19" s="37">
        <v>189848.74940574169</v>
      </c>
      <c r="H19" s="37">
        <v>506437.37317699194</v>
      </c>
      <c r="I19" s="37">
        <v>124514.02408033609</v>
      </c>
      <c r="J19" s="37">
        <v>313180.41435432434</v>
      </c>
      <c r="K19" s="37">
        <v>37606.757446810603</v>
      </c>
      <c r="L19" s="38">
        <v>1.6170786868045381</v>
      </c>
      <c r="M19" s="38">
        <v>2.2232747983881689</v>
      </c>
      <c r="N19" s="38">
        <v>8.2961514817423883</v>
      </c>
      <c r="O19" s="39">
        <v>152.2923678064123</v>
      </c>
      <c r="P19" s="39">
        <v>27.264817755250913</v>
      </c>
      <c r="Q19" s="39">
        <v>17.902944282742265</v>
      </c>
      <c r="R19" s="44">
        <v>375.36118007243226</v>
      </c>
      <c r="S19" s="81"/>
      <c r="T19" s="44">
        <v>411</v>
      </c>
      <c r="U19" s="44">
        <f t="shared" si="1"/>
        <v>-35.638819927567738</v>
      </c>
      <c r="W19" s="44">
        <f t="shared" si="2"/>
        <v>232.12301487577733</v>
      </c>
      <c r="X19" s="3">
        <v>142.79511564870424</v>
      </c>
      <c r="Y19" s="10">
        <f t="shared" si="3"/>
        <v>1.6255669097732452</v>
      </c>
      <c r="AE19" s="1">
        <v>40178</v>
      </c>
      <c r="AF19" s="86">
        <v>1.6255669097732452</v>
      </c>
      <c r="AG19" s="86">
        <v>1.5998265356769881</v>
      </c>
      <c r="AH19" s="86">
        <v>1.4011398231445515</v>
      </c>
      <c r="AI19" s="86">
        <v>1.5352557692956526</v>
      </c>
      <c r="AJ19" s="86">
        <v>1.4432427408114412</v>
      </c>
      <c r="AK19" s="86">
        <v>1.3952289781848313</v>
      </c>
      <c r="AL19" s="86">
        <v>1.8850492166187054</v>
      </c>
      <c r="AM19" s="86">
        <v>2.2191926151988546</v>
      </c>
      <c r="AN19" s="86">
        <v>1.378128186024544</v>
      </c>
      <c r="AO19" s="86">
        <v>1.263998228639267</v>
      </c>
      <c r="AP19" s="86">
        <v>0.74496756949337017</v>
      </c>
      <c r="AQ19" s="86">
        <v>1.4377154402649632</v>
      </c>
    </row>
    <row r="20" spans="1:43" x14ac:dyDescent="0.2">
      <c r="A20" s="42" t="str">
        <f t="shared" si="0"/>
        <v>EM40268</v>
      </c>
      <c r="B20" s="1">
        <v>40268</v>
      </c>
      <c r="C20" s="34">
        <v>162</v>
      </c>
      <c r="D20" s="34">
        <v>163</v>
      </c>
      <c r="E20" s="37">
        <v>158</v>
      </c>
      <c r="F20" s="37">
        <v>719654.47303962708</v>
      </c>
      <c r="G20" s="37">
        <v>202961.23898077011</v>
      </c>
      <c r="H20" s="37">
        <v>516693.23405885696</v>
      </c>
      <c r="I20" s="37">
        <v>138686.09731650352</v>
      </c>
      <c r="J20" s="37">
        <v>353369.73802185059</v>
      </c>
      <c r="K20" s="37">
        <v>39654.328413963318</v>
      </c>
      <c r="L20" s="38">
        <v>1.4621886892502021</v>
      </c>
      <c r="M20" s="38">
        <v>2.0365481126601943</v>
      </c>
      <c r="N20" s="38">
        <v>8.8642917555144862</v>
      </c>
      <c r="O20" s="39">
        <v>148.92716616246261</v>
      </c>
      <c r="P20" s="39">
        <v>28.142283994990613</v>
      </c>
      <c r="Q20" s="39">
        <v>18.896675952519356</v>
      </c>
      <c r="R20" s="44">
        <v>310.72714864899484</v>
      </c>
      <c r="S20" s="81"/>
      <c r="T20" s="44">
        <v>336</v>
      </c>
      <c r="U20" s="44">
        <f t="shared" si="1"/>
        <v>-25.272851351005158</v>
      </c>
      <c r="W20" s="44">
        <f t="shared" si="2"/>
        <v>212.5082425636414</v>
      </c>
      <c r="X20" s="3">
        <v>127.26845922794003</v>
      </c>
      <c r="Y20" s="10">
        <f t="shared" si="3"/>
        <v>1.669763615060629</v>
      </c>
      <c r="AE20" s="1">
        <v>40268</v>
      </c>
      <c r="AF20" s="86">
        <v>1.669763615060629</v>
      </c>
      <c r="AG20" s="86">
        <v>1.7839988940141593</v>
      </c>
      <c r="AH20" s="86">
        <v>1.2059823129354481</v>
      </c>
      <c r="AI20" s="86">
        <v>1.6784940842437264</v>
      </c>
      <c r="AJ20" s="86">
        <v>1.6849812122530499</v>
      </c>
      <c r="AK20" s="86">
        <v>1.3206481837992452</v>
      </c>
      <c r="AL20" s="86">
        <v>1.9412690027462853</v>
      </c>
      <c r="AM20" s="86">
        <v>2.6975041066128491</v>
      </c>
      <c r="AN20" s="86">
        <v>1.0703449053510132</v>
      </c>
      <c r="AO20" s="86">
        <v>1.2585408122688388</v>
      </c>
      <c r="AP20" s="86">
        <v>0.72638490492860963</v>
      </c>
      <c r="AQ20" s="86">
        <v>1.1786755401418492</v>
      </c>
    </row>
    <row r="21" spans="1:43" x14ac:dyDescent="0.2">
      <c r="A21" s="42" t="str">
        <f t="shared" si="0"/>
        <v>EM40359</v>
      </c>
      <c r="B21" s="1">
        <v>40359</v>
      </c>
      <c r="C21" s="34">
        <v>170</v>
      </c>
      <c r="D21" s="34">
        <v>168</v>
      </c>
      <c r="E21" s="37">
        <v>165</v>
      </c>
      <c r="F21" s="37">
        <v>750106.67459106445</v>
      </c>
      <c r="G21" s="37">
        <v>207597.20419502258</v>
      </c>
      <c r="H21" s="37">
        <v>542509.47039604187</v>
      </c>
      <c r="I21" s="37">
        <v>143550.13061761856</v>
      </c>
      <c r="J21" s="37">
        <v>392504.06882095337</v>
      </c>
      <c r="K21" s="37">
        <v>42881.030602097511</v>
      </c>
      <c r="L21" s="38">
        <v>1.3821754052784501</v>
      </c>
      <c r="M21" s="38">
        <v>1.9110799968120507</v>
      </c>
      <c r="N21" s="38">
        <v>9.0678338083931287</v>
      </c>
      <c r="O21" s="39">
        <v>144.25997740110654</v>
      </c>
      <c r="P21" s="39">
        <v>27.491124303552368</v>
      </c>
      <c r="Q21" s="39">
        <v>19.056653687886612</v>
      </c>
      <c r="R21" s="44">
        <v>410.91442061698234</v>
      </c>
      <c r="S21" s="81"/>
      <c r="T21" s="44">
        <v>414</v>
      </c>
      <c r="U21" s="44">
        <f t="shared" si="1"/>
        <v>-3.0855793830176594</v>
      </c>
      <c r="W21" s="44">
        <f t="shared" si="2"/>
        <v>297.29542216402007</v>
      </c>
      <c r="X21" s="3">
        <v>150.59831028304566</v>
      </c>
      <c r="Y21" s="10">
        <f t="shared" si="3"/>
        <v>1.9740953374925718</v>
      </c>
      <c r="AE21" s="1">
        <v>40359</v>
      </c>
      <c r="AF21" s="86">
        <v>1.9740953374925718</v>
      </c>
      <c r="AG21" s="86">
        <v>2.1852868129458143</v>
      </c>
      <c r="AH21" s="86">
        <v>1.3458793778282154</v>
      </c>
      <c r="AI21" s="86">
        <v>1.7841322126883841</v>
      </c>
      <c r="AJ21" s="86">
        <v>2.015371294340393</v>
      </c>
      <c r="AK21" s="86">
        <v>1.2579672886394555</v>
      </c>
      <c r="AL21" s="86">
        <v>2.4735007916772274</v>
      </c>
      <c r="AM21" s="86">
        <v>3.5902237887276689</v>
      </c>
      <c r="AN21" s="86">
        <v>1.2817611159985565</v>
      </c>
      <c r="AO21" s="86">
        <v>1.679964350865452</v>
      </c>
      <c r="AP21" s="86">
        <v>0.93509271431387464</v>
      </c>
      <c r="AQ21" s="86">
        <v>1.4835039202976852</v>
      </c>
    </row>
    <row r="22" spans="1:43" x14ac:dyDescent="0.2">
      <c r="A22" s="42" t="str">
        <f t="shared" si="0"/>
        <v>EM40451</v>
      </c>
      <c r="B22" s="1">
        <v>40451</v>
      </c>
      <c r="C22" s="34">
        <v>178</v>
      </c>
      <c r="D22" s="34">
        <v>176</v>
      </c>
      <c r="E22" s="37">
        <v>172</v>
      </c>
      <c r="F22" s="37">
        <v>812263.85373306274</v>
      </c>
      <c r="G22" s="37">
        <v>250393.85009241104</v>
      </c>
      <c r="H22" s="37">
        <v>561870.0036406517</v>
      </c>
      <c r="I22" s="37">
        <v>146027.95010006428</v>
      </c>
      <c r="J22" s="37">
        <v>423707.97738075256</v>
      </c>
      <c r="K22" s="37">
        <v>45351.795985758305</v>
      </c>
      <c r="L22" s="38">
        <v>1.3260784163517034</v>
      </c>
      <c r="M22" s="38">
        <v>1.9170369619997643</v>
      </c>
      <c r="N22" s="38">
        <v>8.9767302030136573</v>
      </c>
      <c r="O22" s="39">
        <v>171.11613234794643</v>
      </c>
      <c r="P22" s="39">
        <v>30.665344322253741</v>
      </c>
      <c r="Q22" s="39">
        <v>17.920779240088848</v>
      </c>
      <c r="R22" s="44">
        <v>367.50956776773432</v>
      </c>
      <c r="S22" s="81"/>
      <c r="T22" s="44">
        <v>359</v>
      </c>
      <c r="U22" s="44">
        <f t="shared" si="1"/>
        <v>8.5095677677343247</v>
      </c>
      <c r="W22" s="44">
        <f t="shared" si="2"/>
        <v>277.14014739703237</v>
      </c>
      <c r="X22" s="3">
        <v>138.34216078085001</v>
      </c>
      <c r="Y22" s="10">
        <f t="shared" si="3"/>
        <v>2.0032949162623996</v>
      </c>
      <c r="AE22" s="1">
        <v>40451</v>
      </c>
      <c r="AF22" s="86">
        <v>2.0032949162623996</v>
      </c>
      <c r="AG22" s="86">
        <v>2.1923437297765491</v>
      </c>
      <c r="AH22" s="86">
        <v>1.316586607661413</v>
      </c>
      <c r="AI22" s="86">
        <v>1.9017239633852185</v>
      </c>
      <c r="AJ22" s="86">
        <v>2.0836812893844532</v>
      </c>
      <c r="AK22" s="86">
        <v>1.2450302702669065</v>
      </c>
      <c r="AL22" s="86">
        <v>2.436154620807756</v>
      </c>
      <c r="AM22" s="86">
        <v>3.6342800137191795</v>
      </c>
      <c r="AN22" s="86">
        <v>1.209730294370039</v>
      </c>
      <c r="AO22" s="86">
        <v>1.6921353054042925</v>
      </c>
      <c r="AP22" s="86">
        <v>0.95950057763753027</v>
      </c>
      <c r="AQ22" s="86">
        <v>1.5081563772520956</v>
      </c>
    </row>
    <row r="23" spans="1:43" x14ac:dyDescent="0.2">
      <c r="A23" s="42" t="str">
        <f t="shared" si="0"/>
        <v>EM40543</v>
      </c>
      <c r="B23" s="1">
        <v>40543</v>
      </c>
      <c r="C23" s="34">
        <v>187</v>
      </c>
      <c r="D23" s="34">
        <v>186</v>
      </c>
      <c r="E23" s="37">
        <v>181</v>
      </c>
      <c r="F23" s="37">
        <v>888033.17124938965</v>
      </c>
      <c r="G23" s="37">
        <v>247990.05251598358</v>
      </c>
      <c r="H23" s="37">
        <v>640043.11873340607</v>
      </c>
      <c r="I23" s="37">
        <v>145990.76363432407</v>
      </c>
      <c r="J23" s="37">
        <v>462072.31298065186</v>
      </c>
      <c r="K23" s="37">
        <v>46479.24287456274</v>
      </c>
      <c r="L23" s="38">
        <v>1.3851579087366923</v>
      </c>
      <c r="M23" s="38">
        <v>1.9218489104465644</v>
      </c>
      <c r="N23" s="38">
        <v>9.5670414404344264</v>
      </c>
      <c r="O23" s="39">
        <v>169.53913733707324</v>
      </c>
      <c r="P23" s="39">
        <v>27.777957384134417</v>
      </c>
      <c r="Q23" s="39">
        <v>16.384392312264168</v>
      </c>
      <c r="R23" s="44">
        <v>329.80162230525048</v>
      </c>
      <c r="S23" s="81"/>
      <c r="T23" s="44">
        <v>339</v>
      </c>
      <c r="U23" s="44">
        <f t="shared" si="1"/>
        <v>-9.1983776947495244</v>
      </c>
      <c r="W23" s="44">
        <f t="shared" si="2"/>
        <v>238.09676876915785</v>
      </c>
      <c r="X23" s="3">
        <v>139.99744208364336</v>
      </c>
      <c r="Y23" s="10">
        <f t="shared" si="3"/>
        <v>1.7007222791035261</v>
      </c>
      <c r="AE23" s="1">
        <v>40543</v>
      </c>
      <c r="AF23" s="86">
        <v>1.7007222791035261</v>
      </c>
      <c r="AG23" s="86">
        <v>1.7476967540268209</v>
      </c>
      <c r="AH23" s="86">
        <v>1.3396559629939093</v>
      </c>
      <c r="AI23" s="86">
        <v>1.6143141944338668</v>
      </c>
      <c r="AJ23" s="86">
        <v>1.6795985634866542</v>
      </c>
      <c r="AK23" s="86">
        <v>1.2007086641716396</v>
      </c>
      <c r="AL23" s="86">
        <v>2.0856764155253211</v>
      </c>
      <c r="AM23" s="86">
        <v>2.8596351129430158</v>
      </c>
      <c r="AN23" s="86">
        <v>1.2440798418385146</v>
      </c>
      <c r="AO23" s="86">
        <v>1.448819873798636</v>
      </c>
      <c r="AP23" s="86">
        <v>0.80268330134173005</v>
      </c>
      <c r="AQ23" s="86">
        <v>1.6296718179686056</v>
      </c>
    </row>
    <row r="24" spans="1:43" x14ac:dyDescent="0.2">
      <c r="A24" s="42" t="str">
        <f t="shared" si="0"/>
        <v>EM40633</v>
      </c>
      <c r="B24" s="1">
        <v>40633</v>
      </c>
      <c r="C24" s="34">
        <v>180</v>
      </c>
      <c r="D24" s="34">
        <v>188</v>
      </c>
      <c r="E24" s="37">
        <v>173</v>
      </c>
      <c r="F24" s="37">
        <v>872191.89918899536</v>
      </c>
      <c r="G24" s="37">
        <v>260258.49526500702</v>
      </c>
      <c r="H24" s="37">
        <v>611933.40392398834</v>
      </c>
      <c r="I24" s="37">
        <v>151701.26520395279</v>
      </c>
      <c r="J24" s="37">
        <v>488174.02666664124</v>
      </c>
      <c r="K24" s="37">
        <v>44823.229285120964</v>
      </c>
      <c r="L24" s="38">
        <v>1.2535148748129907</v>
      </c>
      <c r="M24" s="38">
        <v>1.7866413441626789</v>
      </c>
      <c r="N24" s="38">
        <v>10.494292384599573</v>
      </c>
      <c r="O24" s="39">
        <v>177.53945335537151</v>
      </c>
      <c r="P24" s="39">
        <v>29.654311209608419</v>
      </c>
      <c r="Q24" s="39">
        <v>16.702941599268598</v>
      </c>
      <c r="R24" s="44">
        <v>297.40109657511726</v>
      </c>
      <c r="S24" s="81"/>
      <c r="T24" s="44">
        <v>314</v>
      </c>
      <c r="U24" s="44">
        <f t="shared" si="1"/>
        <v>-16.598903424882735</v>
      </c>
      <c r="W24" s="44">
        <f t="shared" si="2"/>
        <v>237.25374349425724</v>
      </c>
      <c r="X24" s="3">
        <v>123.844985158784</v>
      </c>
      <c r="Y24" s="10">
        <f t="shared" si="3"/>
        <v>1.9157315347897996</v>
      </c>
      <c r="AE24" s="1">
        <v>40633</v>
      </c>
      <c r="AF24" s="86">
        <v>1.9157315347897996</v>
      </c>
      <c r="AG24" s="86">
        <v>1.8753036823590636</v>
      </c>
      <c r="AH24" s="86">
        <v>1.5335190542987573</v>
      </c>
      <c r="AI24" s="86">
        <v>1.7852454745441571</v>
      </c>
      <c r="AJ24" s="86">
        <v>1.9429327071593563</v>
      </c>
      <c r="AK24" s="86">
        <v>1.1594657136841424</v>
      </c>
      <c r="AL24" s="86">
        <v>2.1571134030316981</v>
      </c>
      <c r="AM24" s="86">
        <v>2.6295110090512996</v>
      </c>
      <c r="AN24" s="86">
        <v>1.4306872206593826</v>
      </c>
      <c r="AO24" s="86">
        <v>1.9800455082102819</v>
      </c>
      <c r="AP24" s="86">
        <v>0.9545576252733855</v>
      </c>
      <c r="AQ24" s="86">
        <v>2.3020749964089116</v>
      </c>
    </row>
    <row r="25" spans="1:43" x14ac:dyDescent="0.2">
      <c r="A25" s="42" t="str">
        <f t="shared" si="0"/>
        <v>EM40724</v>
      </c>
      <c r="B25" s="1">
        <v>40724</v>
      </c>
      <c r="C25" s="34">
        <v>184</v>
      </c>
      <c r="D25" s="34">
        <v>189</v>
      </c>
      <c r="E25" s="37">
        <v>177</v>
      </c>
      <c r="F25" s="37">
        <v>899812.05522155762</v>
      </c>
      <c r="G25" s="37">
        <v>255642.35389232635</v>
      </c>
      <c r="H25" s="37">
        <v>644169.70132923126</v>
      </c>
      <c r="I25" s="37">
        <v>158180.10971277952</v>
      </c>
      <c r="J25" s="37">
        <v>513936.33646965027</v>
      </c>
      <c r="K25" s="37">
        <v>45575.390045762062</v>
      </c>
      <c r="L25" s="38">
        <v>1.2534036915042526</v>
      </c>
      <c r="M25" s="38">
        <v>1.7508239666464889</v>
      </c>
      <c r="N25" s="38">
        <v>10.934044183898845</v>
      </c>
      <c r="O25" s="39">
        <v>163.79650351577004</v>
      </c>
      <c r="P25" s="39">
        <v>28.14795818578737</v>
      </c>
      <c r="Q25" s="39">
        <v>17.184712482630822</v>
      </c>
      <c r="R25" s="44">
        <v>341.94964083625285</v>
      </c>
      <c r="S25" s="81"/>
      <c r="T25" s="44">
        <v>347</v>
      </c>
      <c r="U25" s="44">
        <f t="shared" si="1"/>
        <v>-5.0503591637471459</v>
      </c>
      <c r="W25" s="44">
        <f t="shared" si="2"/>
        <v>272.8168451665141</v>
      </c>
      <c r="X25" s="3">
        <v>139.75819972169947</v>
      </c>
      <c r="Y25" s="10">
        <f t="shared" si="3"/>
        <v>1.9520632471638468</v>
      </c>
      <c r="AE25" s="1">
        <v>40724</v>
      </c>
      <c r="AF25" s="86">
        <v>1.9520632471638468</v>
      </c>
      <c r="AG25" s="86">
        <v>1.9168573318196351</v>
      </c>
      <c r="AH25" s="86">
        <v>1.5179021944918716</v>
      </c>
      <c r="AI25" s="86">
        <v>1.8431957298964605</v>
      </c>
      <c r="AJ25" s="86">
        <v>1.9053783098123354</v>
      </c>
      <c r="AK25" s="86">
        <v>1.2186091806734676</v>
      </c>
      <c r="AL25" s="86">
        <v>2.1399838329622001</v>
      </c>
      <c r="AM25" s="86">
        <v>2.7009802471176334</v>
      </c>
      <c r="AN25" s="86">
        <v>1.3962420843857222</v>
      </c>
      <c r="AO25" s="86">
        <v>1.947988444470806</v>
      </c>
      <c r="AP25" s="86">
        <v>1.0046607609703457</v>
      </c>
      <c r="AQ25" s="86">
        <v>1.9975476331180699</v>
      </c>
    </row>
    <row r="26" spans="1:43" x14ac:dyDescent="0.2">
      <c r="A26" s="42" t="str">
        <f t="shared" si="0"/>
        <v>EM40816</v>
      </c>
      <c r="B26" s="1">
        <v>40816</v>
      </c>
      <c r="C26" s="34">
        <v>182</v>
      </c>
      <c r="D26" s="34">
        <v>187</v>
      </c>
      <c r="E26" s="37">
        <v>177</v>
      </c>
      <c r="F26" s="37">
        <v>854814.66278839111</v>
      </c>
      <c r="G26" s="37">
        <v>227953.23431682587</v>
      </c>
      <c r="H26" s="37">
        <v>626861.42847156525</v>
      </c>
      <c r="I26" s="37">
        <v>163716.11372405291</v>
      </c>
      <c r="J26" s="37">
        <v>524555.25048828125</v>
      </c>
      <c r="K26" s="37">
        <v>46543.231199264526</v>
      </c>
      <c r="L26" s="38">
        <v>1.1950341320348095</v>
      </c>
      <c r="M26" s="38">
        <v>1.6295989068695595</v>
      </c>
      <c r="N26" s="38">
        <v>11.167331875291014</v>
      </c>
      <c r="O26" s="39">
        <v>143.28308242147278</v>
      </c>
      <c r="P26" s="39">
        <v>26.486895282458445</v>
      </c>
      <c r="Q26" s="39">
        <v>18.485710130485749</v>
      </c>
      <c r="R26" s="44">
        <v>575.05371650492532</v>
      </c>
      <c r="S26" s="81"/>
      <c r="T26" s="44">
        <v>558</v>
      </c>
      <c r="U26" s="44">
        <f t="shared" si="1"/>
        <v>17.053716504925319</v>
      </c>
      <c r="W26" s="44">
        <f t="shared" si="2"/>
        <v>481.20275487510082</v>
      </c>
      <c r="X26" s="3">
        <v>215.36745735886177</v>
      </c>
      <c r="Y26" s="10">
        <f t="shared" si="3"/>
        <v>2.2343336397071538</v>
      </c>
      <c r="AE26" s="1">
        <v>40816</v>
      </c>
      <c r="AF26" s="86">
        <v>2.2343336397071538</v>
      </c>
      <c r="AG26" s="86">
        <v>2.1377661783244788</v>
      </c>
      <c r="AH26" s="86">
        <v>1.7307753571126312</v>
      </c>
      <c r="AI26" s="86">
        <v>2.0521103838781403</v>
      </c>
      <c r="AJ26" s="86">
        <v>2.0390595111033822</v>
      </c>
      <c r="AK26" s="86">
        <v>1.4106694754570779</v>
      </c>
      <c r="AL26" s="86">
        <v>2.9517327368882578</v>
      </c>
      <c r="AM26" s="86">
        <v>3.8913583413152324</v>
      </c>
      <c r="AN26" s="86">
        <v>1.6906760562269294</v>
      </c>
      <c r="AO26" s="86">
        <v>2.0170482019780955</v>
      </c>
      <c r="AP26" s="86">
        <v>1.0138797982787315</v>
      </c>
      <c r="AQ26" s="86">
        <v>2.205291754528734</v>
      </c>
    </row>
    <row r="27" spans="1:43" x14ac:dyDescent="0.2">
      <c r="A27" s="42" t="str">
        <f t="shared" si="0"/>
        <v>EM40908</v>
      </c>
      <c r="B27" s="1">
        <v>40908</v>
      </c>
      <c r="C27" s="34">
        <v>168</v>
      </c>
      <c r="D27" s="34">
        <v>169</v>
      </c>
      <c r="E27" s="37">
        <v>166</v>
      </c>
      <c r="F27" s="37">
        <v>834485.95722198486</v>
      </c>
      <c r="G27" s="37">
        <v>217109.83980047703</v>
      </c>
      <c r="H27" s="37">
        <v>617376.11742150784</v>
      </c>
      <c r="I27" s="37">
        <v>151323.69063022378</v>
      </c>
      <c r="J27" s="37">
        <v>523249.25507354736</v>
      </c>
      <c r="K27" s="37">
        <v>57602.538137435913</v>
      </c>
      <c r="L27" s="38">
        <v>1.1798891473524029</v>
      </c>
      <c r="M27" s="38">
        <v>1.5948153755224943</v>
      </c>
      <c r="N27" s="38">
        <v>9.057985375953729</v>
      </c>
      <c r="O27" s="39">
        <v>143.58090640193021</v>
      </c>
      <c r="P27" s="39">
        <v>25.962420009206816</v>
      </c>
      <c r="Q27" s="39">
        <v>18.082083934286818</v>
      </c>
      <c r="R27" s="44">
        <v>510.2503431069141</v>
      </c>
      <c r="S27" s="81"/>
      <c r="T27" s="44">
        <v>515</v>
      </c>
      <c r="U27" s="44">
        <f t="shared" si="1"/>
        <v>-4.7496568930858984</v>
      </c>
      <c r="W27" s="44">
        <f t="shared" si="2"/>
        <v>432.45617120208607</v>
      </c>
      <c r="X27" s="3">
        <v>203.76275473722424</v>
      </c>
      <c r="Y27" s="10">
        <f t="shared" si="3"/>
        <v>2.1223514167728474</v>
      </c>
      <c r="AE27" s="1">
        <v>40908</v>
      </c>
      <c r="AF27" s="86">
        <v>2.1223514167728474</v>
      </c>
      <c r="AG27" s="86">
        <v>1.8864664208724193</v>
      </c>
      <c r="AH27" s="86">
        <v>1.9400098544268221</v>
      </c>
      <c r="AI27" s="86">
        <v>1.8574769043018711</v>
      </c>
      <c r="AJ27" s="86">
        <v>1.7085133616835129</v>
      </c>
      <c r="AK27" s="86">
        <v>1.4755928970768641</v>
      </c>
      <c r="AL27" s="86">
        <v>2.7773518053787329</v>
      </c>
      <c r="AM27" s="86">
        <v>3.2169425875603226</v>
      </c>
      <c r="AN27" s="86">
        <v>2.0412858529550171</v>
      </c>
      <c r="AO27" s="86">
        <v>2.0203193701382856</v>
      </c>
      <c r="AP27" s="86">
        <v>1.0442530261792584</v>
      </c>
      <c r="AQ27" s="86">
        <v>2.3918996597345257</v>
      </c>
    </row>
    <row r="28" spans="1:43" x14ac:dyDescent="0.2">
      <c r="A28" s="42" t="str">
        <f t="shared" si="0"/>
        <v>EM40999</v>
      </c>
      <c r="B28" s="1">
        <v>40999</v>
      </c>
      <c r="C28" s="34">
        <v>125</v>
      </c>
      <c r="D28" s="34">
        <v>125</v>
      </c>
      <c r="E28" s="37">
        <v>121</v>
      </c>
      <c r="F28" s="37">
        <v>712967.15139770508</v>
      </c>
      <c r="G28" s="37">
        <v>192455.1777215004</v>
      </c>
      <c r="H28" s="37">
        <v>520511.97367620468</v>
      </c>
      <c r="I28" s="37">
        <v>125785.68960760534</v>
      </c>
      <c r="J28" s="37">
        <v>471717.85158348083</v>
      </c>
      <c r="K28" s="37">
        <v>58888.460886001587</v>
      </c>
      <c r="L28" s="38">
        <v>1.1034392103858903</v>
      </c>
      <c r="M28" s="38">
        <v>1.5114271147559695</v>
      </c>
      <c r="N28" s="38">
        <v>7.977044214551535</v>
      </c>
      <c r="O28" s="39">
        <v>153.12345338162109</v>
      </c>
      <c r="P28" s="39">
        <v>26.996722257055893</v>
      </c>
      <c r="Q28" s="39">
        <v>17.630690570812469</v>
      </c>
      <c r="R28" s="44">
        <v>343.75539962819823</v>
      </c>
      <c r="S28" s="81"/>
      <c r="T28" s="44">
        <v>403</v>
      </c>
      <c r="U28" s="44">
        <f t="shared" si="1"/>
        <v>-59.244600371801766</v>
      </c>
      <c r="W28" s="44">
        <f t="shared" si="2"/>
        <v>311.53089032243241</v>
      </c>
      <c r="X28" s="3">
        <v>157.47841164148528</v>
      </c>
      <c r="Y28" s="10">
        <f t="shared" si="3"/>
        <v>1.9782450627687456</v>
      </c>
      <c r="AE28" s="1">
        <v>40999</v>
      </c>
      <c r="AF28" s="86">
        <v>1.9782450627687456</v>
      </c>
      <c r="AG28" s="86">
        <v>2.0019299051732453</v>
      </c>
      <c r="AH28" s="86">
        <v>1.539888172365941</v>
      </c>
      <c r="AI28" s="86">
        <v>1.7695713685636032</v>
      </c>
      <c r="AJ28" s="86">
        <v>1.7237004680059975</v>
      </c>
      <c r="AK28" s="86">
        <v>1.3691167672063778</v>
      </c>
      <c r="AL28" s="86">
        <v>2.9163999650816854</v>
      </c>
      <c r="AM28" s="86">
        <v>3.7971760875532197</v>
      </c>
      <c r="AN28" s="86">
        <v>1.6953834685880775</v>
      </c>
      <c r="AO28" s="86">
        <v>1.7047405147948484</v>
      </c>
      <c r="AP28" s="86">
        <v>1.3291197939396007</v>
      </c>
      <c r="AQ28" s="86">
        <v>1.7417167737738473</v>
      </c>
    </row>
    <row r="29" spans="1:43" x14ac:dyDescent="0.2">
      <c r="A29" s="42" t="str">
        <f t="shared" si="0"/>
        <v>EM41090</v>
      </c>
      <c r="B29" s="1">
        <v>41090</v>
      </c>
      <c r="C29" s="34">
        <v>122</v>
      </c>
      <c r="D29" s="34">
        <v>120</v>
      </c>
      <c r="E29" s="37">
        <v>111</v>
      </c>
      <c r="F29" s="37">
        <v>602208.13187408447</v>
      </c>
      <c r="G29" s="37">
        <v>124994.31744241714</v>
      </c>
      <c r="H29" s="37">
        <v>477213.81443166733</v>
      </c>
      <c r="I29" s="37">
        <v>88738.947173550725</v>
      </c>
      <c r="J29" s="37">
        <v>359697.67776298523</v>
      </c>
      <c r="K29" s="37">
        <v>40615.369877815247</v>
      </c>
      <c r="L29" s="38">
        <v>1.3267080771817401</v>
      </c>
      <c r="M29" s="38">
        <v>1.6742063379983678</v>
      </c>
      <c r="N29" s="38">
        <v>8.2811929596558844</v>
      </c>
      <c r="O29" s="39">
        <v>140.73666120878411</v>
      </c>
      <c r="P29" s="39">
        <v>20.756674323255385</v>
      </c>
      <c r="Q29" s="39">
        <v>14.748590839783155</v>
      </c>
      <c r="R29" s="84">
        <v>405.36993677318918</v>
      </c>
      <c r="S29" s="81"/>
      <c r="T29" s="44">
        <v>434</v>
      </c>
      <c r="U29" s="44">
        <f t="shared" si="1"/>
        <v>-28.630063226810819</v>
      </c>
      <c r="W29" s="44">
        <f t="shared" si="2"/>
        <v>305.54569143371492</v>
      </c>
      <c r="X29" s="3">
        <v>163.12056484989071</v>
      </c>
      <c r="Y29" s="10">
        <f t="shared" si="3"/>
        <v>1.873127963447704</v>
      </c>
      <c r="AE29" s="1">
        <v>41090</v>
      </c>
      <c r="AF29" s="86">
        <v>1.873127963447704</v>
      </c>
      <c r="AG29" s="86">
        <v>1.7252084512333719</v>
      </c>
      <c r="AH29" s="86">
        <v>1.8952257572300737</v>
      </c>
      <c r="AI29" s="86">
        <v>1.8408881155697203</v>
      </c>
      <c r="AJ29" s="86">
        <v>1.7168508905958755</v>
      </c>
      <c r="AK29" s="86">
        <v>1.6992060404256428</v>
      </c>
      <c r="AL29" s="86">
        <v>2.3702899546191709</v>
      </c>
      <c r="AM29" s="86">
        <v>2.5098944708633875</v>
      </c>
      <c r="AN29" s="86">
        <v>2.0684888689393257</v>
      </c>
      <c r="AO29" s="86">
        <v>1.7811546436725392</v>
      </c>
      <c r="AP29" s="86">
        <v>1.3179967128246679</v>
      </c>
      <c r="AQ29" s="86">
        <v>1.8861333019924786</v>
      </c>
    </row>
    <row r="31" spans="1:43" x14ac:dyDescent="0.2">
      <c r="A31" s="12" t="s">
        <v>183</v>
      </c>
      <c r="B31" s="40" t="s">
        <v>0</v>
      </c>
      <c r="C31" s="41" t="s">
        <v>174</v>
      </c>
      <c r="D31" s="41" t="s">
        <v>178</v>
      </c>
      <c r="E31" s="41" t="s">
        <v>179</v>
      </c>
      <c r="F31" s="41" t="s">
        <v>2</v>
      </c>
      <c r="G31" s="41" t="s">
        <v>31</v>
      </c>
      <c r="H31" s="41" t="s">
        <v>41</v>
      </c>
      <c r="I31" s="41" t="s">
        <v>20</v>
      </c>
      <c r="J31" s="41" t="s">
        <v>3</v>
      </c>
      <c r="K31" s="41" t="s">
        <v>24</v>
      </c>
      <c r="L31" s="41" t="s">
        <v>5</v>
      </c>
      <c r="M31" s="41" t="s">
        <v>43</v>
      </c>
      <c r="N31" s="41" t="s">
        <v>6</v>
      </c>
      <c r="O31" s="41" t="s">
        <v>176</v>
      </c>
      <c r="P31" s="41" t="s">
        <v>21</v>
      </c>
      <c r="Q31" s="41" t="s">
        <v>177</v>
      </c>
      <c r="R31" s="83" t="s">
        <v>7</v>
      </c>
      <c r="T31" s="43" t="s">
        <v>324</v>
      </c>
      <c r="U31" s="43" t="s">
        <v>325</v>
      </c>
      <c r="V31" s="3"/>
      <c r="W31" s="35" t="str">
        <f>A31&amp;" spread per turn of leverage"</f>
        <v>EM IG spread per turn of leverage</v>
      </c>
      <c r="X31" s="3" t="s">
        <v>26</v>
      </c>
      <c r="Y31" t="str">
        <f>A31&amp;" vs. US spread per turn of leverage ratio"</f>
        <v>EM IG vs. US spread per turn of leverage ratio</v>
      </c>
    </row>
    <row r="32" spans="1:43" x14ac:dyDescent="0.2">
      <c r="A32" s="42" t="str">
        <f>$A$31&amp;$B32</f>
        <v>EM IG38807</v>
      </c>
      <c r="B32" s="1">
        <v>38807</v>
      </c>
      <c r="C32" s="34">
        <v>33</v>
      </c>
      <c r="D32" s="34">
        <v>33</v>
      </c>
      <c r="E32" s="37">
        <v>32</v>
      </c>
      <c r="F32" s="37">
        <v>184504.50382912159</v>
      </c>
      <c r="G32" s="37">
        <v>41567.006995469332</v>
      </c>
      <c r="H32" s="37">
        <v>142937.49683365226</v>
      </c>
      <c r="I32" s="37">
        <v>26565.046084418893</v>
      </c>
      <c r="J32" s="37">
        <v>165831.58181342483</v>
      </c>
      <c r="K32" s="37">
        <v>12210.446057453752</v>
      </c>
      <c r="L32" s="38">
        <v>0.86194375806213774</v>
      </c>
      <c r="M32" s="38">
        <v>1.1126017240594464</v>
      </c>
      <c r="N32" s="38">
        <v>13.400160167593723</v>
      </c>
      <c r="O32" s="39">
        <v>156.47255744777152</v>
      </c>
      <c r="P32" s="39">
        <v>22.528993131770115</v>
      </c>
      <c r="Q32" s="39">
        <v>14.398047491036884</v>
      </c>
      <c r="R32" s="44">
        <v>132.17785759706317</v>
      </c>
      <c r="S32" s="81"/>
      <c r="T32" s="35">
        <v>109</v>
      </c>
      <c r="U32" s="44">
        <f>R32-T32</f>
        <v>23.177857597063166</v>
      </c>
      <c r="W32" s="44">
        <f>R32/L32</f>
        <v>153.34858726076467</v>
      </c>
      <c r="X32" s="3">
        <v>52.365855337024819</v>
      </c>
      <c r="Y32" s="10">
        <f>W32/X32</f>
        <v>2.928407953499824</v>
      </c>
    </row>
    <row r="33" spans="1:25" x14ac:dyDescent="0.2">
      <c r="A33" s="42" t="str">
        <f t="shared" ref="A33:A57" si="4">$A$31&amp;$B33</f>
        <v>EM IG38898</v>
      </c>
      <c r="B33" s="1">
        <v>38898</v>
      </c>
      <c r="C33" s="34">
        <v>33</v>
      </c>
      <c r="D33" s="34">
        <v>33</v>
      </c>
      <c r="E33" s="37">
        <v>32</v>
      </c>
      <c r="F33" s="37">
        <v>191536.4365683794</v>
      </c>
      <c r="G33" s="37">
        <v>39867.53095176816</v>
      </c>
      <c r="H33" s="37">
        <v>151668.90561661124</v>
      </c>
      <c r="I33" s="37">
        <v>30712.797579780221</v>
      </c>
      <c r="J33" s="37">
        <v>179161.04044684768</v>
      </c>
      <c r="K33" s="37">
        <v>11992.067888393998</v>
      </c>
      <c r="L33" s="38">
        <v>0.84655070789013076</v>
      </c>
      <c r="M33" s="38">
        <v>1.0690741474299663</v>
      </c>
      <c r="N33" s="38">
        <v>14.732738674027885</v>
      </c>
      <c r="O33" s="39">
        <v>129.80755285547468</v>
      </c>
      <c r="P33" s="39">
        <v>20.814593643928038</v>
      </c>
      <c r="Q33" s="39">
        <v>16.034963440919821</v>
      </c>
      <c r="R33" s="44">
        <v>159.65185159409259</v>
      </c>
      <c r="S33" s="81"/>
      <c r="T33" s="35">
        <v>125</v>
      </c>
      <c r="U33" s="44">
        <f t="shared" ref="U33:U57" si="5">R33-T33</f>
        <v>34.651851594092591</v>
      </c>
      <c r="W33" s="44">
        <f t="shared" ref="W33:W57" si="6">R33/L33</f>
        <v>188.59100831891683</v>
      </c>
      <c r="X33" s="3">
        <v>56.118666413933049</v>
      </c>
      <c r="Y33" s="10">
        <f t="shared" ref="Y33:Y57" si="7">W33/X33</f>
        <v>3.3605753730472427</v>
      </c>
    </row>
    <row r="34" spans="1:25" x14ac:dyDescent="0.2">
      <c r="A34" s="42" t="str">
        <f t="shared" si="4"/>
        <v>EM IG38990</v>
      </c>
      <c r="B34" s="1">
        <v>38990</v>
      </c>
      <c r="C34" s="34">
        <v>35</v>
      </c>
      <c r="D34" s="34">
        <v>35</v>
      </c>
      <c r="E34" s="37">
        <v>33</v>
      </c>
      <c r="F34" s="37">
        <v>223336.72027504444</v>
      </c>
      <c r="G34" s="37">
        <v>44846.963618546724</v>
      </c>
      <c r="H34" s="37">
        <v>178489.75665649772</v>
      </c>
      <c r="I34" s="37">
        <v>42945.141768470407</v>
      </c>
      <c r="J34" s="37">
        <v>220814.90890082717</v>
      </c>
      <c r="K34" s="37">
        <v>12815.512851849198</v>
      </c>
      <c r="L34" s="38">
        <v>0.80832294134931526</v>
      </c>
      <c r="M34" s="38">
        <v>1.0114204760302208</v>
      </c>
      <c r="N34" s="38">
        <v>15.143200629812974</v>
      </c>
      <c r="O34" s="39">
        <v>104.42849126061706</v>
      </c>
      <c r="P34" s="39">
        <v>20.08042545055584</v>
      </c>
      <c r="Q34" s="39">
        <v>19.228876342225519</v>
      </c>
      <c r="R34" s="44">
        <v>143.50865260733838</v>
      </c>
      <c r="S34" s="81"/>
      <c r="T34" s="35">
        <v>119</v>
      </c>
      <c r="U34" s="44">
        <f t="shared" si="5"/>
        <v>24.508652607338377</v>
      </c>
      <c r="W34" s="44">
        <f t="shared" si="6"/>
        <v>177.53875990180686</v>
      </c>
      <c r="X34" s="3">
        <v>59.109252362488796</v>
      </c>
      <c r="Y34" s="10">
        <f t="shared" si="7"/>
        <v>3.0035697087326785</v>
      </c>
    </row>
    <row r="35" spans="1:25" x14ac:dyDescent="0.2">
      <c r="A35" s="42" t="str">
        <f t="shared" si="4"/>
        <v>EM IG39082</v>
      </c>
      <c r="B35" s="1">
        <v>39082</v>
      </c>
      <c r="C35" s="34">
        <v>37</v>
      </c>
      <c r="D35" s="34">
        <v>37</v>
      </c>
      <c r="E35" s="37">
        <v>34</v>
      </c>
      <c r="F35" s="37">
        <v>236469.2252188921</v>
      </c>
      <c r="G35" s="37">
        <v>58422.495536118746</v>
      </c>
      <c r="H35" s="37">
        <v>178046.72968277335</v>
      </c>
      <c r="I35" s="37">
        <v>47794.456037536263</v>
      </c>
      <c r="J35" s="37">
        <v>230744.37789496779</v>
      </c>
      <c r="K35" s="37">
        <v>12622.857416287065</v>
      </c>
      <c r="L35" s="38">
        <v>0.77161892873428184</v>
      </c>
      <c r="M35" s="38">
        <v>1.024810343706533</v>
      </c>
      <c r="N35" s="38">
        <v>16.167939911306942</v>
      </c>
      <c r="O35" s="39">
        <v>122.23697135549688</v>
      </c>
      <c r="P35" s="39">
        <v>24.706172856970664</v>
      </c>
      <c r="Q35" s="39">
        <v>20.211702386767008</v>
      </c>
      <c r="R35" s="44">
        <v>111.44682473927818</v>
      </c>
      <c r="S35" s="81"/>
      <c r="T35" s="35">
        <v>103</v>
      </c>
      <c r="U35" s="44">
        <f t="shared" si="5"/>
        <v>8.4468247392781848</v>
      </c>
      <c r="W35" s="44">
        <f t="shared" si="6"/>
        <v>144.43246606467909</v>
      </c>
      <c r="X35" s="3">
        <v>54.029478780440542</v>
      </c>
      <c r="Y35" s="10">
        <f t="shared" si="7"/>
        <v>2.6732159799580697</v>
      </c>
    </row>
    <row r="36" spans="1:25" x14ac:dyDescent="0.2">
      <c r="A36" s="42" t="str">
        <f t="shared" si="4"/>
        <v>EM IG39172</v>
      </c>
      <c r="B36" s="1">
        <v>39172</v>
      </c>
      <c r="C36" s="34">
        <v>42</v>
      </c>
      <c r="D36" s="34">
        <v>42</v>
      </c>
      <c r="E36" s="37">
        <v>38</v>
      </c>
      <c r="F36" s="37">
        <v>272633.02953100204</v>
      </c>
      <c r="G36" s="37">
        <v>84074.142383694649</v>
      </c>
      <c r="H36" s="37">
        <v>188558.8871473074</v>
      </c>
      <c r="I36" s="37">
        <v>65169.444447705522</v>
      </c>
      <c r="J36" s="37">
        <v>240781.35263410211</v>
      </c>
      <c r="K36" s="37">
        <v>13463.572681769729</v>
      </c>
      <c r="L36" s="38">
        <v>0.7831125005508488</v>
      </c>
      <c r="M36" s="38">
        <v>1.1322846497390626</v>
      </c>
      <c r="N36" s="38">
        <v>15.602985916543309</v>
      </c>
      <c r="O36" s="39">
        <v>129.00853014200385</v>
      </c>
      <c r="P36" s="39">
        <v>30.837841815543587</v>
      </c>
      <c r="Q36" s="39">
        <v>23.903723096138975</v>
      </c>
      <c r="R36" s="44">
        <v>116.96681338030744</v>
      </c>
      <c r="S36" s="81"/>
      <c r="T36" s="35">
        <v>105</v>
      </c>
      <c r="U36" s="44">
        <f t="shared" si="5"/>
        <v>11.966813380307443</v>
      </c>
      <c r="W36" s="44">
        <f t="shared" si="6"/>
        <v>149.36144334055692</v>
      </c>
      <c r="X36" s="3">
        <v>55.850401091700363</v>
      </c>
      <c r="Y36" s="10">
        <f t="shared" si="7"/>
        <v>2.6743128146084656</v>
      </c>
    </row>
    <row r="37" spans="1:25" x14ac:dyDescent="0.2">
      <c r="A37" s="42" t="str">
        <f t="shared" si="4"/>
        <v>EM IG39263</v>
      </c>
      <c r="B37" s="1">
        <v>39263</v>
      </c>
      <c r="C37" s="34">
        <v>42</v>
      </c>
      <c r="D37" s="34">
        <v>42</v>
      </c>
      <c r="E37" s="37">
        <v>38</v>
      </c>
      <c r="F37" s="37">
        <v>281843.67709350586</v>
      </c>
      <c r="G37" s="37">
        <v>87200.826889157295</v>
      </c>
      <c r="H37" s="37">
        <v>194642.85020434856</v>
      </c>
      <c r="I37" s="37">
        <v>66423.058087537065</v>
      </c>
      <c r="J37" s="37">
        <v>242922.54022565484</v>
      </c>
      <c r="K37" s="37">
        <v>14870.658947333694</v>
      </c>
      <c r="L37" s="38">
        <v>0.80125479514392339</v>
      </c>
      <c r="M37" s="38">
        <v>1.1602203600855503</v>
      </c>
      <c r="N37" s="38">
        <v>14.241720893774966</v>
      </c>
      <c r="O37" s="39">
        <v>131.28095784785728</v>
      </c>
      <c r="P37" s="39">
        <v>30.939429895469011</v>
      </c>
      <c r="Q37" s="39">
        <v>23.567340155550205</v>
      </c>
      <c r="R37" s="44">
        <v>113.26473784453243</v>
      </c>
      <c r="S37" s="81"/>
      <c r="T37" s="35">
        <v>106</v>
      </c>
      <c r="U37" s="44">
        <f t="shared" si="5"/>
        <v>7.2647378445324335</v>
      </c>
      <c r="W37" s="44">
        <f t="shared" si="6"/>
        <v>141.35920125655852</v>
      </c>
      <c r="X37" s="3">
        <v>58.330807203472979</v>
      </c>
      <c r="Y37" s="10">
        <f t="shared" si="7"/>
        <v>2.4234055387483493</v>
      </c>
    </row>
    <row r="38" spans="1:25" x14ac:dyDescent="0.2">
      <c r="A38" s="42" t="str">
        <f t="shared" si="4"/>
        <v>EM IG39355</v>
      </c>
      <c r="B38" s="1">
        <v>39355</v>
      </c>
      <c r="C38" s="34">
        <v>41</v>
      </c>
      <c r="D38" s="34">
        <v>41</v>
      </c>
      <c r="E38" s="37">
        <v>37</v>
      </c>
      <c r="F38" s="37">
        <v>285903.05618286133</v>
      </c>
      <c r="G38" s="37">
        <v>83246.219799160957</v>
      </c>
      <c r="H38" s="37">
        <v>202656.83638370037</v>
      </c>
      <c r="I38" s="37">
        <v>63104.088887402788</v>
      </c>
      <c r="J38" s="37">
        <v>242888.58986249566</v>
      </c>
      <c r="K38" s="37">
        <v>14897.030630454421</v>
      </c>
      <c r="L38" s="38">
        <v>0.83436128678761179</v>
      </c>
      <c r="M38" s="38">
        <v>1.1770954590527165</v>
      </c>
      <c r="N38" s="38">
        <v>14.184552222783458</v>
      </c>
      <c r="O38" s="39">
        <v>131.91889981598175</v>
      </c>
      <c r="P38" s="39">
        <v>29.11693946563388</v>
      </c>
      <c r="Q38" s="39">
        <v>22.071848314570623</v>
      </c>
      <c r="R38" s="44">
        <v>167.86789921944788</v>
      </c>
      <c r="S38" s="81"/>
      <c r="T38" s="35">
        <v>158</v>
      </c>
      <c r="U38" s="44">
        <f t="shared" si="5"/>
        <v>9.8678992194478781</v>
      </c>
      <c r="W38" s="44">
        <f t="shared" si="6"/>
        <v>201.19329824824311</v>
      </c>
      <c r="X38" s="3">
        <v>86.586343590452074</v>
      </c>
      <c r="Y38" s="10">
        <f t="shared" si="7"/>
        <v>2.3236146706907346</v>
      </c>
    </row>
    <row r="39" spans="1:25" x14ac:dyDescent="0.2">
      <c r="A39" s="42" t="str">
        <f t="shared" si="4"/>
        <v>EM IG39447</v>
      </c>
      <c r="B39" s="1">
        <v>39447</v>
      </c>
      <c r="C39" s="34">
        <v>45</v>
      </c>
      <c r="D39" s="34">
        <v>45</v>
      </c>
      <c r="E39" s="37">
        <v>42</v>
      </c>
      <c r="F39" s="37">
        <v>312162.31106567383</v>
      </c>
      <c r="G39" s="37">
        <v>71267.427318692207</v>
      </c>
      <c r="H39" s="37">
        <v>240894.88374698162</v>
      </c>
      <c r="I39" s="37">
        <v>75407.575579831377</v>
      </c>
      <c r="J39" s="37">
        <v>264726.18602338433</v>
      </c>
      <c r="K39" s="37">
        <v>18195.824989661574</v>
      </c>
      <c r="L39" s="38">
        <v>0.90997754081533289</v>
      </c>
      <c r="M39" s="38">
        <v>1.1791893947284053</v>
      </c>
      <c r="N39" s="38">
        <v>12.874272638455828</v>
      </c>
      <c r="O39" s="39">
        <v>94.509638813734114</v>
      </c>
      <c r="P39" s="39">
        <v>22.830247211905959</v>
      </c>
      <c r="Q39" s="39">
        <v>24.156527840405069</v>
      </c>
      <c r="R39" s="44">
        <v>248.33369407940833</v>
      </c>
      <c r="S39" s="81"/>
      <c r="T39" s="35">
        <v>221</v>
      </c>
      <c r="U39" s="44">
        <f t="shared" si="5"/>
        <v>27.333694079408332</v>
      </c>
      <c r="W39" s="44">
        <f t="shared" si="6"/>
        <v>272.90090462771559</v>
      </c>
      <c r="X39" s="3">
        <v>116.21456815653275</v>
      </c>
      <c r="Y39" s="10">
        <f t="shared" si="7"/>
        <v>2.3482503868201574</v>
      </c>
    </row>
    <row r="40" spans="1:25" x14ac:dyDescent="0.2">
      <c r="A40" s="42" t="str">
        <f t="shared" si="4"/>
        <v>EM IG39538</v>
      </c>
      <c r="B40" s="1">
        <v>39538</v>
      </c>
      <c r="C40" s="34">
        <v>46</v>
      </c>
      <c r="D40" s="34">
        <v>46</v>
      </c>
      <c r="E40" s="37">
        <v>44</v>
      </c>
      <c r="F40" s="37">
        <v>331124.62979125977</v>
      </c>
      <c r="G40" s="37">
        <v>85694.317398130894</v>
      </c>
      <c r="H40" s="37">
        <v>245430.31239312887</v>
      </c>
      <c r="I40" s="37">
        <v>78535.817773714662</v>
      </c>
      <c r="J40" s="37">
        <v>289558.80078876019</v>
      </c>
      <c r="K40" s="37">
        <v>21607.567970924079</v>
      </c>
      <c r="L40" s="38">
        <v>0.84760094227692262</v>
      </c>
      <c r="M40" s="38">
        <v>1.1435488366759152</v>
      </c>
      <c r="N40" s="38">
        <v>12.125961024334524</v>
      </c>
      <c r="O40" s="39">
        <v>109.1149488568923</v>
      </c>
      <c r="P40" s="39">
        <v>25.879777488057108</v>
      </c>
      <c r="Q40" s="39">
        <v>23.717902779755001</v>
      </c>
      <c r="R40" s="44">
        <v>342.28291685589858</v>
      </c>
      <c r="S40" s="81"/>
      <c r="T40" s="35">
        <v>313</v>
      </c>
      <c r="U40" s="44">
        <f t="shared" si="5"/>
        <v>29.282916855898577</v>
      </c>
      <c r="W40" s="44">
        <f t="shared" si="6"/>
        <v>403.82555018924239</v>
      </c>
      <c r="X40" s="3">
        <v>165.29427002345625</v>
      </c>
      <c r="Y40" s="10">
        <f t="shared" si="7"/>
        <v>2.4430704714200746</v>
      </c>
    </row>
    <row r="41" spans="1:25" x14ac:dyDescent="0.2">
      <c r="A41" s="42" t="str">
        <f t="shared" si="4"/>
        <v>EM IG39629</v>
      </c>
      <c r="B41" s="1">
        <v>39629</v>
      </c>
      <c r="C41" s="34">
        <v>50</v>
      </c>
      <c r="D41" s="34">
        <v>50</v>
      </c>
      <c r="E41" s="37">
        <v>48</v>
      </c>
      <c r="F41" s="37">
        <v>366220.41473388672</v>
      </c>
      <c r="G41" s="37">
        <v>96891.908025801182</v>
      </c>
      <c r="H41" s="37">
        <v>269328.50670808554</v>
      </c>
      <c r="I41" s="37">
        <v>73544.46899689734</v>
      </c>
      <c r="J41" s="37">
        <v>338025.71533954144</v>
      </c>
      <c r="K41" s="37">
        <v>22743.873570136726</v>
      </c>
      <c r="L41" s="38">
        <v>0.79676928259008151</v>
      </c>
      <c r="M41" s="38">
        <v>1.0834099244964963</v>
      </c>
      <c r="N41" s="38">
        <v>13.482020219828016</v>
      </c>
      <c r="O41" s="39">
        <v>131.74601618224861</v>
      </c>
      <c r="P41" s="39">
        <v>26.457265659591229</v>
      </c>
      <c r="Q41" s="39">
        <v>20.08202329472492</v>
      </c>
      <c r="R41" s="44">
        <v>290.26156346512596</v>
      </c>
      <c r="S41" s="81"/>
      <c r="T41" s="35">
        <v>281</v>
      </c>
      <c r="U41" s="44">
        <f t="shared" si="5"/>
        <v>9.2615634651259597</v>
      </c>
      <c r="W41" s="44">
        <f t="shared" si="6"/>
        <v>364.29813473928624</v>
      </c>
      <c r="X41" s="3">
        <v>149.99528727700684</v>
      </c>
      <c r="Y41" s="10">
        <f t="shared" si="7"/>
        <v>2.4287305378235735</v>
      </c>
    </row>
    <row r="42" spans="1:25" x14ac:dyDescent="0.2">
      <c r="A42" s="42" t="str">
        <f t="shared" si="4"/>
        <v>EM IG39721</v>
      </c>
      <c r="B42" s="1">
        <v>39721</v>
      </c>
      <c r="C42" s="34">
        <v>50</v>
      </c>
      <c r="D42" s="34">
        <v>50</v>
      </c>
      <c r="E42" s="37">
        <v>48</v>
      </c>
      <c r="F42" s="37">
        <v>381424.28283691406</v>
      </c>
      <c r="G42" s="37">
        <v>109825.9312877655</v>
      </c>
      <c r="H42" s="37">
        <v>271598.35154914856</v>
      </c>
      <c r="I42" s="37">
        <v>74574.869566917419</v>
      </c>
      <c r="J42" s="37">
        <v>369612.07730102539</v>
      </c>
      <c r="K42" s="37">
        <v>23899.18878364563</v>
      </c>
      <c r="L42" s="38">
        <v>0.73482001327556479</v>
      </c>
      <c r="M42" s="38">
        <v>1.0319583862684996</v>
      </c>
      <c r="N42" s="38">
        <v>14.04988305014526</v>
      </c>
      <c r="O42" s="39">
        <v>147.26935752695704</v>
      </c>
      <c r="P42" s="39">
        <v>28.793639060133959</v>
      </c>
      <c r="Q42" s="39">
        <v>19.551683760733049</v>
      </c>
      <c r="R42" s="44">
        <v>481.23593585515033</v>
      </c>
      <c r="S42" s="81"/>
      <c r="T42" s="35">
        <v>472</v>
      </c>
      <c r="U42" s="44">
        <f t="shared" si="5"/>
        <v>9.2359358551503306</v>
      </c>
      <c r="W42" s="44">
        <f t="shared" si="6"/>
        <v>654.90314248515449</v>
      </c>
      <c r="X42" s="3">
        <v>253.25172981643445</v>
      </c>
      <c r="Y42" s="10">
        <f t="shared" si="7"/>
        <v>2.58597697618828</v>
      </c>
    </row>
    <row r="43" spans="1:25" x14ac:dyDescent="0.2">
      <c r="A43" s="42" t="str">
        <f t="shared" si="4"/>
        <v>EM IG39813</v>
      </c>
      <c r="B43" s="1">
        <v>39813</v>
      </c>
      <c r="C43" s="34">
        <v>48</v>
      </c>
      <c r="D43" s="34">
        <v>48</v>
      </c>
      <c r="E43" s="37">
        <v>44</v>
      </c>
      <c r="F43" s="37">
        <v>364816.62506103516</v>
      </c>
      <c r="G43" s="37">
        <v>106737.62193489075</v>
      </c>
      <c r="H43" s="37">
        <v>258079.00312614441</v>
      </c>
      <c r="I43" s="37">
        <v>78407.860040664673</v>
      </c>
      <c r="J43" s="37">
        <v>345891.60221862793</v>
      </c>
      <c r="K43" s="37">
        <v>21267.210004806519</v>
      </c>
      <c r="L43" s="38">
        <v>0.74612682548742615</v>
      </c>
      <c r="M43" s="38">
        <v>1.0547137389893764</v>
      </c>
      <c r="N43" s="38">
        <v>14.53859199963073</v>
      </c>
      <c r="O43" s="39">
        <v>136.13127801158379</v>
      </c>
      <c r="P43" s="39">
        <v>29.257883167203019</v>
      </c>
      <c r="Q43" s="39">
        <v>21.492403211489268</v>
      </c>
      <c r="R43" s="84">
        <v>819.18452649137851</v>
      </c>
      <c r="S43" s="81"/>
      <c r="T43" s="35">
        <v>851</v>
      </c>
      <c r="U43" s="44">
        <f t="shared" si="5"/>
        <v>-31.815473508621494</v>
      </c>
      <c r="W43" s="44">
        <f t="shared" si="6"/>
        <v>1097.9159286442027</v>
      </c>
      <c r="X43" s="3">
        <v>333.7263516235501</v>
      </c>
      <c r="Y43" s="10">
        <f t="shared" si="7"/>
        <v>3.2898688500411666</v>
      </c>
    </row>
    <row r="44" spans="1:25" x14ac:dyDescent="0.2">
      <c r="A44" s="42" t="str">
        <f t="shared" si="4"/>
        <v>EM IG39903</v>
      </c>
      <c r="B44" s="1">
        <v>39903</v>
      </c>
      <c r="C44" s="34">
        <v>48</v>
      </c>
      <c r="D44" s="34">
        <v>48</v>
      </c>
      <c r="E44" s="37">
        <v>44</v>
      </c>
      <c r="F44" s="37">
        <v>378586.18194580078</v>
      </c>
      <c r="G44" s="37">
        <v>112731.6030960083</v>
      </c>
      <c r="H44" s="37">
        <v>265854.57884979248</v>
      </c>
      <c r="I44" s="37">
        <v>78595.580250740051</v>
      </c>
      <c r="J44" s="37">
        <v>309647.01013183594</v>
      </c>
      <c r="K44" s="37">
        <v>21192.532095909119</v>
      </c>
      <c r="L44" s="38">
        <v>0.85857305302770948</v>
      </c>
      <c r="M44" s="38">
        <v>1.2226379379042387</v>
      </c>
      <c r="N44" s="38">
        <v>12.968675707464344</v>
      </c>
      <c r="O44" s="39">
        <v>143.43249675918872</v>
      </c>
      <c r="P44" s="39">
        <v>29.77699886366883</v>
      </c>
      <c r="Q44" s="39">
        <v>20.76028761715132</v>
      </c>
      <c r="R44" s="44">
        <v>668.94547015864998</v>
      </c>
      <c r="S44" s="81"/>
      <c r="T44" s="35">
        <v>706</v>
      </c>
      <c r="U44" s="44">
        <f t="shared" si="5"/>
        <v>-37.054529841350018</v>
      </c>
      <c r="W44" s="44">
        <f t="shared" si="6"/>
        <v>779.13634465890993</v>
      </c>
      <c r="X44" s="3">
        <v>376.37090280999524</v>
      </c>
      <c r="Y44" s="10">
        <f t="shared" si="7"/>
        <v>2.070129063755612</v>
      </c>
    </row>
    <row r="45" spans="1:25" x14ac:dyDescent="0.2">
      <c r="A45" s="42" t="str">
        <f t="shared" si="4"/>
        <v>EM IG39994</v>
      </c>
      <c r="B45" s="1">
        <v>39994</v>
      </c>
      <c r="C45" s="34">
        <v>49</v>
      </c>
      <c r="D45" s="34">
        <v>49</v>
      </c>
      <c r="E45" s="37">
        <v>45</v>
      </c>
      <c r="F45" s="37">
        <v>425309.56030273437</v>
      </c>
      <c r="G45" s="37">
        <v>125586.31197357178</v>
      </c>
      <c r="H45" s="37">
        <v>299723.2483291626</v>
      </c>
      <c r="I45" s="37">
        <v>83450.709056854248</v>
      </c>
      <c r="J45" s="37">
        <v>269246.43642425537</v>
      </c>
      <c r="K45" s="37">
        <v>22850.503480911255</v>
      </c>
      <c r="L45" s="38">
        <v>1.1131930000993011</v>
      </c>
      <c r="M45" s="38">
        <v>1.5796293015093732</v>
      </c>
      <c r="N45" s="38">
        <v>10.38835670787287</v>
      </c>
      <c r="O45" s="39">
        <v>150.49160563514315</v>
      </c>
      <c r="P45" s="39">
        <v>29.52821278792316</v>
      </c>
      <c r="Q45" s="39">
        <v>19.621169342502959</v>
      </c>
      <c r="R45" s="44">
        <v>449.34324214257299</v>
      </c>
      <c r="S45" s="81"/>
      <c r="T45" s="35">
        <v>439</v>
      </c>
      <c r="U45" s="44">
        <f t="shared" si="5"/>
        <v>10.34324214257299</v>
      </c>
      <c r="W45" s="44">
        <f t="shared" si="6"/>
        <v>403.65259402681284</v>
      </c>
      <c r="X45" s="3">
        <v>214.99974301240138</v>
      </c>
      <c r="Y45" s="10">
        <f t="shared" si="7"/>
        <v>1.8774561698128625</v>
      </c>
    </row>
    <row r="46" spans="1:25" x14ac:dyDescent="0.2">
      <c r="A46" s="42" t="str">
        <f t="shared" si="4"/>
        <v>EM IG40086</v>
      </c>
      <c r="B46" s="1">
        <v>40086</v>
      </c>
      <c r="C46" s="34">
        <v>49</v>
      </c>
      <c r="D46" s="34">
        <v>49</v>
      </c>
      <c r="E46" s="37">
        <v>45</v>
      </c>
      <c r="F46" s="37">
        <v>448752.11059570313</v>
      </c>
      <c r="G46" s="37">
        <v>136910.4730758667</v>
      </c>
      <c r="H46" s="37">
        <v>311841.63751983643</v>
      </c>
      <c r="I46" s="37">
        <v>81110.369953632355</v>
      </c>
      <c r="J46" s="37">
        <v>240010.17533874512</v>
      </c>
      <c r="K46" s="37">
        <v>21244.917207717896</v>
      </c>
      <c r="L46" s="38">
        <v>1.2992850702255017</v>
      </c>
      <c r="M46" s="38">
        <v>1.869721189788492</v>
      </c>
      <c r="N46" s="38">
        <v>9.8869945190145163</v>
      </c>
      <c r="O46" s="39">
        <v>168.7952763057709</v>
      </c>
      <c r="P46" s="39">
        <v>30.509154128349998</v>
      </c>
      <c r="Q46" s="39">
        <v>18.074649241417738</v>
      </c>
      <c r="R46" s="44">
        <v>313.45725654806432</v>
      </c>
      <c r="S46" s="81"/>
      <c r="T46" s="35">
        <v>308</v>
      </c>
      <c r="U46" s="44">
        <f t="shared" si="5"/>
        <v>5.457256548064322</v>
      </c>
      <c r="W46" s="44">
        <f t="shared" si="6"/>
        <v>241.25364304668045</v>
      </c>
      <c r="X46" s="3">
        <v>150.78370507926257</v>
      </c>
      <c r="Y46" s="10">
        <f t="shared" si="7"/>
        <v>1.5999981093438478</v>
      </c>
    </row>
    <row r="47" spans="1:25" x14ac:dyDescent="0.2">
      <c r="A47" s="42" t="str">
        <f t="shared" si="4"/>
        <v>EM IG40178</v>
      </c>
      <c r="B47" s="1">
        <v>40178</v>
      </c>
      <c r="C47" s="34">
        <v>50</v>
      </c>
      <c r="D47" s="34">
        <v>50</v>
      </c>
      <c r="E47" s="37">
        <v>49</v>
      </c>
      <c r="F47" s="37">
        <v>471742.85784912109</v>
      </c>
      <c r="G47" s="37">
        <v>135834.66572570801</v>
      </c>
      <c r="H47" s="37">
        <v>335908.19212341309</v>
      </c>
      <c r="I47" s="37">
        <v>77482.257782459259</v>
      </c>
      <c r="J47" s="37">
        <v>252738.88051986694</v>
      </c>
      <c r="K47" s="37">
        <v>24836.387557029724</v>
      </c>
      <c r="L47" s="38">
        <v>1.3290720898679003</v>
      </c>
      <c r="M47" s="38">
        <v>1.8665227007367353</v>
      </c>
      <c r="N47" s="38">
        <v>10.146081648922799</v>
      </c>
      <c r="O47" s="39">
        <v>175.31067061452976</v>
      </c>
      <c r="P47" s="39">
        <v>28.7942177535102</v>
      </c>
      <c r="Q47" s="39">
        <v>16.424680627012407</v>
      </c>
      <c r="R47" s="44">
        <v>265.64495923344168</v>
      </c>
      <c r="S47" s="81"/>
      <c r="T47" s="35">
        <v>257</v>
      </c>
      <c r="U47" s="44">
        <f t="shared" si="5"/>
        <v>8.644959233441682</v>
      </c>
      <c r="W47" s="44">
        <f t="shared" si="6"/>
        <v>199.87249845856351</v>
      </c>
      <c r="X47" s="3">
        <v>124.9338562658512</v>
      </c>
      <c r="Y47" s="10">
        <f t="shared" si="7"/>
        <v>1.5998265356769881</v>
      </c>
    </row>
    <row r="48" spans="1:25" x14ac:dyDescent="0.2">
      <c r="A48" s="42" t="str">
        <f t="shared" si="4"/>
        <v>EM IG40268</v>
      </c>
      <c r="B48" s="1">
        <v>40268</v>
      </c>
      <c r="C48" s="34">
        <v>54</v>
      </c>
      <c r="D48" s="34">
        <v>56</v>
      </c>
      <c r="E48" s="37">
        <v>53</v>
      </c>
      <c r="F48" s="37">
        <v>476195.77026367187</v>
      </c>
      <c r="G48" s="37">
        <v>143483.58721923828</v>
      </c>
      <c r="H48" s="37">
        <v>332712.18304443359</v>
      </c>
      <c r="I48" s="37">
        <v>84949.797836303711</v>
      </c>
      <c r="J48" s="37">
        <v>286026.21183013916</v>
      </c>
      <c r="K48" s="37">
        <v>26016.143177986145</v>
      </c>
      <c r="L48" s="38">
        <v>1.1632227022676493</v>
      </c>
      <c r="M48" s="38">
        <v>1.6648675910390607</v>
      </c>
      <c r="N48" s="38">
        <v>10.960097577140431</v>
      </c>
      <c r="O48" s="39">
        <v>171.55287665338503</v>
      </c>
      <c r="P48" s="39">
        <v>30.068642184043082</v>
      </c>
      <c r="Q48" s="39">
        <v>17.527331963541151</v>
      </c>
      <c r="R48" s="44">
        <v>220.84762607292294</v>
      </c>
      <c r="S48" s="81"/>
      <c r="T48" s="35">
        <v>210</v>
      </c>
      <c r="U48" s="44">
        <f t="shared" si="5"/>
        <v>10.847626072922935</v>
      </c>
      <c r="W48" s="44">
        <f t="shared" si="6"/>
        <v>189.85842147199381</v>
      </c>
      <c r="X48" s="3">
        <v>106.42294796763866</v>
      </c>
      <c r="Y48" s="10">
        <f t="shared" si="7"/>
        <v>1.7839988940141593</v>
      </c>
    </row>
    <row r="49" spans="1:25" x14ac:dyDescent="0.2">
      <c r="A49" s="42" t="str">
        <f t="shared" si="4"/>
        <v>EM IG40359</v>
      </c>
      <c r="B49" s="1">
        <v>40359</v>
      </c>
      <c r="C49" s="34">
        <v>58</v>
      </c>
      <c r="D49" s="34">
        <v>59</v>
      </c>
      <c r="E49" s="37">
        <v>57</v>
      </c>
      <c r="F49" s="37">
        <v>491114.26330566406</v>
      </c>
      <c r="G49" s="37">
        <v>143843.76181030273</v>
      </c>
      <c r="H49" s="37">
        <v>347270.50149536133</v>
      </c>
      <c r="I49" s="37">
        <v>92966.315975189209</v>
      </c>
      <c r="J49" s="37">
        <v>311275.54681396484</v>
      </c>
      <c r="K49" s="37">
        <v>27623.61369228363</v>
      </c>
      <c r="L49" s="38">
        <v>1.1156369494803555</v>
      </c>
      <c r="M49" s="38">
        <v>1.5777476526261813</v>
      </c>
      <c r="N49" s="38">
        <v>11.2312938930852</v>
      </c>
      <c r="O49" s="39">
        <v>155.4772209400021</v>
      </c>
      <c r="P49" s="39">
        <v>29.173666377558533</v>
      </c>
      <c r="Q49" s="39">
        <v>18.763948957395186</v>
      </c>
      <c r="R49" s="44">
        <v>296.80894111470224</v>
      </c>
      <c r="S49" s="81"/>
      <c r="T49" s="35">
        <v>281</v>
      </c>
      <c r="U49" s="44">
        <f t="shared" si="5"/>
        <v>15.808941114702236</v>
      </c>
      <c r="W49" s="44">
        <f t="shared" si="6"/>
        <v>266.0443805244625</v>
      </c>
      <c r="X49" s="3">
        <v>121.74346129230921</v>
      </c>
      <c r="Y49" s="10">
        <f t="shared" si="7"/>
        <v>2.1852868129458143</v>
      </c>
    </row>
    <row r="50" spans="1:25" x14ac:dyDescent="0.2">
      <c r="A50" s="42" t="str">
        <f t="shared" si="4"/>
        <v>EM IG40451</v>
      </c>
      <c r="B50" s="1">
        <v>40451</v>
      </c>
      <c r="C50" s="34">
        <v>59</v>
      </c>
      <c r="D50" s="34">
        <v>60</v>
      </c>
      <c r="E50" s="37">
        <v>57</v>
      </c>
      <c r="F50" s="37">
        <v>510249.26513671875</v>
      </c>
      <c r="G50" s="37">
        <v>170964.71984100342</v>
      </c>
      <c r="H50" s="37">
        <v>339284.54529571533</v>
      </c>
      <c r="I50" s="37">
        <v>90779.572023391724</v>
      </c>
      <c r="J50" s="37">
        <v>328909.40829467773</v>
      </c>
      <c r="K50" s="37">
        <v>28017.294743537903</v>
      </c>
      <c r="L50" s="38">
        <v>1.0315440566289373</v>
      </c>
      <c r="M50" s="38">
        <v>1.551336788394859</v>
      </c>
      <c r="N50" s="38">
        <v>11.271432328075372</v>
      </c>
      <c r="O50" s="39">
        <v>189.09805223028897</v>
      </c>
      <c r="P50" s="39">
        <v>33.359272750362649</v>
      </c>
      <c r="Q50" s="39">
        <v>17.641256669178581</v>
      </c>
      <c r="R50" s="44">
        <v>255.24850905776756</v>
      </c>
      <c r="S50" s="81"/>
      <c r="T50" s="35">
        <v>245</v>
      </c>
      <c r="U50" s="44">
        <f t="shared" si="5"/>
        <v>10.248509057767563</v>
      </c>
      <c r="W50" s="44">
        <f t="shared" si="6"/>
        <v>247.44314837304566</v>
      </c>
      <c r="X50" s="3">
        <v>112.8669491979097</v>
      </c>
      <c r="Y50" s="10">
        <f t="shared" si="7"/>
        <v>2.1923437297765491</v>
      </c>
    </row>
    <row r="51" spans="1:25" x14ac:dyDescent="0.2">
      <c r="A51" s="42" t="str">
        <f t="shared" si="4"/>
        <v>EM IG40543</v>
      </c>
      <c r="B51" s="1">
        <v>40543</v>
      </c>
      <c r="C51" s="34">
        <v>67</v>
      </c>
      <c r="D51" s="34">
        <v>68</v>
      </c>
      <c r="E51" s="37">
        <v>65</v>
      </c>
      <c r="F51" s="37">
        <v>587383.44500732422</v>
      </c>
      <c r="G51" s="37">
        <v>180369.23100280762</v>
      </c>
      <c r="H51" s="37">
        <v>407014.2140045166</v>
      </c>
      <c r="I51" s="37">
        <v>91580.773788928986</v>
      </c>
      <c r="J51" s="37">
        <v>369220.66522216797</v>
      </c>
      <c r="K51" s="37">
        <v>29622.033079147339</v>
      </c>
      <c r="L51" s="38">
        <v>1.102360329044983</v>
      </c>
      <c r="M51" s="38">
        <v>1.5908736978573046</v>
      </c>
      <c r="N51" s="38">
        <v>12.020735164721794</v>
      </c>
      <c r="O51" s="39">
        <v>197.71280170480398</v>
      </c>
      <c r="P51" s="39">
        <v>30.600051461553225</v>
      </c>
      <c r="Q51" s="39">
        <v>15.477020808819841</v>
      </c>
      <c r="R51" s="44">
        <v>233.14281145951315</v>
      </c>
      <c r="S51" s="81"/>
      <c r="T51" s="35">
        <v>226</v>
      </c>
      <c r="U51" s="44">
        <f t="shared" si="5"/>
        <v>7.1428114595131547</v>
      </c>
      <c r="W51" s="44">
        <f t="shared" si="6"/>
        <v>211.49419596902013</v>
      </c>
      <c r="X51" s="3">
        <v>121.01309651215067</v>
      </c>
      <c r="Y51" s="10">
        <f t="shared" si="7"/>
        <v>1.7476967540268209</v>
      </c>
    </row>
    <row r="52" spans="1:25" x14ac:dyDescent="0.2">
      <c r="A52" s="42" t="str">
        <f t="shared" si="4"/>
        <v>EM IG40633</v>
      </c>
      <c r="B52" s="1">
        <v>40633</v>
      </c>
      <c r="C52" s="34">
        <v>63</v>
      </c>
      <c r="D52" s="34">
        <v>66</v>
      </c>
      <c r="E52" s="37">
        <v>61</v>
      </c>
      <c r="F52" s="37">
        <v>577878.86059570313</v>
      </c>
      <c r="G52" s="37">
        <v>190935.97856521606</v>
      </c>
      <c r="H52" s="37">
        <v>386942.88203048706</v>
      </c>
      <c r="I52" s="37">
        <v>90215.734145641327</v>
      </c>
      <c r="J52" s="37">
        <v>391080.59771728516</v>
      </c>
      <c r="K52" s="37">
        <v>28752.252319335938</v>
      </c>
      <c r="L52" s="38">
        <v>0.98941978786227258</v>
      </c>
      <c r="M52" s="38">
        <v>1.4776464594990102</v>
      </c>
      <c r="N52" s="38">
        <v>13.187886928066789</v>
      </c>
      <c r="O52" s="39">
        <v>219.4237231407198</v>
      </c>
      <c r="P52" s="39">
        <v>33.094960863022379</v>
      </c>
      <c r="Q52" s="39">
        <v>15.08267218754559</v>
      </c>
      <c r="R52" s="44">
        <v>199.09474553773347</v>
      </c>
      <c r="S52" s="81"/>
      <c r="T52" s="35">
        <v>200</v>
      </c>
      <c r="U52" s="44">
        <f t="shared" si="5"/>
        <v>-0.90525446226652662</v>
      </c>
      <c r="W52" s="44">
        <f t="shared" si="6"/>
        <v>201.22373534482767</v>
      </c>
      <c r="X52" s="3">
        <v>107.30194647284836</v>
      </c>
      <c r="Y52" s="10">
        <f t="shared" si="7"/>
        <v>1.8753036823590636</v>
      </c>
    </row>
    <row r="53" spans="1:25" x14ac:dyDescent="0.2">
      <c r="A53" s="42" t="str">
        <f t="shared" si="4"/>
        <v>EM IG40724</v>
      </c>
      <c r="B53" s="1">
        <v>40724</v>
      </c>
      <c r="C53" s="34">
        <v>65</v>
      </c>
      <c r="D53" s="34">
        <v>67</v>
      </c>
      <c r="E53" s="37">
        <v>63</v>
      </c>
      <c r="F53" s="37">
        <v>598732.77215576172</v>
      </c>
      <c r="G53" s="37">
        <v>183164.14609146118</v>
      </c>
      <c r="H53" s="37">
        <v>415568.62606430054</v>
      </c>
      <c r="I53" s="37">
        <v>94587.733444690704</v>
      </c>
      <c r="J53" s="37">
        <v>422059.57572937012</v>
      </c>
      <c r="K53" s="37">
        <v>28979.559491157532</v>
      </c>
      <c r="L53" s="38">
        <v>0.98462077384726454</v>
      </c>
      <c r="M53" s="38">
        <v>1.4185977681493871</v>
      </c>
      <c r="N53" s="38">
        <v>14.157310647513285</v>
      </c>
      <c r="O53" s="39">
        <v>196.92565426804103</v>
      </c>
      <c r="P53" s="39">
        <v>30.719616961282938</v>
      </c>
      <c r="Q53" s="39">
        <v>15.599601319323082</v>
      </c>
      <c r="R53" s="44">
        <v>227.34677168772274</v>
      </c>
      <c r="S53" s="81"/>
      <c r="T53" s="35">
        <v>222</v>
      </c>
      <c r="U53" s="44">
        <f t="shared" si="5"/>
        <v>5.346771687722736</v>
      </c>
      <c r="W53" s="44">
        <f t="shared" si="6"/>
        <v>230.89780119039924</v>
      </c>
      <c r="X53" s="3">
        <v>120.45643531081808</v>
      </c>
      <c r="Y53" s="10">
        <f t="shared" si="7"/>
        <v>1.9168573318196351</v>
      </c>
    </row>
    <row r="54" spans="1:25" x14ac:dyDescent="0.2">
      <c r="A54" s="42" t="str">
        <f t="shared" si="4"/>
        <v>EM IG40816</v>
      </c>
      <c r="B54" s="1">
        <v>40816</v>
      </c>
      <c r="C54" s="34">
        <v>64</v>
      </c>
      <c r="D54" s="34">
        <v>66</v>
      </c>
      <c r="E54" s="37">
        <v>64</v>
      </c>
      <c r="F54" s="37">
        <v>563819.06115722656</v>
      </c>
      <c r="G54" s="37">
        <v>161968.21482849121</v>
      </c>
      <c r="H54" s="37">
        <v>401850.84632873535</v>
      </c>
      <c r="I54" s="37">
        <v>99057.878247380257</v>
      </c>
      <c r="J54" s="37">
        <v>430874.44215393066</v>
      </c>
      <c r="K54" s="37">
        <v>29984.902346611023</v>
      </c>
      <c r="L54" s="38">
        <v>0.93264024739989893</v>
      </c>
      <c r="M54" s="38">
        <v>1.3085460774575282</v>
      </c>
      <c r="N54" s="38">
        <v>14.369713036688589</v>
      </c>
      <c r="O54" s="39">
        <v>169.89112415945002</v>
      </c>
      <c r="P54" s="39">
        <v>28.77916460471231</v>
      </c>
      <c r="Q54" s="39">
        <v>16.939769365291767</v>
      </c>
      <c r="R54" s="44">
        <v>383.25618030252036</v>
      </c>
      <c r="S54" s="81"/>
      <c r="T54" s="35">
        <v>361</v>
      </c>
      <c r="U54" s="44">
        <f t="shared" si="5"/>
        <v>22.256180302520363</v>
      </c>
      <c r="W54" s="44">
        <f t="shared" si="6"/>
        <v>410.93678014754084</v>
      </c>
      <c r="X54" s="3">
        <v>192.22718757278759</v>
      </c>
      <c r="Y54" s="10">
        <f t="shared" si="7"/>
        <v>2.1377661783244788</v>
      </c>
    </row>
    <row r="55" spans="1:25" x14ac:dyDescent="0.2">
      <c r="A55" s="42" t="str">
        <f t="shared" si="4"/>
        <v>EM IG40908</v>
      </c>
      <c r="B55" s="1">
        <v>40908</v>
      </c>
      <c r="C55" s="34">
        <v>57</v>
      </c>
      <c r="D55" s="34">
        <v>57</v>
      </c>
      <c r="E55" s="37">
        <v>57</v>
      </c>
      <c r="F55" s="37">
        <v>549768.83197021484</v>
      </c>
      <c r="G55" s="37">
        <v>148826.93225204945</v>
      </c>
      <c r="H55" s="37">
        <v>400941.8997181654</v>
      </c>
      <c r="I55" s="37">
        <v>86711.607012271881</v>
      </c>
      <c r="J55" s="37">
        <v>427074.56009674072</v>
      </c>
      <c r="K55" s="37">
        <v>39393.393478393555</v>
      </c>
      <c r="L55" s="38">
        <v>0.93881007482006007</v>
      </c>
      <c r="M55" s="38">
        <v>1.2872900503501812</v>
      </c>
      <c r="N55" s="38">
        <v>10.841273685420935</v>
      </c>
      <c r="O55" s="39">
        <v>171.63438365406685</v>
      </c>
      <c r="P55" s="39">
        <v>27.070820242518316</v>
      </c>
      <c r="Q55" s="39">
        <v>15.772375945999373</v>
      </c>
      <c r="R55" s="44">
        <v>345.11598906111277</v>
      </c>
      <c r="S55" s="81"/>
      <c r="T55" s="35">
        <v>336</v>
      </c>
      <c r="U55" s="44">
        <f t="shared" si="5"/>
        <v>9.1159890611127707</v>
      </c>
      <c r="W55" s="44">
        <f t="shared" si="6"/>
        <v>367.61001859429393</v>
      </c>
      <c r="X55" s="3">
        <v>194.86698227275534</v>
      </c>
      <c r="Y55" s="10">
        <f t="shared" si="7"/>
        <v>1.8864664208724193</v>
      </c>
    </row>
    <row r="56" spans="1:25" x14ac:dyDescent="0.2">
      <c r="A56" s="42" t="str">
        <f t="shared" si="4"/>
        <v>EM IG40999</v>
      </c>
      <c r="B56" s="1">
        <v>40999</v>
      </c>
      <c r="C56" s="34">
        <v>48</v>
      </c>
      <c r="D56" s="34">
        <v>49</v>
      </c>
      <c r="E56" s="37">
        <v>48</v>
      </c>
      <c r="F56" s="37">
        <v>521705.90748596191</v>
      </c>
      <c r="G56" s="37">
        <v>152704.47008132935</v>
      </c>
      <c r="H56" s="37">
        <v>369001.43740463257</v>
      </c>
      <c r="I56" s="37">
        <v>87785.991621017456</v>
      </c>
      <c r="J56" s="37">
        <v>412782.94485855103</v>
      </c>
      <c r="K56" s="37">
        <v>44589.797674179077</v>
      </c>
      <c r="L56" s="38">
        <v>0.89393576454831214</v>
      </c>
      <c r="M56" s="38">
        <v>1.2638746682345021</v>
      </c>
      <c r="N56" s="38">
        <v>9.2573406112937828</v>
      </c>
      <c r="O56" s="39">
        <v>174.21266004036048</v>
      </c>
      <c r="P56" s="39">
        <v>29.269104093349636</v>
      </c>
      <c r="Q56" s="39">
        <v>16.800790531852712</v>
      </c>
      <c r="R56" s="44">
        <v>251.85863792456416</v>
      </c>
      <c r="S56" s="81"/>
      <c r="T56" s="35">
        <v>262</v>
      </c>
      <c r="U56" s="44">
        <f t="shared" si="5"/>
        <v>-10.141362075435836</v>
      </c>
      <c r="W56" s="44">
        <f t="shared" si="6"/>
        <v>281.74131510648675</v>
      </c>
      <c r="X56" s="3">
        <v>140.73485509079555</v>
      </c>
      <c r="Y56" s="10">
        <f t="shared" si="7"/>
        <v>2.0019299051732453</v>
      </c>
    </row>
    <row r="57" spans="1:25" x14ac:dyDescent="0.2">
      <c r="A57" s="42" t="str">
        <f t="shared" si="4"/>
        <v>EM IG41090</v>
      </c>
      <c r="B57" s="1">
        <v>41090</v>
      </c>
      <c r="C57" s="34">
        <v>44</v>
      </c>
      <c r="D57" s="34">
        <v>44</v>
      </c>
      <c r="E57" s="37">
        <v>42</v>
      </c>
      <c r="F57" s="37">
        <v>427800.32983398438</v>
      </c>
      <c r="G57" s="37">
        <v>90066.212997436523</v>
      </c>
      <c r="H57" s="37">
        <v>337734.11683654785</v>
      </c>
      <c r="I57" s="37">
        <v>54818.754573822021</v>
      </c>
      <c r="J57" s="37">
        <v>301759.94539642334</v>
      </c>
      <c r="K57" s="37">
        <v>26494.690158843994</v>
      </c>
      <c r="L57" s="38">
        <v>1.11921453456278</v>
      </c>
      <c r="M57" s="38">
        <v>1.4176842763938773</v>
      </c>
      <c r="N57" s="38">
        <v>10.633209686249112</v>
      </c>
      <c r="O57" s="39">
        <v>164.29817440698747</v>
      </c>
      <c r="P57" s="39">
        <v>21.053329489574807</v>
      </c>
      <c r="Q57" s="39">
        <v>12.814098248847875</v>
      </c>
      <c r="R57" s="84">
        <v>276.71632281353584</v>
      </c>
      <c r="S57" s="81"/>
      <c r="T57" s="35">
        <v>281</v>
      </c>
      <c r="U57" s="44">
        <f t="shared" si="5"/>
        <v>-4.2836771864641605</v>
      </c>
      <c r="W57" s="44">
        <f t="shared" si="6"/>
        <v>247.24153794306719</v>
      </c>
      <c r="X57" s="3">
        <v>143.31110989301686</v>
      </c>
      <c r="Y57" s="10">
        <f t="shared" si="7"/>
        <v>1.7252084512333719</v>
      </c>
    </row>
    <row r="59" spans="1:25" x14ac:dyDescent="0.2">
      <c r="A59" s="12" t="s">
        <v>184</v>
      </c>
      <c r="B59" s="40" t="s">
        <v>0</v>
      </c>
      <c r="C59" s="41" t="s">
        <v>174</v>
      </c>
      <c r="D59" s="41" t="s">
        <v>178</v>
      </c>
      <c r="E59" s="41" t="s">
        <v>179</v>
      </c>
      <c r="F59" s="41" t="s">
        <v>2</v>
      </c>
      <c r="G59" s="41" t="s">
        <v>31</v>
      </c>
      <c r="H59" s="41" t="s">
        <v>41</v>
      </c>
      <c r="I59" s="41" t="s">
        <v>20</v>
      </c>
      <c r="J59" s="41" t="s">
        <v>3</v>
      </c>
      <c r="K59" s="41" t="s">
        <v>24</v>
      </c>
      <c r="L59" s="41" t="s">
        <v>5</v>
      </c>
      <c r="M59" s="41" t="s">
        <v>43</v>
      </c>
      <c r="N59" s="41" t="s">
        <v>6</v>
      </c>
      <c r="O59" s="41" t="s">
        <v>176</v>
      </c>
      <c r="P59" s="41" t="s">
        <v>21</v>
      </c>
      <c r="Q59" s="41" t="s">
        <v>177</v>
      </c>
      <c r="R59" s="83" t="s">
        <v>7</v>
      </c>
      <c r="T59" s="43" t="s">
        <v>324</v>
      </c>
      <c r="U59" s="43" t="s">
        <v>325</v>
      </c>
      <c r="V59" s="3"/>
      <c r="W59" s="35" t="str">
        <f>A59&amp;" spread per turn of leverage"</f>
        <v>EM HY spread per turn of leverage</v>
      </c>
      <c r="X59" s="3" t="s">
        <v>27</v>
      </c>
      <c r="Y59" t="str">
        <f>A59&amp;" vs. US spread per turn of leverage ratio"</f>
        <v>EM HY vs. US spread per turn of leverage ratio</v>
      </c>
    </row>
    <row r="60" spans="1:25" x14ac:dyDescent="0.2">
      <c r="A60" s="42" t="str">
        <f>$A$59&amp;$B60</f>
        <v>EM HY38807</v>
      </c>
      <c r="B60" s="1">
        <v>38807</v>
      </c>
      <c r="C60" s="34">
        <v>74</v>
      </c>
      <c r="D60" s="34">
        <v>74</v>
      </c>
      <c r="E60" s="37">
        <v>65</v>
      </c>
      <c r="F60" s="37">
        <v>75146.174179077148</v>
      </c>
      <c r="G60" s="37">
        <v>14853.050956577295</v>
      </c>
      <c r="H60" s="37">
        <v>60293.123222499853</v>
      </c>
      <c r="I60" s="37">
        <v>17133.252933460288</v>
      </c>
      <c r="J60" s="37">
        <v>47923.27030056715</v>
      </c>
      <c r="K60" s="37">
        <v>5719.0785101954825</v>
      </c>
      <c r="L60" s="38">
        <v>1.258117879776379</v>
      </c>
      <c r="M60" s="38">
        <v>1.5680518818472167</v>
      </c>
      <c r="N60" s="38">
        <v>7.4183768947459026</v>
      </c>
      <c r="O60" s="39">
        <v>86.691365698396453</v>
      </c>
      <c r="P60" s="39">
        <v>19.765545111028167</v>
      </c>
      <c r="Q60" s="39">
        <v>22.799900488121825</v>
      </c>
      <c r="R60" s="44">
        <v>247.79150656887339</v>
      </c>
      <c r="S60" s="81"/>
      <c r="T60" s="35">
        <v>254</v>
      </c>
      <c r="U60" s="44">
        <f>R60-T60</f>
        <v>-6.2084934311266124</v>
      </c>
      <c r="W60" s="44">
        <f>R60/L60</f>
        <v>196.95412532640938</v>
      </c>
      <c r="X60" s="3">
        <v>111.26280390871405</v>
      </c>
      <c r="Y60" s="10">
        <f>W60/X60</f>
        <v>1.7701704289962086</v>
      </c>
    </row>
    <row r="61" spans="1:25" x14ac:dyDescent="0.2">
      <c r="A61" s="42" t="str">
        <f t="shared" ref="A61:A85" si="8">$A$59&amp;$B61</f>
        <v>EM HY38898</v>
      </c>
      <c r="B61" s="1">
        <v>38898</v>
      </c>
      <c r="C61" s="34">
        <v>74</v>
      </c>
      <c r="D61" s="34">
        <v>74</v>
      </c>
      <c r="E61" s="37">
        <v>65</v>
      </c>
      <c r="F61" s="37">
        <v>75985.371978759766</v>
      </c>
      <c r="G61" s="37">
        <v>15359.983066686196</v>
      </c>
      <c r="H61" s="37">
        <v>60625.388912073569</v>
      </c>
      <c r="I61" s="37">
        <v>17225.610948937945</v>
      </c>
      <c r="J61" s="37">
        <v>48698.465674102306</v>
      </c>
      <c r="K61" s="37">
        <v>5918.9983285968192</v>
      </c>
      <c r="L61" s="38">
        <v>1.2449137374838066</v>
      </c>
      <c r="M61" s="38">
        <v>1.5603237376566579</v>
      </c>
      <c r="N61" s="38">
        <v>7.2633575327955837</v>
      </c>
      <c r="O61" s="39">
        <v>89.169453044179107</v>
      </c>
      <c r="P61" s="39">
        <v>20.214394779800223</v>
      </c>
      <c r="Q61" s="39">
        <v>22.669640880027579</v>
      </c>
      <c r="R61" s="44">
        <v>306.06386404161395</v>
      </c>
      <c r="S61" s="81"/>
      <c r="T61" s="35">
        <v>319</v>
      </c>
      <c r="U61" s="44">
        <f t="shared" ref="U61:U85" si="9">R61-T61</f>
        <v>-12.936135958386046</v>
      </c>
      <c r="W61" s="44">
        <f t="shared" ref="W61:W85" si="10">R61/L61</f>
        <v>245.851463299155</v>
      </c>
      <c r="X61" s="3">
        <v>115.35026520347849</v>
      </c>
      <c r="Y61" s="10">
        <f t="shared" ref="Y61:Y85" si="11">W61/X61</f>
        <v>2.1313471873295802</v>
      </c>
    </row>
    <row r="62" spans="1:25" x14ac:dyDescent="0.2">
      <c r="A62" s="42" t="str">
        <f t="shared" si="8"/>
        <v>EM HY38990</v>
      </c>
      <c r="B62" s="1">
        <v>38990</v>
      </c>
      <c r="C62" s="34">
        <v>73</v>
      </c>
      <c r="D62" s="34">
        <v>73</v>
      </c>
      <c r="E62" s="37">
        <v>61</v>
      </c>
      <c r="F62" s="37">
        <v>73990.958080291748</v>
      </c>
      <c r="G62" s="37">
        <v>14572.266927003278</v>
      </c>
      <c r="H62" s="37">
        <v>59418.69115328847</v>
      </c>
      <c r="I62" s="37">
        <v>16065.514645534568</v>
      </c>
      <c r="J62" s="37">
        <v>41865.714097559452</v>
      </c>
      <c r="K62" s="37">
        <v>5341.1840037410147</v>
      </c>
      <c r="L62" s="38">
        <v>1.4192685454934653</v>
      </c>
      <c r="M62" s="38">
        <v>1.7673401654602381</v>
      </c>
      <c r="N62" s="38">
        <v>6.5986261619651003</v>
      </c>
      <c r="O62" s="39">
        <v>90.705260606473388</v>
      </c>
      <c r="P62" s="39">
        <v>19.694659057110862</v>
      </c>
      <c r="Q62" s="39">
        <v>21.712807973240427</v>
      </c>
      <c r="R62" s="44">
        <v>279.91868726945336</v>
      </c>
      <c r="S62" s="81"/>
      <c r="T62" s="35">
        <v>334</v>
      </c>
      <c r="U62" s="44">
        <f t="shared" si="9"/>
        <v>-54.081312730546642</v>
      </c>
      <c r="W62" s="44">
        <f t="shared" si="10"/>
        <v>197.22742969134742</v>
      </c>
      <c r="X62" s="3">
        <v>117.38668651492007</v>
      </c>
      <c r="Y62" s="10">
        <f t="shared" si="11"/>
        <v>1.6801516044690421</v>
      </c>
    </row>
    <row r="63" spans="1:25" x14ac:dyDescent="0.2">
      <c r="A63" s="42" t="str">
        <f t="shared" si="8"/>
        <v>EM HY39082</v>
      </c>
      <c r="B63" s="1">
        <v>39082</v>
      </c>
      <c r="C63" s="34">
        <v>73</v>
      </c>
      <c r="D63" s="34">
        <v>73</v>
      </c>
      <c r="E63" s="37">
        <v>60</v>
      </c>
      <c r="F63" s="37">
        <v>77827.964912414551</v>
      </c>
      <c r="G63" s="37">
        <v>17070.68299327034</v>
      </c>
      <c r="H63" s="37">
        <v>60757.28191914421</v>
      </c>
      <c r="I63" s="37">
        <v>15067.983791652136</v>
      </c>
      <c r="J63" s="37">
        <v>42968.32757717371</v>
      </c>
      <c r="K63" s="37">
        <v>4230.841090828646</v>
      </c>
      <c r="L63" s="38">
        <v>1.4140015528884726</v>
      </c>
      <c r="M63" s="38">
        <v>1.811286808234061</v>
      </c>
      <c r="N63" s="38">
        <v>8.2900300841986319</v>
      </c>
      <c r="O63" s="39">
        <v>113.29108943379489</v>
      </c>
      <c r="P63" s="39">
        <v>21.933867874460315</v>
      </c>
      <c r="Q63" s="39">
        <v>19.360629316993229</v>
      </c>
      <c r="R63" s="44">
        <v>231.05048739015612</v>
      </c>
      <c r="S63" s="81"/>
      <c r="T63" s="35">
        <v>296</v>
      </c>
      <c r="U63" s="44">
        <f t="shared" si="9"/>
        <v>-64.949512609843879</v>
      </c>
      <c r="W63" s="44">
        <f t="shared" si="10"/>
        <v>163.40186254970817</v>
      </c>
      <c r="X63" s="3">
        <v>98.791471085364662</v>
      </c>
      <c r="Y63" s="10">
        <f t="shared" si="11"/>
        <v>1.6540077878637351</v>
      </c>
    </row>
    <row r="64" spans="1:25" x14ac:dyDescent="0.2">
      <c r="A64" s="42" t="str">
        <f t="shared" si="8"/>
        <v>EM HY39172</v>
      </c>
      <c r="B64" s="1">
        <v>39172</v>
      </c>
      <c r="C64" s="34">
        <v>77</v>
      </c>
      <c r="D64" s="34">
        <v>76</v>
      </c>
      <c r="E64" s="37">
        <v>68</v>
      </c>
      <c r="F64" s="37">
        <v>96447.142854660749</v>
      </c>
      <c r="G64" s="37">
        <v>19821.98190420866</v>
      </c>
      <c r="H64" s="37">
        <v>76625.160950452089</v>
      </c>
      <c r="I64" s="37">
        <v>22365.466010225005</v>
      </c>
      <c r="J64" s="37">
        <v>53173.627999991179</v>
      </c>
      <c r="K64" s="37">
        <v>6357.7868677687366</v>
      </c>
      <c r="L64" s="38">
        <v>1.4410369168427779</v>
      </c>
      <c r="M64" s="38">
        <v>1.8138153532551278</v>
      </c>
      <c r="N64" s="38">
        <v>7.3301791138765706</v>
      </c>
      <c r="O64" s="39">
        <v>87.817905243977179</v>
      </c>
      <c r="P64" s="39">
        <v>20.18359837123543</v>
      </c>
      <c r="Q64" s="39">
        <v>22.983465974462742</v>
      </c>
      <c r="R64" s="44">
        <v>246.7927085879102</v>
      </c>
      <c r="S64" s="81"/>
      <c r="T64" s="35">
        <v>308</v>
      </c>
      <c r="U64" s="44">
        <f t="shared" si="9"/>
        <v>-61.207291412089802</v>
      </c>
      <c r="W64" s="44">
        <f t="shared" si="10"/>
        <v>171.26050394921015</v>
      </c>
      <c r="X64" s="3">
        <v>91.842279068506841</v>
      </c>
      <c r="Y64" s="10">
        <f t="shared" si="11"/>
        <v>1.8647240212915861</v>
      </c>
    </row>
    <row r="65" spans="1:25" x14ac:dyDescent="0.2">
      <c r="A65" s="42" t="str">
        <f t="shared" si="8"/>
        <v>EM HY39263</v>
      </c>
      <c r="B65" s="1">
        <v>39263</v>
      </c>
      <c r="C65" s="34">
        <v>78</v>
      </c>
      <c r="D65" s="34">
        <v>78</v>
      </c>
      <c r="E65" s="37">
        <v>68</v>
      </c>
      <c r="F65" s="37">
        <v>99337.854419026524</v>
      </c>
      <c r="G65" s="37">
        <v>21598.098379731178</v>
      </c>
      <c r="H65" s="37">
        <v>77739.756039295346</v>
      </c>
      <c r="I65" s="37">
        <v>22427.570730929263</v>
      </c>
      <c r="J65" s="37">
        <v>54004.592577815056</v>
      </c>
      <c r="K65" s="37">
        <v>6973.297449991107</v>
      </c>
      <c r="L65" s="38">
        <v>1.4395026853925499</v>
      </c>
      <c r="M65" s="38">
        <v>1.8394334569951789</v>
      </c>
      <c r="N65" s="38">
        <v>6.8202086154430726</v>
      </c>
      <c r="O65" s="39">
        <v>98.7756111569377</v>
      </c>
      <c r="P65" s="39">
        <v>22.02652237848271</v>
      </c>
      <c r="Q65" s="39">
        <v>22.299555649912712</v>
      </c>
      <c r="R65" s="44">
        <v>247.3570539121159</v>
      </c>
      <c r="S65" s="81"/>
      <c r="T65" s="35">
        <v>308</v>
      </c>
      <c r="U65" s="44">
        <f t="shared" si="9"/>
        <v>-60.642946087884098</v>
      </c>
      <c r="W65" s="44">
        <f t="shared" si="10"/>
        <v>171.83507639283221</v>
      </c>
      <c r="X65" s="3">
        <v>97.985147116353176</v>
      </c>
      <c r="Y65" s="10">
        <f t="shared" si="11"/>
        <v>1.7536849354197059</v>
      </c>
    </row>
    <row r="66" spans="1:25" x14ac:dyDescent="0.2">
      <c r="A66" s="42" t="str">
        <f t="shared" si="8"/>
        <v>EM HY39355</v>
      </c>
      <c r="B66" s="1">
        <v>39355</v>
      </c>
      <c r="C66" s="34">
        <v>78</v>
      </c>
      <c r="D66" s="34">
        <v>78</v>
      </c>
      <c r="E66" s="37">
        <v>68</v>
      </c>
      <c r="F66" s="37">
        <v>106728.49738311768</v>
      </c>
      <c r="G66" s="37">
        <v>19306.133767843246</v>
      </c>
      <c r="H66" s="37">
        <v>87422.363615274429</v>
      </c>
      <c r="I66" s="37">
        <v>23466.31843038369</v>
      </c>
      <c r="J66" s="37">
        <v>57178.998016357422</v>
      </c>
      <c r="K66" s="37">
        <v>7113.8424327820539</v>
      </c>
      <c r="L66" s="38">
        <v>1.5289243716769079</v>
      </c>
      <c r="M66" s="38">
        <v>1.8665681646359986</v>
      </c>
      <c r="N66" s="38">
        <v>7.0682237851995406</v>
      </c>
      <c r="O66" s="39">
        <v>87.332802170674952</v>
      </c>
      <c r="P66" s="39">
        <v>18.848586594588717</v>
      </c>
      <c r="Q66" s="39">
        <v>21.582482327491139</v>
      </c>
      <c r="R66" s="44">
        <v>360.69701332491292</v>
      </c>
      <c r="S66" s="81"/>
      <c r="T66" s="35">
        <v>468</v>
      </c>
      <c r="U66" s="44">
        <f t="shared" si="9"/>
        <v>-107.30298667508708</v>
      </c>
      <c r="W66" s="44">
        <f t="shared" si="10"/>
        <v>235.91553644298594</v>
      </c>
      <c r="X66" s="3">
        <v>142.61715042021578</v>
      </c>
      <c r="Y66" s="10">
        <f t="shared" si="11"/>
        <v>1.6541877028665217</v>
      </c>
    </row>
    <row r="67" spans="1:25" x14ac:dyDescent="0.2">
      <c r="A67" s="42" t="str">
        <f t="shared" si="8"/>
        <v>EM HY39447</v>
      </c>
      <c r="B67" s="1">
        <v>39447</v>
      </c>
      <c r="C67" s="34">
        <v>78</v>
      </c>
      <c r="D67" s="34">
        <v>76</v>
      </c>
      <c r="E67" s="37">
        <v>68</v>
      </c>
      <c r="F67" s="37">
        <v>111886.9121055603</v>
      </c>
      <c r="G67" s="37">
        <v>23505.175489902496</v>
      </c>
      <c r="H67" s="37">
        <v>88381.736615657806</v>
      </c>
      <c r="I67" s="37">
        <v>24176.386026024818</v>
      </c>
      <c r="J67" s="37">
        <v>54903.454458236694</v>
      </c>
      <c r="K67" s="37">
        <v>7677.3450832813978</v>
      </c>
      <c r="L67" s="38">
        <v>1.609766407009726</v>
      </c>
      <c r="M67" s="38">
        <v>2.0378847416726593</v>
      </c>
      <c r="N67" s="38">
        <v>6.6102192734854492</v>
      </c>
      <c r="O67" s="39">
        <v>95.117132175889452</v>
      </c>
      <c r="P67" s="39">
        <v>20.691157234986342</v>
      </c>
      <c r="Q67" s="39">
        <v>21.753344283682257</v>
      </c>
      <c r="R67" s="44">
        <v>474.60079940727121</v>
      </c>
      <c r="S67" s="81"/>
      <c r="T67" s="35">
        <v>591</v>
      </c>
      <c r="U67" s="44">
        <f t="shared" si="9"/>
        <v>-116.39920059272879</v>
      </c>
      <c r="W67" s="44">
        <f t="shared" si="10"/>
        <v>294.82588115929281</v>
      </c>
      <c r="X67" s="3">
        <v>186.37349979334107</v>
      </c>
      <c r="Y67" s="10">
        <f t="shared" si="11"/>
        <v>1.5819088093865725</v>
      </c>
    </row>
    <row r="68" spans="1:25" x14ac:dyDescent="0.2">
      <c r="A68" s="42" t="str">
        <f t="shared" si="8"/>
        <v>EM HY39538</v>
      </c>
      <c r="B68" s="1">
        <v>39538</v>
      </c>
      <c r="C68" s="34">
        <v>93</v>
      </c>
      <c r="D68" s="34">
        <v>92</v>
      </c>
      <c r="E68" s="37">
        <v>86</v>
      </c>
      <c r="F68" s="37">
        <v>147181.81142902374</v>
      </c>
      <c r="G68" s="37">
        <v>39598.554290704429</v>
      </c>
      <c r="H68" s="37">
        <v>107583.25713831931</v>
      </c>
      <c r="I68" s="37">
        <v>33851.868739843369</v>
      </c>
      <c r="J68" s="37">
        <v>68087.527503013611</v>
      </c>
      <c r="K68" s="37">
        <v>7684.7317671254277</v>
      </c>
      <c r="L68" s="38">
        <v>1.5800729015098629</v>
      </c>
      <c r="M68" s="38">
        <v>2.1616559864434692</v>
      </c>
      <c r="N68" s="38">
        <v>8.414308056900234</v>
      </c>
      <c r="O68" s="39">
        <v>114.45692108732986</v>
      </c>
      <c r="P68" s="39">
        <v>26.46717420631553</v>
      </c>
      <c r="Q68" s="39">
        <v>23.124136098437642</v>
      </c>
      <c r="R68" s="44">
        <v>658.65615012278306</v>
      </c>
      <c r="S68" s="81"/>
      <c r="T68" s="35">
        <v>768</v>
      </c>
      <c r="U68" s="44">
        <f t="shared" si="9"/>
        <v>-109.34384987721694</v>
      </c>
      <c r="W68" s="44">
        <f t="shared" si="10"/>
        <v>416.85174746898963</v>
      </c>
      <c r="X68" s="3">
        <v>246.57150055453741</v>
      </c>
      <c r="Y68" s="10">
        <f t="shared" si="11"/>
        <v>1.6905917615437844</v>
      </c>
    </row>
    <row r="69" spans="1:25" x14ac:dyDescent="0.2">
      <c r="A69" s="42" t="str">
        <f t="shared" si="8"/>
        <v>EM HY39629</v>
      </c>
      <c r="B69" s="1">
        <v>39629</v>
      </c>
      <c r="C69" s="34">
        <v>92</v>
      </c>
      <c r="D69" s="34">
        <v>92</v>
      </c>
      <c r="E69" s="37">
        <v>85</v>
      </c>
      <c r="F69" s="37">
        <v>138998.76856803894</v>
      </c>
      <c r="G69" s="37">
        <v>41540.095044068992</v>
      </c>
      <c r="H69" s="37">
        <v>97458.673523969948</v>
      </c>
      <c r="I69" s="37">
        <v>35003.920248627663</v>
      </c>
      <c r="J69" s="37">
        <v>67641.567588806152</v>
      </c>
      <c r="K69" s="37">
        <v>7866.4293689504266</v>
      </c>
      <c r="L69" s="38">
        <v>1.4408103921603697</v>
      </c>
      <c r="M69" s="38">
        <v>2.0549312134960269</v>
      </c>
      <c r="N69" s="38">
        <v>8.110507449922256</v>
      </c>
      <c r="O69" s="39">
        <v>116.51203735764224</v>
      </c>
      <c r="P69" s="39">
        <v>29.475986995353459</v>
      </c>
      <c r="Q69" s="39">
        <v>25.298662407622963</v>
      </c>
      <c r="R69" s="44">
        <v>599.75902233902741</v>
      </c>
      <c r="S69" s="81"/>
      <c r="T69" s="35">
        <v>662</v>
      </c>
      <c r="U69" s="44">
        <f t="shared" si="9"/>
        <v>-62.24097766097259</v>
      </c>
      <c r="W69" s="44">
        <f t="shared" si="10"/>
        <v>416.26505861034292</v>
      </c>
      <c r="X69" s="3">
        <v>221.0995364177877</v>
      </c>
      <c r="Y69" s="10">
        <f t="shared" si="11"/>
        <v>1.8827043482523282</v>
      </c>
    </row>
    <row r="70" spans="1:25" x14ac:dyDescent="0.2">
      <c r="A70" s="42" t="str">
        <f t="shared" si="8"/>
        <v>EM HY39721</v>
      </c>
      <c r="B70" s="1">
        <v>39721</v>
      </c>
      <c r="C70" s="34">
        <v>93</v>
      </c>
      <c r="D70" s="34">
        <v>92</v>
      </c>
      <c r="E70" s="37">
        <v>85</v>
      </c>
      <c r="F70" s="37">
        <v>144577.99866771698</v>
      </c>
      <c r="G70" s="37">
        <v>37219.511202268302</v>
      </c>
      <c r="H70" s="37">
        <v>107358.48746544868</v>
      </c>
      <c r="I70" s="37">
        <v>37058.950990408659</v>
      </c>
      <c r="J70" s="37">
        <v>71382.534698009491</v>
      </c>
      <c r="K70" s="37">
        <v>8802.9261884763837</v>
      </c>
      <c r="L70" s="38">
        <v>1.5039881662879979</v>
      </c>
      <c r="M70" s="38">
        <v>2.0253973787757436</v>
      </c>
      <c r="N70" s="38">
        <v>7.6115216371844019</v>
      </c>
      <c r="O70" s="39">
        <v>97.226773726655878</v>
      </c>
      <c r="P70" s="39">
        <v>25.204193654979928</v>
      </c>
      <c r="Q70" s="39">
        <v>25.923099871481075</v>
      </c>
      <c r="R70" s="44">
        <v>1064.6128841974232</v>
      </c>
      <c r="S70" s="81"/>
      <c r="T70" s="35">
        <v>1210</v>
      </c>
      <c r="U70" s="44">
        <f t="shared" si="9"/>
        <v>-145.38711580257677</v>
      </c>
      <c r="W70" s="44">
        <f t="shared" si="10"/>
        <v>707.85988085597808</v>
      </c>
      <c r="X70" s="3">
        <v>300.40167246154607</v>
      </c>
      <c r="Y70" s="10">
        <f t="shared" si="11"/>
        <v>2.3563779623982954</v>
      </c>
    </row>
    <row r="71" spans="1:25" x14ac:dyDescent="0.2">
      <c r="A71" s="42" t="str">
        <f t="shared" si="8"/>
        <v>EM HY39813</v>
      </c>
      <c r="B71" s="1">
        <v>39813</v>
      </c>
      <c r="C71" s="34">
        <v>100</v>
      </c>
      <c r="D71" s="34">
        <v>97</v>
      </c>
      <c r="E71" s="37">
        <v>91</v>
      </c>
      <c r="F71" s="37">
        <v>179062.21069049835</v>
      </c>
      <c r="G71" s="37">
        <v>38959.270851425827</v>
      </c>
      <c r="H71" s="37">
        <v>140102.93983907253</v>
      </c>
      <c r="I71" s="37">
        <v>47358.365644812584</v>
      </c>
      <c r="J71" s="37">
        <v>79800.276874065399</v>
      </c>
      <c r="K71" s="37">
        <v>10982.918284423649</v>
      </c>
      <c r="L71" s="38">
        <v>1.7556698463612113</v>
      </c>
      <c r="M71" s="38">
        <v>2.2438795666471236</v>
      </c>
      <c r="N71" s="38">
        <v>6.8609715862457179</v>
      </c>
      <c r="O71" s="39">
        <v>79.482853473498835</v>
      </c>
      <c r="P71" s="39">
        <v>21.313327721261086</v>
      </c>
      <c r="Q71" s="39">
        <v>26.815000707501486</v>
      </c>
      <c r="R71" s="84">
        <v>2045.7427479085659</v>
      </c>
      <c r="S71" s="81"/>
      <c r="T71" s="35">
        <v>2494</v>
      </c>
      <c r="U71" s="44">
        <f t="shared" si="9"/>
        <v>-448.25725209143411</v>
      </c>
      <c r="W71" s="44">
        <f t="shared" si="10"/>
        <v>1165.2206433621661</v>
      </c>
      <c r="X71" s="3">
        <v>493.0778863135684</v>
      </c>
      <c r="Y71" s="10">
        <f t="shared" si="11"/>
        <v>2.3631573747380643</v>
      </c>
    </row>
    <row r="72" spans="1:25" x14ac:dyDescent="0.2">
      <c r="A72" s="42" t="str">
        <f t="shared" si="8"/>
        <v>EM HY39903</v>
      </c>
      <c r="B72" s="1">
        <v>39903</v>
      </c>
      <c r="C72" s="34">
        <v>100</v>
      </c>
      <c r="D72" s="34">
        <v>100</v>
      </c>
      <c r="E72" s="37">
        <v>96</v>
      </c>
      <c r="F72" s="37">
        <v>183949.80107527971</v>
      </c>
      <c r="G72" s="37">
        <v>35626.721170067787</v>
      </c>
      <c r="H72" s="37">
        <v>148323.07990521193</v>
      </c>
      <c r="I72" s="37">
        <v>46586.576572537422</v>
      </c>
      <c r="J72" s="37">
        <v>69278.612579345703</v>
      </c>
      <c r="K72" s="37">
        <v>12246.203307330608</v>
      </c>
      <c r="L72" s="38">
        <v>2.1409649296214694</v>
      </c>
      <c r="M72" s="38">
        <v>2.6552177393073455</v>
      </c>
      <c r="N72" s="38">
        <v>5.4400923699325139</v>
      </c>
      <c r="O72" s="39">
        <v>76.474220239375938</v>
      </c>
      <c r="P72" s="39">
        <v>19.3676323441567</v>
      </c>
      <c r="Q72" s="39">
        <v>25.325700979405958</v>
      </c>
      <c r="R72" s="44">
        <v>1771.2910950480475</v>
      </c>
      <c r="S72" s="81"/>
      <c r="T72" s="35">
        <v>2270</v>
      </c>
      <c r="U72" s="44">
        <f t="shared" si="9"/>
        <v>-498.70890495195249</v>
      </c>
      <c r="W72" s="44">
        <f t="shared" si="10"/>
        <v>827.33307329850493</v>
      </c>
      <c r="X72" s="3">
        <v>422.71844170115287</v>
      </c>
      <c r="Y72" s="10">
        <f t="shared" si="11"/>
        <v>1.9571728878661045</v>
      </c>
    </row>
    <row r="73" spans="1:25" x14ac:dyDescent="0.2">
      <c r="A73" s="42" t="str">
        <f t="shared" si="8"/>
        <v>EM HY39994</v>
      </c>
      <c r="B73" s="1">
        <v>39994</v>
      </c>
      <c r="C73" s="34">
        <v>99</v>
      </c>
      <c r="D73" s="34">
        <v>98</v>
      </c>
      <c r="E73" s="37">
        <v>95</v>
      </c>
      <c r="F73" s="37">
        <v>184095.86382037401</v>
      </c>
      <c r="G73" s="37">
        <v>36898.596304297447</v>
      </c>
      <c r="H73" s="37">
        <v>147197.26751607656</v>
      </c>
      <c r="I73" s="37">
        <v>48918.003274023533</v>
      </c>
      <c r="J73" s="37">
        <v>59105.704123735428</v>
      </c>
      <c r="K73" s="37">
        <v>11207.65493863821</v>
      </c>
      <c r="L73" s="38">
        <v>2.4904071391811011</v>
      </c>
      <c r="M73" s="38">
        <v>3.1146886167699939</v>
      </c>
      <c r="N73" s="38">
        <v>5.0668578676528142</v>
      </c>
      <c r="O73" s="39">
        <v>75.34989457077215</v>
      </c>
      <c r="P73" s="39">
        <v>20.067777620009206</v>
      </c>
      <c r="Q73" s="39">
        <v>26.632787921369427</v>
      </c>
      <c r="R73" s="44">
        <v>1118.9806023102597</v>
      </c>
      <c r="S73" s="81"/>
      <c r="T73" s="35">
        <v>1332</v>
      </c>
      <c r="U73" s="44">
        <f t="shared" si="9"/>
        <v>-213.01939768974034</v>
      </c>
      <c r="W73" s="44">
        <f t="shared" si="10"/>
        <v>449.31633254079264</v>
      </c>
      <c r="X73" s="3">
        <v>270.26176523634632</v>
      </c>
      <c r="Y73" s="10">
        <f t="shared" si="11"/>
        <v>1.6625227477066966</v>
      </c>
    </row>
    <row r="74" spans="1:25" x14ac:dyDescent="0.2">
      <c r="A74" s="42" t="str">
        <f t="shared" si="8"/>
        <v>EM HY40086</v>
      </c>
      <c r="B74" s="1">
        <v>40086</v>
      </c>
      <c r="C74" s="34">
        <v>100</v>
      </c>
      <c r="D74" s="34">
        <v>98</v>
      </c>
      <c r="E74" s="37">
        <v>96</v>
      </c>
      <c r="F74" s="37">
        <v>200654.47186213732</v>
      </c>
      <c r="G74" s="37">
        <v>46626.67113173008</v>
      </c>
      <c r="H74" s="37">
        <v>154027.80073040724</v>
      </c>
      <c r="I74" s="37">
        <v>44766.600731670856</v>
      </c>
      <c r="J74" s="37">
        <v>54813.39702796936</v>
      </c>
      <c r="K74" s="37">
        <v>11866.39054441452</v>
      </c>
      <c r="L74" s="38">
        <v>2.8100393166986573</v>
      </c>
      <c r="M74" s="38">
        <v>3.6606830217027118</v>
      </c>
      <c r="N74" s="38">
        <v>4.4446841900839766</v>
      </c>
      <c r="O74" s="39">
        <v>103.6944113808415</v>
      </c>
      <c r="P74" s="39">
        <v>23.226138695611912</v>
      </c>
      <c r="Q74" s="39">
        <v>22.39864076214155</v>
      </c>
      <c r="R74" s="44">
        <v>714.94547743772989</v>
      </c>
      <c r="S74" s="81"/>
      <c r="T74" s="35">
        <v>913</v>
      </c>
      <c r="U74" s="44">
        <f t="shared" si="9"/>
        <v>-198.05452256227011</v>
      </c>
      <c r="W74" s="44">
        <f t="shared" si="10"/>
        <v>254.42543568311189</v>
      </c>
      <c r="X74" s="3">
        <v>201.87308204679005</v>
      </c>
      <c r="Y74" s="10">
        <f t="shared" si="11"/>
        <v>1.2603237296597141</v>
      </c>
    </row>
    <row r="75" spans="1:25" x14ac:dyDescent="0.2">
      <c r="A75" s="42" t="str">
        <f t="shared" si="8"/>
        <v>EM HY40178</v>
      </c>
      <c r="B75" s="1">
        <v>40178</v>
      </c>
      <c r="C75" s="34">
        <v>104</v>
      </c>
      <c r="D75" s="34">
        <v>102</v>
      </c>
      <c r="E75" s="37">
        <v>103</v>
      </c>
      <c r="F75" s="37">
        <v>224543.26473361254</v>
      </c>
      <c r="G75" s="37">
        <v>54014.083680033684</v>
      </c>
      <c r="H75" s="37">
        <v>170529.18105357885</v>
      </c>
      <c r="I75" s="37">
        <v>47031.766297876835</v>
      </c>
      <c r="J75" s="37">
        <v>60441.533834457397</v>
      </c>
      <c r="K75" s="37">
        <v>12770.369889780879</v>
      </c>
      <c r="L75" s="38">
        <v>2.8213906933705424</v>
      </c>
      <c r="M75" s="38">
        <v>3.7150490811270842</v>
      </c>
      <c r="N75" s="38">
        <v>4.6983244037420819</v>
      </c>
      <c r="O75" s="39">
        <v>114.37097526084301</v>
      </c>
      <c r="P75" s="39">
        <v>24.040336557737596</v>
      </c>
      <c r="Q75" s="39">
        <v>21.019613151771594</v>
      </c>
      <c r="R75" s="44">
        <v>673.35452176904914</v>
      </c>
      <c r="S75" s="81"/>
      <c r="T75" s="35">
        <v>832</v>
      </c>
      <c r="U75" s="44">
        <f t="shared" si="9"/>
        <v>-158.64547823095086</v>
      </c>
      <c r="W75" s="44">
        <f t="shared" si="10"/>
        <v>238.6605029042021</v>
      </c>
      <c r="X75" s="3">
        <v>170.33310948837416</v>
      </c>
      <c r="Y75" s="10">
        <f t="shared" si="11"/>
        <v>1.4011398231445515</v>
      </c>
    </row>
    <row r="76" spans="1:25" x14ac:dyDescent="0.2">
      <c r="A76" s="42" t="str">
        <f t="shared" si="8"/>
        <v>EM HY40268</v>
      </c>
      <c r="B76" s="1">
        <v>40268</v>
      </c>
      <c r="C76" s="34">
        <v>108</v>
      </c>
      <c r="D76" s="34">
        <v>107</v>
      </c>
      <c r="E76" s="37">
        <v>105</v>
      </c>
      <c r="F76" s="37">
        <v>243458.7027759552</v>
      </c>
      <c r="G76" s="37">
        <v>59477.65176153183</v>
      </c>
      <c r="H76" s="37">
        <v>183981.05101442337</v>
      </c>
      <c r="I76" s="37">
        <v>53736.299480199814</v>
      </c>
      <c r="J76" s="37">
        <v>67343.526191711426</v>
      </c>
      <c r="K76" s="37">
        <v>13638.185235977173</v>
      </c>
      <c r="L76" s="38">
        <v>2.7319782823767191</v>
      </c>
      <c r="M76" s="38">
        <v>3.6151760465123943</v>
      </c>
      <c r="N76" s="38">
        <v>4.8663416334672736</v>
      </c>
      <c r="O76" s="39">
        <v>113.15898802777704</v>
      </c>
      <c r="P76" s="39">
        <v>24.396413518776313</v>
      </c>
      <c r="Q76" s="39">
        <v>21.559412949846944</v>
      </c>
      <c r="R76" s="44">
        <v>550.5586322184879</v>
      </c>
      <c r="S76" s="81"/>
      <c r="T76" s="35">
        <v>658</v>
      </c>
      <c r="U76" s="44">
        <f t="shared" si="9"/>
        <v>-107.4413677815121</v>
      </c>
      <c r="W76" s="44">
        <f t="shared" si="10"/>
        <v>201.52379532809553</v>
      </c>
      <c r="X76" s="3">
        <v>167.10344187185635</v>
      </c>
      <c r="Y76" s="10">
        <f t="shared" si="11"/>
        <v>1.2059823129354481</v>
      </c>
    </row>
    <row r="77" spans="1:25" x14ac:dyDescent="0.2">
      <c r="A77" s="42" t="str">
        <f t="shared" si="8"/>
        <v>EM HY40359</v>
      </c>
      <c r="B77" s="1">
        <v>40359</v>
      </c>
      <c r="C77" s="34">
        <v>112</v>
      </c>
      <c r="D77" s="34">
        <v>109</v>
      </c>
      <c r="E77" s="37">
        <v>108</v>
      </c>
      <c r="F77" s="37">
        <v>258992.41128540039</v>
      </c>
      <c r="G77" s="37">
        <v>63753.442384719849</v>
      </c>
      <c r="H77" s="37">
        <v>195238.96890068054</v>
      </c>
      <c r="I77" s="37">
        <v>50583.814642429352</v>
      </c>
      <c r="J77" s="37">
        <v>81228.522006988525</v>
      </c>
      <c r="K77" s="37">
        <v>15257.416909813881</v>
      </c>
      <c r="L77" s="38">
        <v>2.4035765280067891</v>
      </c>
      <c r="M77" s="38">
        <v>3.1884417552632298</v>
      </c>
      <c r="N77" s="38">
        <v>5.1508807637549845</v>
      </c>
      <c r="O77" s="39">
        <v>123.6441773753628</v>
      </c>
      <c r="P77" s="39">
        <v>24.257903735464616</v>
      </c>
      <c r="Q77" s="39">
        <v>19.619123399415507</v>
      </c>
      <c r="R77" s="44">
        <v>688.7546567235504</v>
      </c>
      <c r="S77" s="81"/>
      <c r="T77" s="35">
        <v>764</v>
      </c>
      <c r="U77" s="44">
        <f t="shared" si="9"/>
        <v>-75.245343276449603</v>
      </c>
      <c r="W77" s="44">
        <f t="shared" si="10"/>
        <v>286.55407834869862</v>
      </c>
      <c r="X77" s="3">
        <v>212.91215473640585</v>
      </c>
      <c r="Y77" s="10">
        <f t="shared" si="11"/>
        <v>1.3458793778282154</v>
      </c>
    </row>
    <row r="78" spans="1:25" x14ac:dyDescent="0.2">
      <c r="A78" s="42" t="str">
        <f t="shared" si="8"/>
        <v>EM HY40451</v>
      </c>
      <c r="B78" s="1">
        <v>40451</v>
      </c>
      <c r="C78" s="34">
        <v>119</v>
      </c>
      <c r="D78" s="34">
        <v>116</v>
      </c>
      <c r="E78" s="37">
        <v>115</v>
      </c>
      <c r="F78" s="37">
        <v>302014.58859634399</v>
      </c>
      <c r="G78" s="37">
        <v>79429.130251407623</v>
      </c>
      <c r="H78" s="37">
        <v>222585.45834493637</v>
      </c>
      <c r="I78" s="37">
        <v>55248.378076672554</v>
      </c>
      <c r="J78" s="37">
        <v>94798.569086074829</v>
      </c>
      <c r="K78" s="37">
        <v>17334.501242220402</v>
      </c>
      <c r="L78" s="38">
        <v>2.34798331336451</v>
      </c>
      <c r="M78" s="38">
        <v>3.1858559839877119</v>
      </c>
      <c r="N78" s="38">
        <v>5.2678640009745141</v>
      </c>
      <c r="O78" s="39">
        <v>141.56972668129362</v>
      </c>
      <c r="P78" s="39">
        <v>26.048570183279434</v>
      </c>
      <c r="Q78" s="39">
        <v>18.399816679678153</v>
      </c>
      <c r="R78" s="44">
        <v>594.69876937495701</v>
      </c>
      <c r="S78" s="81"/>
      <c r="T78" s="35">
        <v>649</v>
      </c>
      <c r="U78" s="44">
        <f t="shared" si="9"/>
        <v>-54.30123062504299</v>
      </c>
      <c r="W78" s="44">
        <f t="shared" si="10"/>
        <v>253.2806625966995</v>
      </c>
      <c r="X78" s="3">
        <v>192.37675753560131</v>
      </c>
      <c r="Y78" s="10">
        <f t="shared" si="11"/>
        <v>1.316586607661413</v>
      </c>
    </row>
    <row r="79" spans="1:25" x14ac:dyDescent="0.2">
      <c r="A79" s="42" t="str">
        <f t="shared" si="8"/>
        <v>EM HY40543</v>
      </c>
      <c r="B79" s="1">
        <v>40543</v>
      </c>
      <c r="C79" s="34">
        <v>120</v>
      </c>
      <c r="D79" s="34">
        <v>118</v>
      </c>
      <c r="E79" s="37">
        <v>116</v>
      </c>
      <c r="F79" s="37">
        <v>300649.72624206543</v>
      </c>
      <c r="G79" s="37">
        <v>67620.821513175964</v>
      </c>
      <c r="H79" s="37">
        <v>233028.90472888947</v>
      </c>
      <c r="I79" s="37">
        <v>54409.989845395088</v>
      </c>
      <c r="J79" s="37">
        <v>92851.647758483887</v>
      </c>
      <c r="K79" s="37">
        <v>16857.209795415401</v>
      </c>
      <c r="L79" s="38">
        <v>2.5096905693587708</v>
      </c>
      <c r="M79" s="38">
        <v>3.2379578984326098</v>
      </c>
      <c r="N79" s="38">
        <v>5.255331640945303</v>
      </c>
      <c r="O79" s="39">
        <v>122.11832379533485</v>
      </c>
      <c r="P79" s="39">
        <v>22.198904347570181</v>
      </c>
      <c r="Q79" s="39">
        <v>18.178192803214859</v>
      </c>
      <c r="R79" s="44">
        <v>536.93027186413076</v>
      </c>
      <c r="S79" s="81"/>
      <c r="T79" s="35">
        <v>623</v>
      </c>
      <c r="U79" s="44">
        <f t="shared" si="9"/>
        <v>-86.069728135869241</v>
      </c>
      <c r="W79" s="44">
        <f t="shared" si="10"/>
        <v>213.94281766031307</v>
      </c>
      <c r="X79" s="3">
        <v>159.69982112585555</v>
      </c>
      <c r="Y79" s="10">
        <f t="shared" si="11"/>
        <v>1.3396559629939093</v>
      </c>
    </row>
    <row r="80" spans="1:25" x14ac:dyDescent="0.2">
      <c r="A80" s="42" t="str">
        <f t="shared" si="8"/>
        <v>EM HY40633</v>
      </c>
      <c r="B80" s="1">
        <v>40633</v>
      </c>
      <c r="C80" s="34">
        <v>117</v>
      </c>
      <c r="D80" s="34">
        <v>122</v>
      </c>
      <c r="E80" s="37">
        <v>112</v>
      </c>
      <c r="F80" s="37">
        <v>294313.03859329224</v>
      </c>
      <c r="G80" s="37">
        <v>69322.516699790955</v>
      </c>
      <c r="H80" s="37">
        <v>224990.52189350128</v>
      </c>
      <c r="I80" s="37">
        <v>61485.531058311462</v>
      </c>
      <c r="J80" s="37">
        <v>97093.428949356079</v>
      </c>
      <c r="K80" s="37">
        <v>16070.976965785027</v>
      </c>
      <c r="L80" s="38">
        <v>2.3172579682076768</v>
      </c>
      <c r="M80" s="38">
        <v>3.0312353964428005</v>
      </c>
      <c r="N80" s="38">
        <v>5.6752381276841586</v>
      </c>
      <c r="O80" s="39">
        <v>116.08401688437897</v>
      </c>
      <c r="P80" s="39">
        <v>23.01752633398916</v>
      </c>
      <c r="Q80" s="39">
        <v>19.828333780795063</v>
      </c>
      <c r="R80" s="44">
        <v>501.06678780086702</v>
      </c>
      <c r="S80" s="81"/>
      <c r="T80" s="35">
        <v>583</v>
      </c>
      <c r="U80" s="44">
        <f t="shared" si="9"/>
        <v>-81.933212199132981</v>
      </c>
      <c r="W80" s="44">
        <f t="shared" si="10"/>
        <v>216.23263127170333</v>
      </c>
      <c r="X80" s="3">
        <v>141.00420250114303</v>
      </c>
      <c r="Y80" s="10">
        <f t="shared" si="11"/>
        <v>1.5335190542987573</v>
      </c>
    </row>
    <row r="81" spans="1:25" x14ac:dyDescent="0.2">
      <c r="A81" s="42" t="str">
        <f t="shared" si="8"/>
        <v>EM HY40724</v>
      </c>
      <c r="B81" s="1">
        <v>40724</v>
      </c>
      <c r="C81" s="34">
        <v>119</v>
      </c>
      <c r="D81" s="34">
        <v>122</v>
      </c>
      <c r="E81" s="37">
        <v>114</v>
      </c>
      <c r="F81" s="37">
        <v>301079.2830657959</v>
      </c>
      <c r="G81" s="37">
        <v>72478.207800865173</v>
      </c>
      <c r="H81" s="37">
        <v>228601.07526493073</v>
      </c>
      <c r="I81" s="37">
        <v>63592.376268088818</v>
      </c>
      <c r="J81" s="37">
        <v>91876.760740280151</v>
      </c>
      <c r="K81" s="37">
        <v>16595.83055460453</v>
      </c>
      <c r="L81" s="38">
        <v>2.4881272851047367</v>
      </c>
      <c r="M81" s="38">
        <v>3.2769906191718645</v>
      </c>
      <c r="N81" s="38">
        <v>5.3055917885319133</v>
      </c>
      <c r="O81" s="39">
        <v>114.51997911928744</v>
      </c>
      <c r="P81" s="39">
        <v>23.183919013839567</v>
      </c>
      <c r="Q81" s="39">
        <v>20.244431750804377</v>
      </c>
      <c r="R81" s="44">
        <v>591.28457035668157</v>
      </c>
      <c r="S81" s="81"/>
      <c r="T81" s="35">
        <v>639</v>
      </c>
      <c r="U81" s="44">
        <f t="shared" si="9"/>
        <v>-47.71542964331843</v>
      </c>
      <c r="W81" s="44">
        <f t="shared" si="10"/>
        <v>237.64241238638709</v>
      </c>
      <c r="X81" s="3">
        <v>156.55976600385611</v>
      </c>
      <c r="Y81" s="10">
        <f t="shared" si="11"/>
        <v>1.5179021944918716</v>
      </c>
    </row>
    <row r="82" spans="1:25" x14ac:dyDescent="0.2">
      <c r="A82" s="42" t="str">
        <f t="shared" si="8"/>
        <v>EM HY40816</v>
      </c>
      <c r="B82" s="1">
        <v>40816</v>
      </c>
      <c r="C82" s="34">
        <v>118</v>
      </c>
      <c r="D82" s="34">
        <v>121</v>
      </c>
      <c r="E82" s="37">
        <v>113</v>
      </c>
      <c r="F82" s="37">
        <v>290995.60163116455</v>
      </c>
      <c r="G82" s="37">
        <v>65985.019488334656</v>
      </c>
      <c r="H82" s="37">
        <v>225010.5821428299</v>
      </c>
      <c r="I82" s="37">
        <v>64658.235476672649</v>
      </c>
      <c r="J82" s="37">
        <v>93680.808334350586</v>
      </c>
      <c r="K82" s="37">
        <v>16558.328852653503</v>
      </c>
      <c r="L82" s="38">
        <v>2.401885574468551</v>
      </c>
      <c r="M82" s="38">
        <v>3.106245631363358</v>
      </c>
      <c r="N82" s="38">
        <v>5.3682511072009902</v>
      </c>
      <c r="O82" s="39">
        <v>102.51896104620452</v>
      </c>
      <c r="P82" s="39">
        <v>22.031696672210003</v>
      </c>
      <c r="Q82" s="39">
        <v>21.490362804477201</v>
      </c>
      <c r="R82" s="44">
        <v>1033.3108761651208</v>
      </c>
      <c r="S82" s="81"/>
      <c r="T82" s="35">
        <v>1076</v>
      </c>
      <c r="U82" s="44">
        <f t="shared" si="9"/>
        <v>-42.689123834879183</v>
      </c>
      <c r="W82" s="44">
        <f t="shared" si="10"/>
        <v>430.2082027341184</v>
      </c>
      <c r="X82" s="3">
        <v>248.56385952467795</v>
      </c>
      <c r="Y82" s="10">
        <f t="shared" si="11"/>
        <v>1.7307753571126312</v>
      </c>
    </row>
    <row r="83" spans="1:25" x14ac:dyDescent="0.2">
      <c r="A83" s="42" t="str">
        <f t="shared" si="8"/>
        <v>EM HY40908</v>
      </c>
      <c r="B83" s="1">
        <v>40908</v>
      </c>
      <c r="C83" s="34">
        <v>111</v>
      </c>
      <c r="D83" s="34">
        <v>112</v>
      </c>
      <c r="E83" s="37">
        <v>109</v>
      </c>
      <c r="F83" s="37">
        <v>284717.12525177002</v>
      </c>
      <c r="G83" s="37">
        <v>68282.907548427582</v>
      </c>
      <c r="H83" s="37">
        <v>216434.21770334244</v>
      </c>
      <c r="I83" s="37">
        <v>64612.083617951896</v>
      </c>
      <c r="J83" s="37">
        <v>96174.694976806641</v>
      </c>
      <c r="K83" s="37">
        <v>18209.144659042358</v>
      </c>
      <c r="L83" s="38">
        <v>2.2504279088749635</v>
      </c>
      <c r="M83" s="38">
        <v>2.9604162022082008</v>
      </c>
      <c r="N83" s="38">
        <v>5.2000458968812699</v>
      </c>
      <c r="O83" s="39">
        <v>105.93218872245396</v>
      </c>
      <c r="P83" s="39">
        <v>23.839955344010537</v>
      </c>
      <c r="Q83" s="39">
        <v>22.504920960778083</v>
      </c>
      <c r="R83" s="44">
        <v>947.44658028723779</v>
      </c>
      <c r="S83" s="81"/>
      <c r="T83" s="35">
        <v>970</v>
      </c>
      <c r="U83" s="44">
        <f t="shared" si="9"/>
        <v>-22.553419712762206</v>
      </c>
      <c r="W83" s="44">
        <f t="shared" si="10"/>
        <v>421.00730112296128</v>
      </c>
      <c r="X83" s="3">
        <v>217.01297040439434</v>
      </c>
      <c r="Y83" s="10">
        <f t="shared" si="11"/>
        <v>1.9400098544268221</v>
      </c>
    </row>
    <row r="84" spans="1:25" x14ac:dyDescent="0.2">
      <c r="A84" s="42" t="str">
        <f t="shared" si="8"/>
        <v>EM HY40999</v>
      </c>
      <c r="B84" s="1">
        <v>40999</v>
      </c>
      <c r="C84" s="34">
        <v>77</v>
      </c>
      <c r="D84" s="34">
        <v>76</v>
      </c>
      <c r="E84" s="37">
        <v>73</v>
      </c>
      <c r="F84" s="37">
        <v>191261.24391174316</v>
      </c>
      <c r="G84" s="37">
        <v>39750.707640171051</v>
      </c>
      <c r="H84" s="37">
        <v>151510.53627157211</v>
      </c>
      <c r="I84" s="37">
        <v>37999.697986587882</v>
      </c>
      <c r="J84" s="37">
        <v>58934.90672492981</v>
      </c>
      <c r="K84" s="37">
        <v>14298.66321182251</v>
      </c>
      <c r="L84" s="38">
        <v>2.570811505288805</v>
      </c>
      <c r="M84" s="38">
        <v>3.245296455705402</v>
      </c>
      <c r="N84" s="38">
        <v>3.9844921523059296</v>
      </c>
      <c r="O84" s="39">
        <v>104.40367356412261</v>
      </c>
      <c r="P84" s="39">
        <v>20.778182197617678</v>
      </c>
      <c r="Q84" s="39">
        <v>19.901773077798975</v>
      </c>
      <c r="R84" s="44">
        <v>679.69822562356489</v>
      </c>
      <c r="S84" s="81"/>
      <c r="T84" s="35">
        <v>752</v>
      </c>
      <c r="U84" s="44">
        <f t="shared" si="9"/>
        <v>-72.301774376435105</v>
      </c>
      <c r="W84" s="44">
        <f t="shared" si="10"/>
        <v>264.3905335825886</v>
      </c>
      <c r="X84" s="3">
        <v>171.6946323292874</v>
      </c>
      <c r="Y84" s="10">
        <f t="shared" si="11"/>
        <v>1.539888172365941</v>
      </c>
    </row>
    <row r="85" spans="1:25" x14ac:dyDescent="0.2">
      <c r="A85" s="42" t="str">
        <f t="shared" si="8"/>
        <v>EM HY41090</v>
      </c>
      <c r="B85" s="1">
        <v>41090</v>
      </c>
      <c r="C85" s="34">
        <v>78</v>
      </c>
      <c r="D85" s="34">
        <v>76</v>
      </c>
      <c r="E85" s="37">
        <v>69</v>
      </c>
      <c r="F85" s="37">
        <v>174407.8020401001</v>
      </c>
      <c r="G85" s="37">
        <v>34928.104444980621</v>
      </c>
      <c r="H85" s="37">
        <v>139479.69759511948</v>
      </c>
      <c r="I85" s="37">
        <v>33920.192599728703</v>
      </c>
      <c r="J85" s="37">
        <v>57937.73236656189</v>
      </c>
      <c r="K85" s="37">
        <v>14120.679718971252</v>
      </c>
      <c r="L85" s="38">
        <v>2.4074069159741334</v>
      </c>
      <c r="M85" s="38">
        <v>3.010262827282443</v>
      </c>
      <c r="N85" s="38">
        <v>3.8680941811470819</v>
      </c>
      <c r="O85" s="39">
        <v>102.65866959353282</v>
      </c>
      <c r="P85" s="39">
        <v>20.026795840765292</v>
      </c>
      <c r="Q85" s="39">
        <v>19.50813888399243</v>
      </c>
      <c r="R85" s="84">
        <v>827.66025495621898</v>
      </c>
      <c r="S85" s="81"/>
      <c r="T85" s="35">
        <v>859</v>
      </c>
      <c r="U85" s="44">
        <f t="shared" si="9"/>
        <v>-31.339745043781022</v>
      </c>
      <c r="W85" s="44">
        <f t="shared" si="10"/>
        <v>343.79740685480022</v>
      </c>
      <c r="X85" s="3">
        <v>181.40182273444293</v>
      </c>
      <c r="Y85" s="10">
        <f t="shared" si="11"/>
        <v>1.8952257572300737</v>
      </c>
    </row>
    <row r="87" spans="1:25" x14ac:dyDescent="0.2">
      <c r="A87" s="12" t="s">
        <v>59</v>
      </c>
      <c r="B87" s="40" t="s">
        <v>0</v>
      </c>
      <c r="C87" s="41" t="s">
        <v>180</v>
      </c>
      <c r="D87" s="41" t="s">
        <v>178</v>
      </c>
      <c r="E87" s="41" t="s">
        <v>179</v>
      </c>
      <c r="F87" s="41" t="s">
        <v>2</v>
      </c>
      <c r="G87" s="41" t="s">
        <v>31</v>
      </c>
      <c r="H87" s="41" t="s">
        <v>41</v>
      </c>
      <c r="I87" s="41" t="s">
        <v>20</v>
      </c>
      <c r="J87" s="41" t="s">
        <v>3</v>
      </c>
      <c r="K87" s="41" t="s">
        <v>24</v>
      </c>
      <c r="L87" s="41" t="s">
        <v>5</v>
      </c>
      <c r="M87" s="41" t="s">
        <v>43</v>
      </c>
      <c r="N87" s="41" t="s">
        <v>6</v>
      </c>
      <c r="O87" s="41" t="s">
        <v>176</v>
      </c>
      <c r="P87" s="41" t="s">
        <v>21</v>
      </c>
      <c r="Q87" s="41" t="s">
        <v>177</v>
      </c>
      <c r="R87" s="83" t="s">
        <v>7</v>
      </c>
      <c r="T87" s="43" t="s">
        <v>324</v>
      </c>
      <c r="U87" s="43" t="s">
        <v>325</v>
      </c>
      <c r="W87" s="35" t="str">
        <f>A87&amp;" spread per turn of leverage"</f>
        <v>LatAm spread per turn of leverage</v>
      </c>
      <c r="X87" s="3" t="s">
        <v>25</v>
      </c>
      <c r="Y87" t="str">
        <f>A87&amp;" vs. US spread per turn of leverage ratio"</f>
        <v>LatAm vs. US spread per turn of leverage ratio</v>
      </c>
    </row>
    <row r="88" spans="1:25" x14ac:dyDescent="0.2">
      <c r="A88" s="42" t="str">
        <f>$A$87&amp;$B88</f>
        <v>LatAm38807</v>
      </c>
      <c r="B88" s="1">
        <v>38807</v>
      </c>
      <c r="C88" s="34">
        <v>46</v>
      </c>
      <c r="D88" s="34">
        <v>46</v>
      </c>
      <c r="E88" s="37">
        <v>39</v>
      </c>
      <c r="F88" s="37">
        <v>138916.63976585865</v>
      </c>
      <c r="G88" s="37">
        <v>26157.569102704758</v>
      </c>
      <c r="H88" s="37">
        <v>112759.07066315389</v>
      </c>
      <c r="I88" s="37">
        <v>18186.377746596932</v>
      </c>
      <c r="J88" s="37">
        <v>112847.73743847013</v>
      </c>
      <c r="K88" s="37">
        <v>11270.069237627555</v>
      </c>
      <c r="L88" s="38">
        <v>0.9992142795475667</v>
      </c>
      <c r="M88" s="38">
        <v>1.2310095259251654</v>
      </c>
      <c r="N88" s="38">
        <v>9.4228065023542023</v>
      </c>
      <c r="O88" s="39">
        <v>143.83056080312315</v>
      </c>
      <c r="P88" s="39">
        <v>18.829687463498139</v>
      </c>
      <c r="Q88" s="39">
        <v>13.091576197962841</v>
      </c>
      <c r="R88" s="44">
        <v>158.58125736006818</v>
      </c>
      <c r="T88" s="35">
        <v>191</v>
      </c>
      <c r="U88" s="44">
        <f>R88-T88</f>
        <v>-32.418742639931821</v>
      </c>
      <c r="W88" s="44">
        <f>R88/L88</f>
        <v>158.70595587552256</v>
      </c>
      <c r="X88" s="3">
        <v>74.649498492262481</v>
      </c>
      <c r="Y88" s="10">
        <f>W88/X88</f>
        <v>2.1260150313263342</v>
      </c>
    </row>
    <row r="89" spans="1:25" x14ac:dyDescent="0.2">
      <c r="A89" s="42" t="str">
        <f t="shared" ref="A89:A113" si="12">$A$87&amp;$B89</f>
        <v>LatAm38898</v>
      </c>
      <c r="B89" s="1">
        <v>38898</v>
      </c>
      <c r="C89" s="34">
        <v>46</v>
      </c>
      <c r="D89" s="34">
        <v>46</v>
      </c>
      <c r="E89" s="37">
        <v>39</v>
      </c>
      <c r="F89" s="37">
        <v>143832.16203987598</v>
      </c>
      <c r="G89" s="37">
        <v>24947.722377517028</v>
      </c>
      <c r="H89" s="37">
        <v>118884.43966235896</v>
      </c>
      <c r="I89" s="37">
        <v>20954.165478184819</v>
      </c>
      <c r="J89" s="37">
        <v>121752.09867504239</v>
      </c>
      <c r="K89" s="37">
        <v>10914.693086542655</v>
      </c>
      <c r="L89" s="38">
        <v>0.97644673854586073</v>
      </c>
      <c r="M89" s="38">
        <v>1.1813526305100128</v>
      </c>
      <c r="N89" s="38">
        <v>10.500980531998774</v>
      </c>
      <c r="O89" s="39">
        <v>119.05853470275332</v>
      </c>
      <c r="P89" s="39">
        <v>17.345023549462134</v>
      </c>
      <c r="Q89" s="39">
        <v>14.5684839753542</v>
      </c>
      <c r="R89" s="44">
        <v>189.44002059017166</v>
      </c>
      <c r="T89" s="35">
        <v>227</v>
      </c>
      <c r="U89" s="44">
        <f t="shared" ref="U89:U113" si="13">R89-T89</f>
        <v>-37.559979409828344</v>
      </c>
      <c r="W89" s="44">
        <f t="shared" ref="W89:W113" si="14">R89/L89</f>
        <v>194.0095789272527</v>
      </c>
      <c r="X89" s="3">
        <v>79.101138779969233</v>
      </c>
      <c r="Y89" s="10">
        <f t="shared" ref="Y89:Y113" si="15">W89/X89</f>
        <v>2.4526774445930193</v>
      </c>
    </row>
    <row r="90" spans="1:25" x14ac:dyDescent="0.2">
      <c r="A90" s="42" t="str">
        <f t="shared" si="12"/>
        <v>LatAm38990</v>
      </c>
      <c r="B90" s="1">
        <v>38990</v>
      </c>
      <c r="C90" s="34">
        <v>47</v>
      </c>
      <c r="D90" s="34">
        <v>47</v>
      </c>
      <c r="E90" s="37">
        <v>36</v>
      </c>
      <c r="F90" s="37">
        <v>163972.05010139942</v>
      </c>
      <c r="G90" s="37">
        <v>28628.732774108066</v>
      </c>
      <c r="H90" s="37">
        <v>135343.31732729136</v>
      </c>
      <c r="I90" s="37">
        <v>27338.186398521066</v>
      </c>
      <c r="J90" s="37">
        <v>151262.07993343472</v>
      </c>
      <c r="K90" s="37">
        <v>10700.818691649009</v>
      </c>
      <c r="L90" s="38">
        <v>0.89476038797596413</v>
      </c>
      <c r="M90" s="38">
        <v>1.0840261496705448</v>
      </c>
      <c r="N90" s="38">
        <v>11.115822327055735</v>
      </c>
      <c r="O90" s="39">
        <v>104.72067296920918</v>
      </c>
      <c r="P90" s="39">
        <v>17.459519934284053</v>
      </c>
      <c r="Q90" s="39">
        <v>16.672467278182644</v>
      </c>
      <c r="R90" s="44">
        <v>170.52685707214673</v>
      </c>
      <c r="T90" s="35">
        <v>219</v>
      </c>
      <c r="U90" s="44">
        <f t="shared" si="13"/>
        <v>-48.473142927853274</v>
      </c>
      <c r="W90" s="44">
        <f t="shared" si="14"/>
        <v>190.58382485828997</v>
      </c>
      <c r="X90" s="3">
        <v>82.426664650883126</v>
      </c>
      <c r="Y90" s="10">
        <f t="shared" si="15"/>
        <v>2.3121622798338963</v>
      </c>
    </row>
    <row r="91" spans="1:25" x14ac:dyDescent="0.2">
      <c r="A91" s="42" t="str">
        <f t="shared" si="12"/>
        <v>LatAm39082</v>
      </c>
      <c r="B91" s="1">
        <v>39082</v>
      </c>
      <c r="C91" s="34">
        <v>48</v>
      </c>
      <c r="D91" s="34">
        <v>48</v>
      </c>
      <c r="E91" s="37">
        <v>35</v>
      </c>
      <c r="F91" s="37">
        <v>171206.65074074268</v>
      </c>
      <c r="G91" s="37">
        <v>37649.928996272269</v>
      </c>
      <c r="H91" s="37">
        <v>133556.72174447041</v>
      </c>
      <c r="I91" s="37">
        <v>27517.976901963353</v>
      </c>
      <c r="J91" s="37">
        <v>153245.76292446256</v>
      </c>
      <c r="K91" s="37">
        <v>9641.352318205405</v>
      </c>
      <c r="L91" s="38">
        <v>0.87151983321263371</v>
      </c>
      <c r="M91" s="38">
        <v>1.1172031609456854</v>
      </c>
      <c r="N91" s="38">
        <v>12.420149917047439</v>
      </c>
      <c r="O91" s="39">
        <v>136.81939312037878</v>
      </c>
      <c r="P91" s="39">
        <v>21.990926656982126</v>
      </c>
      <c r="Q91" s="39">
        <v>16.072960240098194</v>
      </c>
      <c r="R91" s="44">
        <v>131.79615577697624</v>
      </c>
      <c r="T91" s="35">
        <v>178</v>
      </c>
      <c r="U91" s="44">
        <f t="shared" si="13"/>
        <v>-46.203844223023765</v>
      </c>
      <c r="W91" s="44">
        <f t="shared" si="14"/>
        <v>151.2256528817521</v>
      </c>
      <c r="X91" s="3">
        <v>72.305867651615713</v>
      </c>
      <c r="Y91" s="10">
        <f t="shared" si="15"/>
        <v>2.0914713811386356</v>
      </c>
    </row>
    <row r="92" spans="1:25" x14ac:dyDescent="0.2">
      <c r="A92" s="42" t="str">
        <f t="shared" si="12"/>
        <v>LatAm39172</v>
      </c>
      <c r="B92" s="1">
        <v>39172</v>
      </c>
      <c r="C92" s="34">
        <v>49</v>
      </c>
      <c r="D92" s="34">
        <v>50</v>
      </c>
      <c r="E92" s="37">
        <v>38</v>
      </c>
      <c r="F92" s="37">
        <v>175692.48147344589</v>
      </c>
      <c r="G92" s="37">
        <v>34484.68361312151</v>
      </c>
      <c r="H92" s="37">
        <v>141207.79786032438</v>
      </c>
      <c r="I92" s="37">
        <v>28496.403509328142</v>
      </c>
      <c r="J92" s="37">
        <v>151612.60989320278</v>
      </c>
      <c r="K92" s="37">
        <v>10453.631211371394</v>
      </c>
      <c r="L92" s="38">
        <v>0.93137238360181496</v>
      </c>
      <c r="M92" s="38">
        <v>1.1588249921771361</v>
      </c>
      <c r="N92" s="38">
        <v>11.62321603412504</v>
      </c>
      <c r="O92" s="39">
        <v>121.43523445246014</v>
      </c>
      <c r="P92" s="39">
        <v>19.537172549285213</v>
      </c>
      <c r="Q92" s="39">
        <v>16.08855340657632</v>
      </c>
      <c r="R92" s="44">
        <v>135.02722676889294</v>
      </c>
      <c r="T92" s="35">
        <v>182</v>
      </c>
      <c r="U92" s="44">
        <f t="shared" si="13"/>
        <v>-46.972773231107055</v>
      </c>
      <c r="W92" s="44">
        <f t="shared" si="14"/>
        <v>144.97662712170396</v>
      </c>
      <c r="X92" s="3">
        <v>70.667489236998037</v>
      </c>
      <c r="Y92" s="10">
        <f t="shared" si="15"/>
        <v>2.0515321640407351</v>
      </c>
    </row>
    <row r="93" spans="1:25" x14ac:dyDescent="0.2">
      <c r="A93" s="42" t="str">
        <f t="shared" si="12"/>
        <v>LatAm39263</v>
      </c>
      <c r="B93" s="1">
        <v>39263</v>
      </c>
      <c r="C93" s="34">
        <v>50</v>
      </c>
      <c r="D93" s="34">
        <v>52</v>
      </c>
      <c r="E93" s="37">
        <v>38</v>
      </c>
      <c r="F93" s="37">
        <v>174741.58168697357</v>
      </c>
      <c r="G93" s="37">
        <v>35098.742389917374</v>
      </c>
      <c r="H93" s="37">
        <v>139642.8392970562</v>
      </c>
      <c r="I93" s="37">
        <v>26573.263315627351</v>
      </c>
      <c r="J93" s="37">
        <v>153934.53051045537</v>
      </c>
      <c r="K93" s="37">
        <v>11633.96218238771</v>
      </c>
      <c r="L93" s="38">
        <v>0.9071573404225346</v>
      </c>
      <c r="M93" s="38">
        <v>1.13516818551056</v>
      </c>
      <c r="N93" s="38">
        <v>10.617367200834389</v>
      </c>
      <c r="O93" s="39">
        <v>135.30405579166165</v>
      </c>
      <c r="P93" s="39">
        <v>20.365908946983481</v>
      </c>
      <c r="Q93" s="39">
        <v>15.051957480374778</v>
      </c>
      <c r="R93" s="44">
        <v>130.70471154199589</v>
      </c>
      <c r="T93" s="35">
        <v>189</v>
      </c>
      <c r="U93" s="44">
        <f t="shared" si="13"/>
        <v>-58.295288458004109</v>
      </c>
      <c r="W93" s="44">
        <f t="shared" si="14"/>
        <v>144.08163360185833</v>
      </c>
      <c r="X93" s="3">
        <v>73.413395096249914</v>
      </c>
      <c r="Y93" s="10">
        <f t="shared" si="15"/>
        <v>1.9626068704894739</v>
      </c>
    </row>
    <row r="94" spans="1:25" x14ac:dyDescent="0.2">
      <c r="A94" s="42" t="str">
        <f t="shared" si="12"/>
        <v>LatAm39355</v>
      </c>
      <c r="B94" s="1">
        <v>39355</v>
      </c>
      <c r="C94" s="34">
        <v>50</v>
      </c>
      <c r="D94" s="34">
        <v>53</v>
      </c>
      <c r="E94" s="37">
        <v>38</v>
      </c>
      <c r="F94" s="37">
        <v>177342.51603317261</v>
      </c>
      <c r="G94" s="37">
        <v>32781.278018116951</v>
      </c>
      <c r="H94" s="37">
        <v>144561.23801505566</v>
      </c>
      <c r="I94" s="37">
        <v>29152.548115918413</v>
      </c>
      <c r="J94" s="37">
        <v>155860.21709600091</v>
      </c>
      <c r="K94" s="37">
        <v>11515.136423334479</v>
      </c>
      <c r="L94" s="38">
        <v>0.92750568880585005</v>
      </c>
      <c r="M94" s="38">
        <v>1.1378305467388117</v>
      </c>
      <c r="N94" s="38">
        <v>10.816554582671859</v>
      </c>
      <c r="O94" s="39">
        <v>118.25216155326947</v>
      </c>
      <c r="P94" s="39">
        <v>19.136201906832053</v>
      </c>
      <c r="Q94" s="39">
        <v>16.182538784470083</v>
      </c>
      <c r="R94" s="44">
        <v>181.92945343914934</v>
      </c>
      <c r="T94" s="35">
        <v>259</v>
      </c>
      <c r="U94" s="44">
        <f t="shared" si="13"/>
        <v>-77.070546560850659</v>
      </c>
      <c r="W94" s="44">
        <f t="shared" si="14"/>
        <v>196.14915103472933</v>
      </c>
      <c r="X94" s="3">
        <v>105.71931483046447</v>
      </c>
      <c r="Y94" s="10">
        <f t="shared" si="15"/>
        <v>1.8553766769041362</v>
      </c>
    </row>
    <row r="95" spans="1:25" x14ac:dyDescent="0.2">
      <c r="A95" s="42" t="str">
        <f t="shared" si="12"/>
        <v>LatAm39447</v>
      </c>
      <c r="B95" s="1">
        <v>39447</v>
      </c>
      <c r="C95" s="34">
        <v>52</v>
      </c>
      <c r="D95" s="34">
        <v>54</v>
      </c>
      <c r="E95" s="37">
        <v>42</v>
      </c>
      <c r="F95" s="37">
        <v>190434.62680053711</v>
      </c>
      <c r="G95" s="37">
        <v>37952.829144597054</v>
      </c>
      <c r="H95" s="37">
        <v>152481.79765594006</v>
      </c>
      <c r="I95" s="37">
        <v>33377.8507500384</v>
      </c>
      <c r="J95" s="37">
        <v>170705.06096616387</v>
      </c>
      <c r="K95" s="37">
        <v>14576.053167685866</v>
      </c>
      <c r="L95" s="38">
        <v>0.89324708238242612</v>
      </c>
      <c r="M95" s="38">
        <v>1.1155769238633406</v>
      </c>
      <c r="N95" s="38">
        <v>9.8420460790788535</v>
      </c>
      <c r="O95" s="39">
        <v>116.12085927127997</v>
      </c>
      <c r="P95" s="39">
        <v>20.283555148987116</v>
      </c>
      <c r="Q95" s="39">
        <v>17.46762405676051</v>
      </c>
      <c r="R95" s="44">
        <v>267.47576048757321</v>
      </c>
      <c r="T95" s="35">
        <v>352</v>
      </c>
      <c r="U95" s="44">
        <f t="shared" si="13"/>
        <v>-84.524239512426789</v>
      </c>
      <c r="W95" s="44">
        <f t="shared" si="14"/>
        <v>299.44207572911921</v>
      </c>
      <c r="X95" s="3">
        <v>141.64643191733737</v>
      </c>
      <c r="Y95" s="10">
        <f t="shared" si="15"/>
        <v>2.1140107214551573</v>
      </c>
    </row>
    <row r="96" spans="1:25" x14ac:dyDescent="0.2">
      <c r="A96" s="42" t="str">
        <f t="shared" si="12"/>
        <v>LatAm39538</v>
      </c>
      <c r="B96" s="1">
        <v>39538</v>
      </c>
      <c r="C96" s="34">
        <v>66</v>
      </c>
      <c r="D96" s="34">
        <v>66</v>
      </c>
      <c r="E96" s="37">
        <v>59</v>
      </c>
      <c r="F96" s="37">
        <v>210884.84730243683</v>
      </c>
      <c r="G96" s="37">
        <v>62588.569564878941</v>
      </c>
      <c r="H96" s="37">
        <v>148296.27773755789</v>
      </c>
      <c r="I96" s="37">
        <v>38737.959785953164</v>
      </c>
      <c r="J96" s="37">
        <v>192456.40077960491</v>
      </c>
      <c r="K96" s="37">
        <v>15048.110089361668</v>
      </c>
      <c r="L96" s="38">
        <v>0.77054479423306987</v>
      </c>
      <c r="M96" s="38">
        <v>1.0957538769725597</v>
      </c>
      <c r="N96" s="38">
        <v>10.853029249454623</v>
      </c>
      <c r="O96" s="39">
        <v>161.49174690854574</v>
      </c>
      <c r="P96" s="39">
        <v>29.689319188662271</v>
      </c>
      <c r="Q96" s="39">
        <v>18.384418867841962</v>
      </c>
      <c r="R96" s="44">
        <v>369.72359856774261</v>
      </c>
      <c r="T96" s="35">
        <v>451</v>
      </c>
      <c r="U96" s="44">
        <f t="shared" si="13"/>
        <v>-81.276401432257387</v>
      </c>
      <c r="W96" s="44">
        <f t="shared" si="14"/>
        <v>479.82103225514851</v>
      </c>
      <c r="X96" s="3">
        <v>190.18118089299128</v>
      </c>
      <c r="Y96" s="10">
        <f t="shared" si="15"/>
        <v>2.5229679929536672</v>
      </c>
    </row>
    <row r="97" spans="1:25" x14ac:dyDescent="0.2">
      <c r="A97" s="42" t="str">
        <f t="shared" si="12"/>
        <v>LatAm39629</v>
      </c>
      <c r="B97" s="1">
        <v>39629</v>
      </c>
      <c r="C97" s="34">
        <v>68</v>
      </c>
      <c r="D97" s="34">
        <v>69</v>
      </c>
      <c r="E97" s="37">
        <v>61</v>
      </c>
      <c r="F97" s="37">
        <v>245890.47295951843</v>
      </c>
      <c r="G97" s="37">
        <v>72871.252505362034</v>
      </c>
      <c r="H97" s="37">
        <v>173019.2204541564</v>
      </c>
      <c r="I97" s="37">
        <v>42635.595150366426</v>
      </c>
      <c r="J97" s="37">
        <v>225820.50266253948</v>
      </c>
      <c r="K97" s="37">
        <v>16402.215650647879</v>
      </c>
      <c r="L97" s="38">
        <v>0.76618029990267089</v>
      </c>
      <c r="M97" s="38">
        <v>1.0888757666391833</v>
      </c>
      <c r="N97" s="38">
        <v>11.731378258597985</v>
      </c>
      <c r="O97" s="39">
        <v>170.93223356750011</v>
      </c>
      <c r="P97" s="39">
        <v>29.640821844129594</v>
      </c>
      <c r="Q97" s="39">
        <v>17.340685969814238</v>
      </c>
      <c r="R97" s="44">
        <v>317.92843826776868</v>
      </c>
      <c r="T97" s="35">
        <v>408</v>
      </c>
      <c r="U97" s="44">
        <f t="shared" si="13"/>
        <v>-90.071561732231316</v>
      </c>
      <c r="W97" s="44">
        <f t="shared" si="14"/>
        <v>414.95250962228556</v>
      </c>
      <c r="X97" s="3">
        <v>173.16421780962932</v>
      </c>
      <c r="Y97" s="10">
        <f t="shared" si="15"/>
        <v>2.3962947707734275</v>
      </c>
    </row>
    <row r="98" spans="1:25" x14ac:dyDescent="0.2">
      <c r="A98" s="42" t="str">
        <f t="shared" si="12"/>
        <v>LatAm39721</v>
      </c>
      <c r="B98" s="1">
        <v>39721</v>
      </c>
      <c r="C98" s="34">
        <v>68</v>
      </c>
      <c r="D98" s="34">
        <v>69</v>
      </c>
      <c r="E98" s="37">
        <v>61</v>
      </c>
      <c r="F98" s="37">
        <v>261838.12435817719</v>
      </c>
      <c r="G98" s="37">
        <v>83969.516580104828</v>
      </c>
      <c r="H98" s="37">
        <v>177868.60777807236</v>
      </c>
      <c r="I98" s="37">
        <v>45767.247253417969</v>
      </c>
      <c r="J98" s="37">
        <v>249202.86428642273</v>
      </c>
      <c r="K98" s="37">
        <v>18309.557290680707</v>
      </c>
      <c r="L98" s="38">
        <v>0.71375025438567219</v>
      </c>
      <c r="M98" s="38">
        <v>1.0507027080444471</v>
      </c>
      <c r="N98" s="38">
        <v>11.628707682985</v>
      </c>
      <c r="O98" s="39">
        <v>183.43464015919798</v>
      </c>
      <c r="P98" s="39">
        <v>32.063649715152117</v>
      </c>
      <c r="Q98" s="39">
        <v>17.479604554147972</v>
      </c>
      <c r="R98" s="44">
        <v>464.74890961529297</v>
      </c>
      <c r="T98" s="35">
        <v>592</v>
      </c>
      <c r="U98" s="44">
        <f t="shared" si="13"/>
        <v>-127.25109038470703</v>
      </c>
      <c r="W98" s="44">
        <f t="shared" si="14"/>
        <v>651.13659401117036</v>
      </c>
      <c r="X98" s="3">
        <v>268.56652368612174</v>
      </c>
      <c r="Y98" s="10">
        <f t="shared" si="15"/>
        <v>2.4244890430654147</v>
      </c>
    </row>
    <row r="99" spans="1:25" x14ac:dyDescent="0.2">
      <c r="A99" s="42" t="str">
        <f t="shared" si="12"/>
        <v>LatAm39813</v>
      </c>
      <c r="B99" s="1">
        <v>39813</v>
      </c>
      <c r="C99" s="34">
        <v>71</v>
      </c>
      <c r="D99" s="34">
        <v>70</v>
      </c>
      <c r="E99" s="37">
        <v>63</v>
      </c>
      <c r="F99" s="37">
        <v>272016.25337123871</v>
      </c>
      <c r="G99" s="37">
        <v>80106.834202289581</v>
      </c>
      <c r="H99" s="37">
        <v>191909.41916894913</v>
      </c>
      <c r="I99" s="37">
        <v>53698.022399544716</v>
      </c>
      <c r="J99" s="37">
        <v>236866.19253349304</v>
      </c>
      <c r="K99" s="37">
        <v>17297.870499022305</v>
      </c>
      <c r="L99" s="38">
        <v>0.8102018152793713</v>
      </c>
      <c r="M99" s="38">
        <v>1.1483962758120301</v>
      </c>
      <c r="N99" s="38">
        <v>11.478527694831742</v>
      </c>
      <c r="O99" s="39">
        <v>149.07183472409565</v>
      </c>
      <c r="P99" s="39">
        <v>29.471904590744312</v>
      </c>
      <c r="Q99" s="39">
        <v>19.770270249434677</v>
      </c>
      <c r="R99" s="84">
        <v>803.44592504595312</v>
      </c>
      <c r="T99" s="35">
        <v>1044</v>
      </c>
      <c r="U99" s="44">
        <f t="shared" si="13"/>
        <v>-240.55407495404688</v>
      </c>
      <c r="W99" s="44">
        <f t="shared" si="14"/>
        <v>991.66147235662686</v>
      </c>
      <c r="X99" s="3">
        <v>375.24267309373568</v>
      </c>
      <c r="Y99" s="10">
        <f t="shared" si="15"/>
        <v>2.64272041391441</v>
      </c>
    </row>
    <row r="100" spans="1:25" x14ac:dyDescent="0.2">
      <c r="A100" s="42" t="str">
        <f t="shared" si="12"/>
        <v>LatAm39903</v>
      </c>
      <c r="B100" s="1">
        <v>39903</v>
      </c>
      <c r="C100" s="34">
        <v>70</v>
      </c>
      <c r="D100" s="34">
        <v>70</v>
      </c>
      <c r="E100" s="37">
        <v>65</v>
      </c>
      <c r="F100" s="37">
        <v>282107.78580409288</v>
      </c>
      <c r="G100" s="37">
        <v>80208.84666633606</v>
      </c>
      <c r="H100" s="37">
        <v>201898.93913775682</v>
      </c>
      <c r="I100" s="37">
        <v>51849.598729431629</v>
      </c>
      <c r="J100" s="37">
        <v>214200.98612976074</v>
      </c>
      <c r="K100" s="37">
        <v>17977.436603844166</v>
      </c>
      <c r="L100" s="38">
        <v>0.94256773876591093</v>
      </c>
      <c r="M100" s="38">
        <v>1.3170237490559213</v>
      </c>
      <c r="N100" s="38">
        <v>9.9015369101488897</v>
      </c>
      <c r="O100" s="39">
        <v>154.69521198204902</v>
      </c>
      <c r="P100" s="39">
        <v>28.431986177806646</v>
      </c>
      <c r="Q100" s="39">
        <v>18.379357585486172</v>
      </c>
      <c r="R100" s="44">
        <v>744.58921928106054</v>
      </c>
      <c r="T100" s="35">
        <v>963</v>
      </c>
      <c r="U100" s="44">
        <f t="shared" si="13"/>
        <v>-218.41078071893946</v>
      </c>
      <c r="W100" s="44">
        <f t="shared" si="14"/>
        <v>789.95831138453718</v>
      </c>
      <c r="X100" s="3">
        <v>382.70274484058507</v>
      </c>
      <c r="Y100" s="10">
        <f t="shared" si="15"/>
        <v>2.0641563773303861</v>
      </c>
    </row>
    <row r="101" spans="1:25" x14ac:dyDescent="0.2">
      <c r="A101" s="42" t="str">
        <f t="shared" si="12"/>
        <v>LatAm39994</v>
      </c>
      <c r="B101" s="1">
        <v>39994</v>
      </c>
      <c r="C101" s="34">
        <v>70</v>
      </c>
      <c r="D101" s="34">
        <v>70</v>
      </c>
      <c r="E101" s="37">
        <v>65</v>
      </c>
      <c r="F101" s="37">
        <v>301978.90505152941</v>
      </c>
      <c r="G101" s="37">
        <v>82124.126217842102</v>
      </c>
      <c r="H101" s="37">
        <v>219854.77883368731</v>
      </c>
      <c r="I101" s="37">
        <v>55842.952396214008</v>
      </c>
      <c r="J101" s="37">
        <v>183297.12110137939</v>
      </c>
      <c r="K101" s="37">
        <v>18525.481653273106</v>
      </c>
      <c r="L101" s="38">
        <v>1.1994448004019023</v>
      </c>
      <c r="M101" s="38">
        <v>1.6474830768591753</v>
      </c>
      <c r="N101" s="38">
        <v>8.1130472996594225</v>
      </c>
      <c r="O101" s="39">
        <v>147.06265104889025</v>
      </c>
      <c r="P101" s="39">
        <v>27.195318892830784</v>
      </c>
      <c r="Q101" s="39">
        <v>18.492335544658332</v>
      </c>
      <c r="R101" s="44">
        <v>493.93522658468584</v>
      </c>
      <c r="T101" s="35">
        <v>634</v>
      </c>
      <c r="U101" s="44">
        <f t="shared" si="13"/>
        <v>-140.06477341531416</v>
      </c>
      <c r="W101" s="44">
        <f t="shared" si="14"/>
        <v>411.80321630406098</v>
      </c>
      <c r="X101" s="3">
        <v>236.86459324791133</v>
      </c>
      <c r="Y101" s="10">
        <f t="shared" si="15"/>
        <v>1.7385596160970009</v>
      </c>
    </row>
    <row r="102" spans="1:25" x14ac:dyDescent="0.2">
      <c r="A102" s="42" t="str">
        <f t="shared" si="12"/>
        <v>LatAm40086</v>
      </c>
      <c r="B102" s="1">
        <v>40086</v>
      </c>
      <c r="C102" s="34">
        <v>71</v>
      </c>
      <c r="D102" s="34">
        <v>71</v>
      </c>
      <c r="E102" s="37">
        <v>66</v>
      </c>
      <c r="F102" s="37">
        <v>328523.61583644152</v>
      </c>
      <c r="G102" s="37">
        <v>106659.24081897736</v>
      </c>
      <c r="H102" s="37">
        <v>221864.37501746416</v>
      </c>
      <c r="I102" s="37">
        <v>53221.314358055592</v>
      </c>
      <c r="J102" s="37">
        <v>164461.93983459473</v>
      </c>
      <c r="K102" s="37">
        <v>17271.497114017606</v>
      </c>
      <c r="L102" s="38">
        <v>1.3490317288036437</v>
      </c>
      <c r="M102" s="38">
        <v>1.9975662221110215</v>
      </c>
      <c r="N102" s="38">
        <v>7.7344830676952583</v>
      </c>
      <c r="O102" s="39">
        <v>200.40700254302041</v>
      </c>
      <c r="P102" s="39">
        <v>32.466232464724435</v>
      </c>
      <c r="Q102" s="39">
        <v>16.200148723722897</v>
      </c>
      <c r="R102" s="44">
        <v>357.01091971096668</v>
      </c>
      <c r="T102" s="35">
        <v>477</v>
      </c>
      <c r="U102" s="44">
        <f t="shared" si="13"/>
        <v>-119.98908028903332</v>
      </c>
      <c r="W102" s="44">
        <f t="shared" si="14"/>
        <v>264.64234464490556</v>
      </c>
      <c r="X102" s="3">
        <v>169.85935116272969</v>
      </c>
      <c r="Y102" s="10">
        <f t="shared" si="15"/>
        <v>1.5580086867950607</v>
      </c>
    </row>
    <row r="103" spans="1:25" x14ac:dyDescent="0.2">
      <c r="A103" s="42" t="str">
        <f t="shared" si="12"/>
        <v>LatAm40178</v>
      </c>
      <c r="B103" s="1">
        <v>40178</v>
      </c>
      <c r="C103" s="34">
        <v>74</v>
      </c>
      <c r="D103" s="34">
        <v>74</v>
      </c>
      <c r="E103" s="37">
        <v>74</v>
      </c>
      <c r="F103" s="37">
        <v>367131.98155146837</v>
      </c>
      <c r="G103" s="37">
        <v>112948.18182373047</v>
      </c>
      <c r="H103" s="37">
        <v>254183.7997277379</v>
      </c>
      <c r="I103" s="37">
        <v>57002.787099421024</v>
      </c>
      <c r="J103" s="37">
        <v>175592.16213226318</v>
      </c>
      <c r="K103" s="37">
        <v>21199.891113579273</v>
      </c>
      <c r="L103" s="38">
        <v>1.4475805562225283</v>
      </c>
      <c r="M103" s="38">
        <v>2.0908221477159645</v>
      </c>
      <c r="N103" s="38">
        <v>8.2651931933688747</v>
      </c>
      <c r="O103" s="39">
        <v>198.14501635987142</v>
      </c>
      <c r="P103" s="39">
        <v>30.765007544812935</v>
      </c>
      <c r="Q103" s="39">
        <v>15.526510890860589</v>
      </c>
      <c r="R103" s="44">
        <v>317.34877897222708</v>
      </c>
      <c r="T103" s="35">
        <v>426</v>
      </c>
      <c r="U103" s="44">
        <f t="shared" si="13"/>
        <v>-108.65122102777292</v>
      </c>
      <c r="W103" s="44">
        <f t="shared" si="14"/>
        <v>219.22702512691311</v>
      </c>
      <c r="X103" s="3">
        <v>142.79511564870424</v>
      </c>
      <c r="Y103" s="10">
        <f t="shared" si="15"/>
        <v>1.5352557692956526</v>
      </c>
    </row>
    <row r="104" spans="1:25" x14ac:dyDescent="0.2">
      <c r="A104" s="42" t="str">
        <f t="shared" si="12"/>
        <v>LatAm40268</v>
      </c>
      <c r="B104" s="1">
        <v>40268</v>
      </c>
      <c r="C104" s="34">
        <v>78</v>
      </c>
      <c r="D104" s="34">
        <v>77</v>
      </c>
      <c r="E104" s="37">
        <v>77</v>
      </c>
      <c r="F104" s="37">
        <v>370259.09543037415</v>
      </c>
      <c r="G104" s="37">
        <v>117216.25031232834</v>
      </c>
      <c r="H104" s="37">
        <v>253042.84511804581</v>
      </c>
      <c r="I104" s="37">
        <v>59503.895658731461</v>
      </c>
      <c r="J104" s="37">
        <v>195913.28441619873</v>
      </c>
      <c r="K104" s="37">
        <v>22327.44341802597</v>
      </c>
      <c r="L104" s="38">
        <v>1.2916063648878495</v>
      </c>
      <c r="M104" s="38">
        <v>1.8899131650704946</v>
      </c>
      <c r="N104" s="38">
        <v>8.7628673888466331</v>
      </c>
      <c r="O104" s="39">
        <v>196.80415041318622</v>
      </c>
      <c r="P104" s="39">
        <v>31.664439942102845</v>
      </c>
      <c r="Q104" s="39">
        <v>16.089315126547895</v>
      </c>
      <c r="R104" s="44">
        <v>275.91211977585829</v>
      </c>
      <c r="T104" s="35">
        <v>373</v>
      </c>
      <c r="U104" s="44">
        <f t="shared" si="13"/>
        <v>-97.087880224141713</v>
      </c>
      <c r="W104" s="44">
        <f t="shared" si="14"/>
        <v>213.61935592491122</v>
      </c>
      <c r="X104" s="3">
        <v>127.26845922794003</v>
      </c>
      <c r="Y104" s="10">
        <f t="shared" si="15"/>
        <v>1.6784940842437264</v>
      </c>
    </row>
    <row r="105" spans="1:25" x14ac:dyDescent="0.2">
      <c r="A105" s="42" t="str">
        <f t="shared" si="12"/>
        <v>LatAm40359</v>
      </c>
      <c r="B105" s="1">
        <v>40359</v>
      </c>
      <c r="C105" s="34">
        <v>80</v>
      </c>
      <c r="D105" s="34">
        <v>79</v>
      </c>
      <c r="E105" s="37">
        <v>79</v>
      </c>
      <c r="F105" s="37">
        <v>383395.47135925293</v>
      </c>
      <c r="G105" s="37">
        <v>117606.51121234894</v>
      </c>
      <c r="H105" s="37">
        <v>265788.96014690399</v>
      </c>
      <c r="I105" s="37">
        <v>65123.728752613068</v>
      </c>
      <c r="J105" s="37">
        <v>214879.56497955322</v>
      </c>
      <c r="K105" s="37">
        <v>24216.215994715691</v>
      </c>
      <c r="L105" s="38">
        <v>1.2369205986255372</v>
      </c>
      <c r="M105" s="38">
        <v>1.7842342122934527</v>
      </c>
      <c r="N105" s="38">
        <v>8.8615067617557575</v>
      </c>
      <c r="O105" s="39">
        <v>180.43346328905727</v>
      </c>
      <c r="P105" s="39">
        <v>30.682777116198206</v>
      </c>
      <c r="Q105" s="39">
        <v>17.005036957609082</v>
      </c>
      <c r="R105" s="44">
        <v>332.34485169469917</v>
      </c>
      <c r="T105" s="35">
        <v>439</v>
      </c>
      <c r="U105" s="44">
        <f t="shared" si="13"/>
        <v>-106.65514830530083</v>
      </c>
      <c r="W105" s="44">
        <f t="shared" si="14"/>
        <v>268.68729655242208</v>
      </c>
      <c r="X105" s="3">
        <v>150.59831028304566</v>
      </c>
      <c r="Y105" s="10">
        <f t="shared" si="15"/>
        <v>1.7841322126883841</v>
      </c>
    </row>
    <row r="106" spans="1:25" x14ac:dyDescent="0.2">
      <c r="A106" s="42" t="str">
        <f t="shared" si="12"/>
        <v>LatAm40451</v>
      </c>
      <c r="B106" s="1">
        <v>40451</v>
      </c>
      <c r="C106" s="34">
        <v>85</v>
      </c>
      <c r="D106" s="34">
        <v>84</v>
      </c>
      <c r="E106" s="37">
        <v>84</v>
      </c>
      <c r="F106" s="37">
        <v>431561.14273452759</v>
      </c>
      <c r="G106" s="37">
        <v>154387.29178476334</v>
      </c>
      <c r="H106" s="37">
        <v>277173.85094976425</v>
      </c>
      <c r="I106" s="37">
        <v>70181.808553338051</v>
      </c>
      <c r="J106" s="37">
        <v>232657.10674667358</v>
      </c>
      <c r="K106" s="37">
        <v>27261.028334140778</v>
      </c>
      <c r="L106" s="38">
        <v>1.1913405733681812</v>
      </c>
      <c r="M106" s="38">
        <v>1.8549235343342798</v>
      </c>
      <c r="N106" s="38">
        <v>8.525099479087574</v>
      </c>
      <c r="O106" s="39">
        <v>219.84459643719566</v>
      </c>
      <c r="P106" s="39">
        <v>35.787643259894594</v>
      </c>
      <c r="Q106" s="39">
        <v>16.27860945407329</v>
      </c>
      <c r="R106" s="44">
        <v>313.42812631480552</v>
      </c>
      <c r="T106" s="35">
        <v>393</v>
      </c>
      <c r="U106" s="44">
        <f t="shared" si="13"/>
        <v>-79.571873685194475</v>
      </c>
      <c r="W106" s="44">
        <f t="shared" si="14"/>
        <v>263.08860230343322</v>
      </c>
      <c r="X106" s="3">
        <v>138.34216078085001</v>
      </c>
      <c r="Y106" s="10">
        <f t="shared" si="15"/>
        <v>1.9017239633852185</v>
      </c>
    </row>
    <row r="107" spans="1:25" x14ac:dyDescent="0.2">
      <c r="A107" s="42" t="str">
        <f t="shared" si="12"/>
        <v>LatAm40543</v>
      </c>
      <c r="B107" s="1">
        <v>40543</v>
      </c>
      <c r="C107" s="34">
        <v>91</v>
      </c>
      <c r="D107" s="34">
        <v>91</v>
      </c>
      <c r="E107" s="37">
        <v>90</v>
      </c>
      <c r="F107" s="37">
        <v>465257.30480194092</v>
      </c>
      <c r="G107" s="37">
        <v>139171.03200817108</v>
      </c>
      <c r="H107" s="37">
        <v>326086.27279376984</v>
      </c>
      <c r="I107" s="37">
        <v>64350.45646584034</v>
      </c>
      <c r="J107" s="37">
        <v>254974.87842178345</v>
      </c>
      <c r="K107" s="37">
        <v>27545.887905359268</v>
      </c>
      <c r="L107" s="38">
        <v>1.278895688909214</v>
      </c>
      <c r="M107" s="38">
        <v>1.8247182141305112</v>
      </c>
      <c r="N107" s="38">
        <v>9.2492622312329029</v>
      </c>
      <c r="O107" s="39">
        <v>216.27046590112121</v>
      </c>
      <c r="P107" s="39">
        <v>29.912702191192015</v>
      </c>
      <c r="Q107" s="39">
        <v>13.831154460483797</v>
      </c>
      <c r="R107" s="44">
        <v>289.03024401363581</v>
      </c>
      <c r="T107" s="35">
        <v>382</v>
      </c>
      <c r="U107" s="44">
        <f t="shared" si="13"/>
        <v>-92.969755986364191</v>
      </c>
      <c r="W107" s="44">
        <f t="shared" si="14"/>
        <v>225.99985794005866</v>
      </c>
      <c r="X107" s="3">
        <v>139.99744208364336</v>
      </c>
      <c r="Y107" s="10">
        <f t="shared" si="15"/>
        <v>1.6143141944338668</v>
      </c>
    </row>
    <row r="108" spans="1:25" x14ac:dyDescent="0.2">
      <c r="A108" s="42" t="str">
        <f t="shared" si="12"/>
        <v>LatAm40633</v>
      </c>
      <c r="B108" s="1">
        <v>40633</v>
      </c>
      <c r="C108" s="34">
        <v>91</v>
      </c>
      <c r="D108" s="34">
        <v>91</v>
      </c>
      <c r="E108" s="37">
        <v>92</v>
      </c>
      <c r="F108" s="37">
        <v>478731.9345741272</v>
      </c>
      <c r="G108" s="37">
        <v>156751.39945602417</v>
      </c>
      <c r="H108" s="37">
        <v>321980.53511810303</v>
      </c>
      <c r="I108" s="37">
        <v>65507.968110598624</v>
      </c>
      <c r="J108" s="37">
        <v>275513.68671417236</v>
      </c>
      <c r="K108" s="37">
        <v>28012.114948272705</v>
      </c>
      <c r="L108" s="38">
        <v>1.16865531784683</v>
      </c>
      <c r="M108" s="38">
        <v>1.737597649988186</v>
      </c>
      <c r="N108" s="38">
        <v>9.8238416064905127</v>
      </c>
      <c r="O108" s="39">
        <v>239.28600440083434</v>
      </c>
      <c r="P108" s="39">
        <v>32.74304221953939</v>
      </c>
      <c r="Q108" s="39">
        <v>13.683642844690011</v>
      </c>
      <c r="R108" s="44">
        <v>258.38232742903102</v>
      </c>
      <c r="T108" s="35">
        <v>375</v>
      </c>
      <c r="U108" s="44">
        <f t="shared" si="13"/>
        <v>-116.61767257096898</v>
      </c>
      <c r="W108" s="44">
        <f t="shared" si="14"/>
        <v>221.09369929970742</v>
      </c>
      <c r="X108" s="3">
        <v>123.844985158784</v>
      </c>
      <c r="Y108" s="10">
        <f t="shared" si="15"/>
        <v>1.7852454745441571</v>
      </c>
    </row>
    <row r="109" spans="1:25" x14ac:dyDescent="0.2">
      <c r="A109" s="42" t="str">
        <f t="shared" si="12"/>
        <v>LatAm40724</v>
      </c>
      <c r="B109" s="1">
        <v>40724</v>
      </c>
      <c r="C109" s="34">
        <v>94</v>
      </c>
      <c r="D109" s="34">
        <v>93</v>
      </c>
      <c r="E109" s="37">
        <v>93</v>
      </c>
      <c r="F109" s="37">
        <v>497634.02526855469</v>
      </c>
      <c r="G109" s="37">
        <v>154605.826587677</v>
      </c>
      <c r="H109" s="37">
        <v>343028.19868087769</v>
      </c>
      <c r="I109" s="37">
        <v>68567.553515911102</v>
      </c>
      <c r="J109" s="37">
        <v>293342.23464202881</v>
      </c>
      <c r="K109" s="37">
        <v>27833.347364664078</v>
      </c>
      <c r="L109" s="38">
        <v>1.1693788284509443</v>
      </c>
      <c r="M109" s="38">
        <v>1.6964281528564309</v>
      </c>
      <c r="N109" s="38">
        <v>10.530772770782898</v>
      </c>
      <c r="O109" s="39">
        <v>225.25962159258651</v>
      </c>
      <c r="P109" s="39">
        <v>31.058155741659316</v>
      </c>
      <c r="Q109" s="39">
        <v>13.787715491164382</v>
      </c>
      <c r="R109" s="44">
        <v>301.23399396815807</v>
      </c>
      <c r="T109" s="35">
        <v>396</v>
      </c>
      <c r="U109" s="44">
        <f t="shared" si="13"/>
        <v>-94.766006031841926</v>
      </c>
      <c r="W109" s="44">
        <f t="shared" si="14"/>
        <v>257.60171694505317</v>
      </c>
      <c r="X109" s="3">
        <v>139.75819972169947</v>
      </c>
      <c r="Y109" s="10">
        <f t="shared" si="15"/>
        <v>1.8431957298964605</v>
      </c>
    </row>
    <row r="110" spans="1:25" x14ac:dyDescent="0.2">
      <c r="A110" s="42" t="str">
        <f t="shared" si="12"/>
        <v>LatAm40816</v>
      </c>
      <c r="B110" s="1">
        <v>40816</v>
      </c>
      <c r="C110" s="34">
        <v>95</v>
      </c>
      <c r="D110" s="34">
        <v>93</v>
      </c>
      <c r="E110" s="37">
        <v>94</v>
      </c>
      <c r="F110" s="37">
        <v>476989.14768981934</v>
      </c>
      <c r="G110" s="37">
        <v>139475.57732009888</v>
      </c>
      <c r="H110" s="37">
        <v>337513.57036972046</v>
      </c>
      <c r="I110" s="37">
        <v>66118.486793994904</v>
      </c>
      <c r="J110" s="37">
        <v>305217.68977737427</v>
      </c>
      <c r="K110" s="37">
        <v>29285.716622829437</v>
      </c>
      <c r="L110" s="38">
        <v>1.1058126107169699</v>
      </c>
      <c r="M110" s="38">
        <v>1.5627834285677713</v>
      </c>
      <c r="N110" s="38">
        <v>10.411121213617191</v>
      </c>
      <c r="O110" s="39">
        <v>210.65366598156862</v>
      </c>
      <c r="P110" s="39">
        <v>29.263598108160771</v>
      </c>
      <c r="Q110" s="39">
        <v>13.89180576174792</v>
      </c>
      <c r="R110" s="44">
        <v>488.72250377423524</v>
      </c>
      <c r="T110" s="35">
        <v>601</v>
      </c>
      <c r="U110" s="44">
        <f t="shared" si="13"/>
        <v>-112.27749622576476</v>
      </c>
      <c r="W110" s="44">
        <f t="shared" si="14"/>
        <v>441.95779559555285</v>
      </c>
      <c r="X110" s="3">
        <v>215.36745735886177</v>
      </c>
      <c r="Y110" s="10">
        <f t="shared" si="15"/>
        <v>2.0521103838781403</v>
      </c>
    </row>
    <row r="111" spans="1:25" x14ac:dyDescent="0.2">
      <c r="A111" s="42" t="str">
        <f t="shared" si="12"/>
        <v>LatAm40908</v>
      </c>
      <c r="B111" s="1">
        <v>40908</v>
      </c>
      <c r="C111" s="34">
        <v>79</v>
      </c>
      <c r="D111" s="34">
        <v>79</v>
      </c>
      <c r="E111" s="37">
        <v>79</v>
      </c>
      <c r="F111" s="37">
        <v>444752.21615600586</v>
      </c>
      <c r="G111" s="37">
        <v>121171.36778843403</v>
      </c>
      <c r="H111" s="37">
        <v>323580.84836757183</v>
      </c>
      <c r="I111" s="37">
        <v>61590.212653875351</v>
      </c>
      <c r="J111" s="37">
        <v>293819.92844009399</v>
      </c>
      <c r="K111" s="37">
        <v>31182.83703994751</v>
      </c>
      <c r="L111" s="38">
        <v>1.1012896575309925</v>
      </c>
      <c r="M111" s="38">
        <v>1.513689757251047</v>
      </c>
      <c r="N111" s="38">
        <v>9.4224886614290106</v>
      </c>
      <c r="O111" s="39">
        <v>196.73802470758272</v>
      </c>
      <c r="P111" s="39">
        <v>27.244691175620972</v>
      </c>
      <c r="Q111" s="39">
        <v>13.848208151990709</v>
      </c>
      <c r="R111" s="44">
        <v>416.82118749824065</v>
      </c>
      <c r="T111" s="35">
        <v>542</v>
      </c>
      <c r="U111" s="44">
        <f t="shared" si="13"/>
        <v>-125.17881250175935</v>
      </c>
      <c r="W111" s="44">
        <f t="shared" si="14"/>
        <v>378.48461088132069</v>
      </c>
      <c r="X111" s="3">
        <v>203.76275473722424</v>
      </c>
      <c r="Y111" s="10">
        <f t="shared" si="15"/>
        <v>1.8574769043018711</v>
      </c>
    </row>
    <row r="112" spans="1:25" x14ac:dyDescent="0.2">
      <c r="A112" s="42" t="str">
        <f t="shared" si="12"/>
        <v>LatAm40999</v>
      </c>
      <c r="B112" s="1">
        <v>40999</v>
      </c>
      <c r="C112" s="34">
        <v>76</v>
      </c>
      <c r="D112" s="34">
        <v>75</v>
      </c>
      <c r="E112" s="37">
        <v>74</v>
      </c>
      <c r="F112" s="37">
        <v>469213.78128051758</v>
      </c>
      <c r="G112" s="37">
        <v>119057.76604509354</v>
      </c>
      <c r="H112" s="37">
        <v>350156.01523542404</v>
      </c>
      <c r="I112" s="37">
        <v>74656.934362411499</v>
      </c>
      <c r="J112" s="37">
        <v>305010.21069908142</v>
      </c>
      <c r="K112" s="37">
        <v>45937.397150993347</v>
      </c>
      <c r="L112" s="38">
        <v>1.1480140760955797</v>
      </c>
      <c r="M112" s="38">
        <v>1.5383543396959816</v>
      </c>
      <c r="N112" s="38">
        <v>6.6312037296251827</v>
      </c>
      <c r="O112" s="39">
        <v>159.36917322190055</v>
      </c>
      <c r="P112" s="39">
        <v>25.374916994444163</v>
      </c>
      <c r="Q112" s="39">
        <v>15.922098660267842</v>
      </c>
      <c r="R112" s="44">
        <v>319.91626566751586</v>
      </c>
      <c r="T112" s="35">
        <v>426</v>
      </c>
      <c r="U112" s="44">
        <f t="shared" si="13"/>
        <v>-106.08373433248414</v>
      </c>
      <c r="W112" s="44">
        <f t="shared" si="14"/>
        <v>278.66928840764558</v>
      </c>
      <c r="X112" s="3">
        <v>157.47841164148528</v>
      </c>
      <c r="Y112" s="10">
        <f t="shared" si="15"/>
        <v>1.7695713685636032</v>
      </c>
    </row>
    <row r="113" spans="1:25" x14ac:dyDescent="0.2">
      <c r="A113" s="42" t="str">
        <f t="shared" si="12"/>
        <v>LatAm41090</v>
      </c>
      <c r="B113" s="1">
        <v>41090</v>
      </c>
      <c r="C113" s="34">
        <v>74</v>
      </c>
      <c r="D113" s="34">
        <v>72</v>
      </c>
      <c r="E113" s="37">
        <v>66</v>
      </c>
      <c r="F113" s="37">
        <v>426928.14506530762</v>
      </c>
      <c r="G113" s="37">
        <v>81069.145283699036</v>
      </c>
      <c r="H113" s="37">
        <v>345858.99978160858</v>
      </c>
      <c r="I113" s="37">
        <v>52074.226639509201</v>
      </c>
      <c r="J113" s="37">
        <v>270069.96006965637</v>
      </c>
      <c r="K113" s="37">
        <v>29825.076101303101</v>
      </c>
      <c r="L113" s="38">
        <v>1.2806274333228498</v>
      </c>
      <c r="M113" s="38">
        <v>1.5808057473522581</v>
      </c>
      <c r="N113" s="38">
        <v>8.3297444041894373</v>
      </c>
      <c r="O113" s="39">
        <v>155.47625862145105</v>
      </c>
      <c r="P113" s="39">
        <v>18.987696651836828</v>
      </c>
      <c r="Q113" s="39">
        <v>12.212601988363705</v>
      </c>
      <c r="R113" s="84">
        <v>384.55539771137944</v>
      </c>
      <c r="T113" s="35">
        <v>503</v>
      </c>
      <c r="U113" s="44">
        <f t="shared" si="13"/>
        <v>-118.44460228862056</v>
      </c>
      <c r="W113" s="44">
        <f t="shared" si="14"/>
        <v>300.28670923718369</v>
      </c>
      <c r="X113" s="3">
        <v>163.12056484989071</v>
      </c>
      <c r="Y113" s="10">
        <f t="shared" si="15"/>
        <v>1.8408881155697203</v>
      </c>
    </row>
    <row r="115" spans="1:25" x14ac:dyDescent="0.2">
      <c r="A115" s="12" t="s">
        <v>287</v>
      </c>
      <c r="B115" s="40" t="s">
        <v>0</v>
      </c>
      <c r="C115" s="41" t="s">
        <v>180</v>
      </c>
      <c r="D115" s="41" t="s">
        <v>178</v>
      </c>
      <c r="E115" s="41" t="s">
        <v>179</v>
      </c>
      <c r="F115" s="41" t="s">
        <v>2</v>
      </c>
      <c r="G115" s="41" t="s">
        <v>31</v>
      </c>
      <c r="H115" s="41" t="s">
        <v>41</v>
      </c>
      <c r="I115" s="41" t="s">
        <v>20</v>
      </c>
      <c r="J115" s="41" t="s">
        <v>3</v>
      </c>
      <c r="K115" s="41" t="s">
        <v>24</v>
      </c>
      <c r="L115" s="41" t="s">
        <v>5</v>
      </c>
      <c r="M115" s="41" t="s">
        <v>43</v>
      </c>
      <c r="N115" s="41" t="s">
        <v>6</v>
      </c>
      <c r="O115" s="41" t="s">
        <v>176</v>
      </c>
      <c r="P115" s="41" t="s">
        <v>21</v>
      </c>
      <c r="Q115" s="41" t="s">
        <v>177</v>
      </c>
      <c r="R115" s="83" t="s">
        <v>7</v>
      </c>
      <c r="T115" s="43" t="s">
        <v>324</v>
      </c>
      <c r="U115" s="43" t="s">
        <v>325</v>
      </c>
      <c r="W115" s="35" t="str">
        <f>A115&amp;" spread per turn of leverage"</f>
        <v>LatAm IG spread per turn of leverage</v>
      </c>
      <c r="X115" s="3" t="s">
        <v>26</v>
      </c>
      <c r="Y115" t="str">
        <f>A115&amp;" vs. US spread per turn of leverage ratio"</f>
        <v>LatAm IG vs. US spread per turn of leverage ratio</v>
      </c>
    </row>
    <row r="116" spans="1:25" x14ac:dyDescent="0.2">
      <c r="A116" s="42" t="str">
        <f>$A$115&amp;$B116</f>
        <v>LatAm IG38807</v>
      </c>
      <c r="B116" s="1">
        <v>38807</v>
      </c>
      <c r="C116" s="34">
        <v>15</v>
      </c>
      <c r="D116" s="34">
        <v>15</v>
      </c>
      <c r="E116" s="37">
        <v>14</v>
      </c>
      <c r="F116" s="37">
        <v>99649.17163002491</v>
      </c>
      <c r="G116" s="37">
        <v>21355.754935532808</v>
      </c>
      <c r="H116" s="37">
        <v>78293.416694492102</v>
      </c>
      <c r="I116" s="37">
        <v>10365.625374808908</v>
      </c>
      <c r="J116" s="37">
        <v>92470.174861520529</v>
      </c>
      <c r="K116" s="37">
        <v>7990.5022107511759</v>
      </c>
      <c r="L116" s="38">
        <v>0.84668831665713895</v>
      </c>
      <c r="M116" s="38">
        <v>1.0776358082944619</v>
      </c>
      <c r="N116" s="38">
        <v>11.295976592596928</v>
      </c>
      <c r="O116" s="39">
        <v>206.02476129836504</v>
      </c>
      <c r="P116" s="39">
        <v>21.430940755656206</v>
      </c>
      <c r="Q116" s="39">
        <v>10.402118959196326</v>
      </c>
      <c r="R116" s="44">
        <v>137.73989259104175</v>
      </c>
      <c r="T116" s="35">
        <v>135</v>
      </c>
      <c r="U116" s="44">
        <f>R116-T116</f>
        <v>2.7398925910417518</v>
      </c>
      <c r="W116" s="44">
        <f>R116/L116</f>
        <v>162.68075262318595</v>
      </c>
      <c r="X116" s="3">
        <v>52.365855337024819</v>
      </c>
      <c r="Y116" s="10">
        <f>W116/X116</f>
        <v>3.1066188373354793</v>
      </c>
    </row>
    <row r="117" spans="1:25" x14ac:dyDescent="0.2">
      <c r="A117" s="42" t="str">
        <f t="shared" ref="A117:A141" si="16">$A$115&amp;$B117</f>
        <v>LatAm IG38898</v>
      </c>
      <c r="B117" s="1">
        <v>38898</v>
      </c>
      <c r="C117" s="34">
        <v>15</v>
      </c>
      <c r="D117" s="34">
        <v>15</v>
      </c>
      <c r="E117" s="37">
        <v>14</v>
      </c>
      <c r="F117" s="37">
        <v>103895.97686684132</v>
      </c>
      <c r="G117" s="37">
        <v>19818.438758164644</v>
      </c>
      <c r="H117" s="37">
        <v>84077.538108676672</v>
      </c>
      <c r="I117" s="37">
        <v>12532.500899329782</v>
      </c>
      <c r="J117" s="37">
        <v>100928.4166675508</v>
      </c>
      <c r="K117" s="37">
        <v>7560.1891423612833</v>
      </c>
      <c r="L117" s="38">
        <v>0.83304128693131663</v>
      </c>
      <c r="M117" s="38">
        <v>1.0294026231389857</v>
      </c>
      <c r="N117" s="38">
        <v>13.021285146163203</v>
      </c>
      <c r="O117" s="39">
        <v>158.13634419307726</v>
      </c>
      <c r="P117" s="39">
        <v>19.075270627239998</v>
      </c>
      <c r="Q117" s="39">
        <v>12.062546863958081</v>
      </c>
      <c r="R117" s="44">
        <v>163.93412155227679</v>
      </c>
      <c r="T117" s="35">
        <v>158</v>
      </c>
      <c r="U117" s="44">
        <f t="shared" ref="U117:U141" si="17">R117-T117</f>
        <v>5.9341215522767925</v>
      </c>
      <c r="W117" s="44">
        <f t="shared" ref="W117:W141" si="18">R117/L117</f>
        <v>196.78991200563746</v>
      </c>
      <c r="X117" s="3">
        <v>56.118666413933049</v>
      </c>
      <c r="Y117" s="10">
        <f t="shared" ref="Y117:Y141" si="19">W117/X117</f>
        <v>3.5066747765192581</v>
      </c>
    </row>
    <row r="118" spans="1:25" x14ac:dyDescent="0.2">
      <c r="A118" s="42" t="str">
        <f t="shared" si="16"/>
        <v>LatAm IG38990</v>
      </c>
      <c r="B118" s="1">
        <v>38990</v>
      </c>
      <c r="C118" s="34">
        <v>16</v>
      </c>
      <c r="D118" s="34">
        <v>16</v>
      </c>
      <c r="E118" s="37">
        <v>14</v>
      </c>
      <c r="F118" s="37">
        <v>125044.11501991749</v>
      </c>
      <c r="G118" s="37">
        <v>23803.493769913912</v>
      </c>
      <c r="H118" s="37">
        <v>101240.62125000358</v>
      </c>
      <c r="I118" s="37">
        <v>18825.856450095773</v>
      </c>
      <c r="J118" s="37">
        <v>130859.41442450881</v>
      </c>
      <c r="K118" s="37">
        <v>7645.980699673295</v>
      </c>
      <c r="L118" s="38">
        <v>0.77365943975248375</v>
      </c>
      <c r="M118" s="38">
        <v>0.95556071047569835</v>
      </c>
      <c r="N118" s="38">
        <v>13.616616612389475</v>
      </c>
      <c r="O118" s="39">
        <v>126.44042959221022</v>
      </c>
      <c r="P118" s="39">
        <v>19.036076800673428</v>
      </c>
      <c r="Q118" s="39">
        <v>15.055371815856445</v>
      </c>
      <c r="R118" s="44">
        <v>148.98219526230355</v>
      </c>
      <c r="T118" s="35">
        <v>146</v>
      </c>
      <c r="U118" s="44">
        <f t="shared" si="17"/>
        <v>2.9821952623035486</v>
      </c>
      <c r="W118" s="44">
        <f t="shared" si="18"/>
        <v>192.56818647487492</v>
      </c>
      <c r="X118" s="3">
        <v>59.109252362488796</v>
      </c>
      <c r="Y118" s="10">
        <f t="shared" si="19"/>
        <v>3.2578349205627957</v>
      </c>
    </row>
    <row r="119" spans="1:25" x14ac:dyDescent="0.2">
      <c r="A119" s="42" t="str">
        <f t="shared" si="16"/>
        <v>LatAm IG39082</v>
      </c>
      <c r="B119" s="1">
        <v>39082</v>
      </c>
      <c r="C119" s="34">
        <v>17</v>
      </c>
      <c r="D119" s="34">
        <v>17</v>
      </c>
      <c r="E119" s="37">
        <v>14</v>
      </c>
      <c r="F119" s="37">
        <v>128847.43026649952</v>
      </c>
      <c r="G119" s="37">
        <v>30743.372336655855</v>
      </c>
      <c r="H119" s="37">
        <v>98104.057929843664</v>
      </c>
      <c r="I119" s="37">
        <v>19968.033354774117</v>
      </c>
      <c r="J119" s="37">
        <v>133137.28884467483</v>
      </c>
      <c r="K119" s="37">
        <v>7642.6785279661417</v>
      </c>
      <c r="L119" s="38">
        <v>0.73686387022870181</v>
      </c>
      <c r="M119" s="38">
        <v>0.96777868457889293</v>
      </c>
      <c r="N119" s="38">
        <v>13.932093411440055</v>
      </c>
      <c r="O119" s="39">
        <v>153.96294562631769</v>
      </c>
      <c r="P119" s="39">
        <v>23.860291410599572</v>
      </c>
      <c r="Q119" s="39">
        <v>15.497424600144182</v>
      </c>
      <c r="R119" s="44">
        <v>113.26049151248445</v>
      </c>
      <c r="T119" s="35">
        <v>122</v>
      </c>
      <c r="U119" s="44">
        <f t="shared" si="17"/>
        <v>-8.7395084875155504</v>
      </c>
      <c r="W119" s="44">
        <f t="shared" si="18"/>
        <v>153.70612685533297</v>
      </c>
      <c r="X119" s="3">
        <v>54.029478780440542</v>
      </c>
      <c r="Y119" s="10">
        <f t="shared" si="19"/>
        <v>2.8448567397799298</v>
      </c>
    </row>
    <row r="120" spans="1:25" x14ac:dyDescent="0.2">
      <c r="A120" s="42" t="str">
        <f t="shared" si="16"/>
        <v>LatAm IG39172</v>
      </c>
      <c r="B120" s="1">
        <v>39172</v>
      </c>
      <c r="C120" s="34">
        <v>17</v>
      </c>
      <c r="D120" s="34">
        <v>17</v>
      </c>
      <c r="E120" s="37">
        <v>14</v>
      </c>
      <c r="F120" s="37">
        <v>130374.69087743759</v>
      </c>
      <c r="G120" s="37">
        <v>30215.411701321602</v>
      </c>
      <c r="H120" s="37">
        <v>100159.27917611599</v>
      </c>
      <c r="I120" s="37">
        <v>20072.87899322249</v>
      </c>
      <c r="J120" s="37">
        <v>131549.03342023492</v>
      </c>
      <c r="K120" s="37">
        <v>7526.6137651056051</v>
      </c>
      <c r="L120" s="38">
        <v>0.76138361926351827</v>
      </c>
      <c r="M120" s="38">
        <v>0.99107296714947435</v>
      </c>
      <c r="N120" s="38">
        <v>14.144799144399746</v>
      </c>
      <c r="O120" s="39">
        <v>150.52854008397944</v>
      </c>
      <c r="P120" s="39">
        <v>23.175826149974501</v>
      </c>
      <c r="Q120" s="39">
        <v>15.396300354102136</v>
      </c>
      <c r="R120" s="44">
        <v>111.27470265095684</v>
      </c>
      <c r="T120" s="35">
        <v>119</v>
      </c>
      <c r="U120" s="44">
        <f t="shared" si="17"/>
        <v>-7.72529734904316</v>
      </c>
      <c r="W120" s="44">
        <f t="shared" si="18"/>
        <v>146.14801242846829</v>
      </c>
      <c r="X120" s="3">
        <v>55.850401091700363</v>
      </c>
      <c r="Y120" s="10">
        <f t="shared" si="19"/>
        <v>2.616776416493571</v>
      </c>
    </row>
    <row r="121" spans="1:25" x14ac:dyDescent="0.2">
      <c r="A121" s="42" t="str">
        <f t="shared" si="16"/>
        <v>LatAm IG39263</v>
      </c>
      <c r="B121" s="1">
        <v>39263</v>
      </c>
      <c r="C121" s="34">
        <v>17</v>
      </c>
      <c r="D121" s="34">
        <v>17</v>
      </c>
      <c r="E121" s="37">
        <v>14</v>
      </c>
      <c r="F121" s="37">
        <v>128545.23718261719</v>
      </c>
      <c r="G121" s="37">
        <v>30171.267318844795</v>
      </c>
      <c r="H121" s="37">
        <v>98373.969863772392</v>
      </c>
      <c r="I121" s="37">
        <v>18586.296050259843</v>
      </c>
      <c r="J121" s="37">
        <v>133597.54556623101</v>
      </c>
      <c r="K121" s="37">
        <v>8133.4557260125875</v>
      </c>
      <c r="L121" s="38">
        <v>0.73634563754020077</v>
      </c>
      <c r="M121" s="38">
        <v>0.96218262571965329</v>
      </c>
      <c r="N121" s="38">
        <v>13.288521808522452</v>
      </c>
      <c r="O121" s="39">
        <v>162.33071526062875</v>
      </c>
      <c r="P121" s="39">
        <v>23.471322609940128</v>
      </c>
      <c r="Q121" s="39">
        <v>14.458953484099382</v>
      </c>
      <c r="R121" s="44">
        <v>105.95640540711523</v>
      </c>
      <c r="T121" s="35">
        <v>115</v>
      </c>
      <c r="U121" s="44">
        <f t="shared" si="17"/>
        <v>-9.043594592884773</v>
      </c>
      <c r="W121" s="44">
        <f t="shared" si="18"/>
        <v>143.89493195215752</v>
      </c>
      <c r="X121" s="3">
        <v>58.330807203472979</v>
      </c>
      <c r="Y121" s="10">
        <f t="shared" si="19"/>
        <v>2.4668770903549251</v>
      </c>
    </row>
    <row r="122" spans="1:25" x14ac:dyDescent="0.2">
      <c r="A122" s="42" t="str">
        <f t="shared" si="16"/>
        <v>LatAm IG39355</v>
      </c>
      <c r="B122" s="1">
        <v>39355</v>
      </c>
      <c r="C122" s="34">
        <v>17</v>
      </c>
      <c r="D122" s="34">
        <v>17</v>
      </c>
      <c r="E122" s="37">
        <v>14</v>
      </c>
      <c r="F122" s="37">
        <v>129200.40179443359</v>
      </c>
      <c r="G122" s="37">
        <v>27913.204342007637</v>
      </c>
      <c r="H122" s="37">
        <v>101287.19745242596</v>
      </c>
      <c r="I122" s="37">
        <v>19967.180651852861</v>
      </c>
      <c r="J122" s="37">
        <v>133896.80122724175</v>
      </c>
      <c r="K122" s="37">
        <v>7983.5321839898825</v>
      </c>
      <c r="L122" s="38">
        <v>0.75645718586306854</v>
      </c>
      <c r="M122" s="38">
        <v>0.96492523055246326</v>
      </c>
      <c r="N122" s="38">
        <v>13.520174032997721</v>
      </c>
      <c r="O122" s="39">
        <v>139.79542144031947</v>
      </c>
      <c r="P122" s="39">
        <v>21.60458013622852</v>
      </c>
      <c r="Q122" s="39">
        <v>15.454426127576577</v>
      </c>
      <c r="R122" s="44">
        <v>148.39550953517752</v>
      </c>
      <c r="T122" s="35">
        <v>159</v>
      </c>
      <c r="U122" s="44">
        <f t="shared" si="17"/>
        <v>-10.604490464822476</v>
      </c>
      <c r="W122" s="44">
        <f t="shared" si="18"/>
        <v>196.17172301148528</v>
      </c>
      <c r="X122" s="3">
        <v>86.586343590452074</v>
      </c>
      <c r="Y122" s="10">
        <f t="shared" si="19"/>
        <v>2.2656196679162837</v>
      </c>
    </row>
    <row r="123" spans="1:25" x14ac:dyDescent="0.2">
      <c r="A123" s="42" t="str">
        <f t="shared" si="16"/>
        <v>LatAm IG39447</v>
      </c>
      <c r="B123" s="1">
        <v>39447</v>
      </c>
      <c r="C123" s="34">
        <v>19</v>
      </c>
      <c r="D123" s="34">
        <v>19</v>
      </c>
      <c r="E123" s="37">
        <v>17</v>
      </c>
      <c r="F123" s="37">
        <v>139039.44213867187</v>
      </c>
      <c r="G123" s="37">
        <v>30865.506473660469</v>
      </c>
      <c r="H123" s="37">
        <v>108173.93566501141</v>
      </c>
      <c r="I123" s="37">
        <v>24103.441027829424</v>
      </c>
      <c r="J123" s="37">
        <v>150048.65822187066</v>
      </c>
      <c r="K123" s="37">
        <v>10432.844592437148</v>
      </c>
      <c r="L123" s="38">
        <v>0.72092571134531003</v>
      </c>
      <c r="M123" s="38">
        <v>0.92662902678596482</v>
      </c>
      <c r="N123" s="38">
        <v>12.000879252675537</v>
      </c>
      <c r="O123" s="39">
        <v>128.05435720992566</v>
      </c>
      <c r="P123" s="39">
        <v>22.19910120387031</v>
      </c>
      <c r="Q123" s="39">
        <v>17.335685944273067</v>
      </c>
      <c r="R123" s="44">
        <v>225.1583331338646</v>
      </c>
      <c r="T123" s="35">
        <v>230</v>
      </c>
      <c r="U123" s="44">
        <f t="shared" si="17"/>
        <v>-4.8416668661353981</v>
      </c>
      <c r="W123" s="44">
        <f t="shared" si="18"/>
        <v>312.31835623354254</v>
      </c>
      <c r="X123" s="3">
        <v>116.21456815653275</v>
      </c>
      <c r="Y123" s="10">
        <f t="shared" si="19"/>
        <v>2.6874286174937376</v>
      </c>
    </row>
    <row r="124" spans="1:25" x14ac:dyDescent="0.2">
      <c r="A124" s="42" t="str">
        <f t="shared" si="16"/>
        <v>LatAm IG39538</v>
      </c>
      <c r="B124" s="1">
        <v>39538</v>
      </c>
      <c r="C124" s="34">
        <v>20</v>
      </c>
      <c r="D124" s="34">
        <v>20</v>
      </c>
      <c r="E124" s="37">
        <v>18</v>
      </c>
      <c r="F124" s="37">
        <v>147283.56579589844</v>
      </c>
      <c r="G124" s="37">
        <v>38645.24501234293</v>
      </c>
      <c r="H124" s="37">
        <v>108638.32078355551</v>
      </c>
      <c r="I124" s="37">
        <v>28286.945791140199</v>
      </c>
      <c r="J124" s="37">
        <v>165313.24227130413</v>
      </c>
      <c r="K124" s="37">
        <v>11828.285210303962</v>
      </c>
      <c r="L124" s="38">
        <v>0.65716647554019614</v>
      </c>
      <c r="M124" s="38">
        <v>0.89093628418577464</v>
      </c>
      <c r="N124" s="38">
        <v>11.647247769153854</v>
      </c>
      <c r="O124" s="39">
        <v>136.6186554663214</v>
      </c>
      <c r="P124" s="39">
        <v>26.238667432791829</v>
      </c>
      <c r="Q124" s="39">
        <v>19.205771966669712</v>
      </c>
      <c r="R124" s="44">
        <v>289.81731540205016</v>
      </c>
      <c r="T124" s="35">
        <v>297</v>
      </c>
      <c r="U124" s="44">
        <f t="shared" si="17"/>
        <v>-7.1826845979498444</v>
      </c>
      <c r="W124" s="44">
        <f t="shared" si="18"/>
        <v>441.01049914912045</v>
      </c>
      <c r="X124" s="3">
        <v>165.29427002345625</v>
      </c>
      <c r="Y124" s="10">
        <f t="shared" si="19"/>
        <v>2.6680325887070278</v>
      </c>
    </row>
    <row r="125" spans="1:25" x14ac:dyDescent="0.2">
      <c r="A125" s="42" t="str">
        <f t="shared" si="16"/>
        <v>LatAm IG39629</v>
      </c>
      <c r="B125" s="1">
        <v>39629</v>
      </c>
      <c r="C125" s="34">
        <v>23</v>
      </c>
      <c r="D125" s="34">
        <v>23</v>
      </c>
      <c r="E125" s="37">
        <v>21</v>
      </c>
      <c r="F125" s="37">
        <v>189836.24865722656</v>
      </c>
      <c r="G125" s="37">
        <v>49636.781196653843</v>
      </c>
      <c r="H125" s="37">
        <v>140199.46746057272</v>
      </c>
      <c r="I125" s="37">
        <v>32102.481607332826</v>
      </c>
      <c r="J125" s="37">
        <v>200367.58751666546</v>
      </c>
      <c r="K125" s="37">
        <v>13158.054554633796</v>
      </c>
      <c r="L125" s="38">
        <v>0.69971131158582078</v>
      </c>
      <c r="M125" s="38">
        <v>0.94743990787151167</v>
      </c>
      <c r="N125" s="38">
        <v>12.841961919622253</v>
      </c>
      <c r="O125" s="39">
        <v>154.61976367993884</v>
      </c>
      <c r="P125" s="39">
        <v>26.147156587717529</v>
      </c>
      <c r="Q125" s="39">
        <v>16.91061735279964</v>
      </c>
      <c r="R125" s="44">
        <v>246.07393544453683</v>
      </c>
      <c r="T125" s="35">
        <v>263</v>
      </c>
      <c r="U125" s="44">
        <f t="shared" si="17"/>
        <v>-16.926064555463171</v>
      </c>
      <c r="W125" s="44">
        <f t="shared" si="18"/>
        <v>351.67923023401835</v>
      </c>
      <c r="X125" s="3">
        <v>149.99528727700684</v>
      </c>
      <c r="Y125" s="10">
        <f t="shared" si="19"/>
        <v>2.3446018646209037</v>
      </c>
    </row>
    <row r="126" spans="1:25" x14ac:dyDescent="0.2">
      <c r="A126" s="42" t="str">
        <f t="shared" si="16"/>
        <v>LatAm IG39721</v>
      </c>
      <c r="B126" s="1">
        <v>39721</v>
      </c>
      <c r="C126" s="34">
        <v>24</v>
      </c>
      <c r="D126" s="34">
        <v>24</v>
      </c>
      <c r="E126" s="37">
        <v>22</v>
      </c>
      <c r="F126" s="37">
        <v>206073.40631103516</v>
      </c>
      <c r="G126" s="37">
        <v>63273.718597412109</v>
      </c>
      <c r="H126" s="37">
        <v>142799.68771362305</v>
      </c>
      <c r="I126" s="37">
        <v>34989.337482452393</v>
      </c>
      <c r="J126" s="37">
        <v>222791.01676940918</v>
      </c>
      <c r="K126" s="37">
        <v>14685.743209838867</v>
      </c>
      <c r="L126" s="38">
        <v>0.64095801430549637</v>
      </c>
      <c r="M126" s="38">
        <v>0.92496281627155141</v>
      </c>
      <c r="N126" s="38">
        <v>12.866883491831226</v>
      </c>
      <c r="O126" s="39">
        <v>180.83714397034441</v>
      </c>
      <c r="P126" s="39">
        <v>30.704456111095897</v>
      </c>
      <c r="Q126" s="39">
        <v>16.979064940403582</v>
      </c>
      <c r="R126" s="44">
        <v>349.55380347011379</v>
      </c>
      <c r="T126" s="35">
        <v>363</v>
      </c>
      <c r="U126" s="44">
        <f t="shared" si="17"/>
        <v>-13.446196529886208</v>
      </c>
      <c r="W126" s="44">
        <f t="shared" si="18"/>
        <v>545.36146778485841</v>
      </c>
      <c r="X126" s="3">
        <v>253.25172981643445</v>
      </c>
      <c r="Y126" s="10">
        <f t="shared" si="19"/>
        <v>2.1534362990537326</v>
      </c>
    </row>
    <row r="127" spans="1:25" x14ac:dyDescent="0.2">
      <c r="A127" s="42" t="str">
        <f t="shared" si="16"/>
        <v>LatAm IG39813</v>
      </c>
      <c r="B127" s="1">
        <v>39813</v>
      </c>
      <c r="C127" s="34">
        <v>23</v>
      </c>
      <c r="D127" s="34">
        <v>23</v>
      </c>
      <c r="E127" s="37">
        <v>20</v>
      </c>
      <c r="F127" s="37">
        <v>192028.1796875</v>
      </c>
      <c r="G127" s="37">
        <v>58639.451663970947</v>
      </c>
      <c r="H127" s="37">
        <v>133388.72802352905</v>
      </c>
      <c r="I127" s="37">
        <v>34418.395935058594</v>
      </c>
      <c r="J127" s="37">
        <v>204093.80221557617</v>
      </c>
      <c r="K127" s="37">
        <v>12147.066581726074</v>
      </c>
      <c r="L127" s="38">
        <v>0.65356579462729514</v>
      </c>
      <c r="M127" s="38">
        <v>0.94088197487088931</v>
      </c>
      <c r="N127" s="38">
        <v>13.847989132410078</v>
      </c>
      <c r="O127" s="39">
        <v>170.37241298116621</v>
      </c>
      <c r="P127" s="39">
        <v>30.536899198544067</v>
      </c>
      <c r="Q127" s="39">
        <v>17.923617247775766</v>
      </c>
      <c r="R127" s="84">
        <v>541.17111611671226</v>
      </c>
      <c r="T127" s="35">
        <v>592</v>
      </c>
      <c r="U127" s="44">
        <f t="shared" si="17"/>
        <v>-50.828883883287745</v>
      </c>
      <c r="W127" s="44">
        <f t="shared" si="18"/>
        <v>828.02851765723528</v>
      </c>
      <c r="X127" s="3">
        <v>333.7263516235501</v>
      </c>
      <c r="Y127" s="10">
        <f t="shared" si="19"/>
        <v>2.4811601290367018</v>
      </c>
    </row>
    <row r="128" spans="1:25" x14ac:dyDescent="0.2">
      <c r="A128" s="42" t="str">
        <f t="shared" si="16"/>
        <v>LatAm IG39903</v>
      </c>
      <c r="B128" s="1">
        <v>39903</v>
      </c>
      <c r="C128" s="34">
        <v>23</v>
      </c>
      <c r="D128" s="34">
        <v>23</v>
      </c>
      <c r="E128" s="37">
        <v>20</v>
      </c>
      <c r="F128" s="37">
        <v>194579.88854980469</v>
      </c>
      <c r="G128" s="37">
        <v>64265.87915802002</v>
      </c>
      <c r="H128" s="37">
        <v>130314.00939178467</v>
      </c>
      <c r="I128" s="37">
        <v>33552.947086334229</v>
      </c>
      <c r="J128" s="37">
        <v>183321.17623901367</v>
      </c>
      <c r="K128" s="37">
        <v>12439.810292243958</v>
      </c>
      <c r="L128" s="38">
        <v>0.71085082512170661</v>
      </c>
      <c r="M128" s="38">
        <v>1.0614152305902289</v>
      </c>
      <c r="N128" s="38">
        <v>12.002689147757053</v>
      </c>
      <c r="O128" s="39">
        <v>191.53572111760892</v>
      </c>
      <c r="P128" s="39">
        <v>33.028017251418312</v>
      </c>
      <c r="Q128" s="39">
        <v>17.243789857421987</v>
      </c>
      <c r="R128" s="44">
        <v>493.03033256946503</v>
      </c>
      <c r="T128" s="35">
        <v>568</v>
      </c>
      <c r="U128" s="44">
        <f t="shared" si="17"/>
        <v>-74.969667430534969</v>
      </c>
      <c r="W128" s="44">
        <f t="shared" si="18"/>
        <v>693.577773487218</v>
      </c>
      <c r="X128" s="3">
        <v>376.37090280999524</v>
      </c>
      <c r="Y128" s="10">
        <f t="shared" si="19"/>
        <v>1.8428039157887812</v>
      </c>
    </row>
    <row r="129" spans="1:25" x14ac:dyDescent="0.2">
      <c r="A129" s="42" t="str">
        <f t="shared" si="16"/>
        <v>LatAm IG39994</v>
      </c>
      <c r="B129" s="1">
        <v>39994</v>
      </c>
      <c r="C129" s="34">
        <v>24</v>
      </c>
      <c r="D129" s="34">
        <v>24</v>
      </c>
      <c r="E129" s="37">
        <v>21</v>
      </c>
      <c r="F129" s="37">
        <v>220768.28186035156</v>
      </c>
      <c r="G129" s="37">
        <v>68456.973442077637</v>
      </c>
      <c r="H129" s="37">
        <v>152311.30841827393</v>
      </c>
      <c r="I129" s="37">
        <v>37382.410987854004</v>
      </c>
      <c r="J129" s="37">
        <v>159344.21051025391</v>
      </c>
      <c r="K129" s="37">
        <v>14026.750057220459</v>
      </c>
      <c r="L129" s="38">
        <v>0.95586346018183443</v>
      </c>
      <c r="M129" s="38">
        <v>1.3854804084403491</v>
      </c>
      <c r="N129" s="38">
        <v>9.1438048914024055</v>
      </c>
      <c r="O129" s="39">
        <v>183.12615915629448</v>
      </c>
      <c r="P129" s="39">
        <v>31.00851846343604</v>
      </c>
      <c r="Q129" s="39">
        <v>16.932872182925486</v>
      </c>
      <c r="R129" s="44">
        <v>312.56782240311998</v>
      </c>
      <c r="T129" s="35">
        <v>358</v>
      </c>
      <c r="U129" s="44">
        <f t="shared" si="17"/>
        <v>-45.432177596880024</v>
      </c>
      <c r="W129" s="44">
        <f t="shared" si="18"/>
        <v>327.00049266833571</v>
      </c>
      <c r="X129" s="3">
        <v>214.99974301240138</v>
      </c>
      <c r="Y129" s="10">
        <f t="shared" si="19"/>
        <v>1.5209343419981391</v>
      </c>
    </row>
    <row r="130" spans="1:25" x14ac:dyDescent="0.2">
      <c r="A130" s="42" t="str">
        <f t="shared" si="16"/>
        <v>LatAm IG40086</v>
      </c>
      <c r="B130" s="1">
        <v>40086</v>
      </c>
      <c r="C130" s="34">
        <v>25</v>
      </c>
      <c r="D130" s="34">
        <v>25</v>
      </c>
      <c r="E130" s="37">
        <v>22</v>
      </c>
      <c r="F130" s="37">
        <v>248071.22436523438</v>
      </c>
      <c r="G130" s="37">
        <v>90685.593299865723</v>
      </c>
      <c r="H130" s="37">
        <v>157385.63106536865</v>
      </c>
      <c r="I130" s="37">
        <v>39975.440563201904</v>
      </c>
      <c r="J130" s="37">
        <v>142979.17298126221</v>
      </c>
      <c r="K130" s="37">
        <v>12906.053100585938</v>
      </c>
      <c r="L130" s="38">
        <v>1.1007591370387522</v>
      </c>
      <c r="M130" s="38">
        <v>1.7350165006042158</v>
      </c>
      <c r="N130" s="38">
        <v>8.8161163074881195</v>
      </c>
      <c r="O130" s="39">
        <v>226.85326796208821</v>
      </c>
      <c r="P130" s="39">
        <v>36.556272712368141</v>
      </c>
      <c r="Q130" s="39">
        <v>16.114501254827609</v>
      </c>
      <c r="R130" s="44">
        <v>256.84003342816283</v>
      </c>
      <c r="T130" s="35">
        <v>274</v>
      </c>
      <c r="U130" s="44">
        <f t="shared" si="17"/>
        <v>-17.159966571837174</v>
      </c>
      <c r="W130" s="44">
        <f t="shared" si="18"/>
        <v>233.32991277193531</v>
      </c>
      <c r="X130" s="3">
        <v>150.78370507926257</v>
      </c>
      <c r="Y130" s="10">
        <f t="shared" si="19"/>
        <v>1.5474478004720778</v>
      </c>
    </row>
    <row r="131" spans="1:25" x14ac:dyDescent="0.2">
      <c r="A131" s="42" t="str">
        <f t="shared" si="16"/>
        <v>LatAm IG40178</v>
      </c>
      <c r="B131" s="1">
        <v>40178</v>
      </c>
      <c r="C131" s="34">
        <v>26</v>
      </c>
      <c r="D131" s="34">
        <v>26</v>
      </c>
      <c r="E131" s="37">
        <v>26</v>
      </c>
      <c r="F131" s="37">
        <v>276687.00067138672</v>
      </c>
      <c r="G131" s="37">
        <v>89937.95329284668</v>
      </c>
      <c r="H131" s="37">
        <v>186749.04737854004</v>
      </c>
      <c r="I131" s="37">
        <v>43233.793460845947</v>
      </c>
      <c r="J131" s="37">
        <v>152485.69521713257</v>
      </c>
      <c r="K131" s="37">
        <v>16530.807126045227</v>
      </c>
      <c r="L131" s="38">
        <v>1.2246987962550719</v>
      </c>
      <c r="M131" s="38">
        <v>1.8145111925246316</v>
      </c>
      <c r="N131" s="38">
        <v>9.2243345442511799</v>
      </c>
      <c r="O131" s="39">
        <v>208.02697633807608</v>
      </c>
      <c r="P131" s="39">
        <v>32.505304938291417</v>
      </c>
      <c r="Q131" s="39">
        <v>15.625523915448959</v>
      </c>
      <c r="R131" s="44">
        <v>220.82529438170937</v>
      </c>
      <c r="T131" s="35">
        <v>235</v>
      </c>
      <c r="U131" s="44">
        <f t="shared" si="17"/>
        <v>-14.174705618290631</v>
      </c>
      <c r="W131" s="44">
        <f t="shared" si="18"/>
        <v>180.30988113726974</v>
      </c>
      <c r="X131" s="3">
        <v>124.9338562658512</v>
      </c>
      <c r="Y131" s="10">
        <f t="shared" si="19"/>
        <v>1.4432427408114412</v>
      </c>
    </row>
    <row r="132" spans="1:25" x14ac:dyDescent="0.2">
      <c r="A132" s="42" t="str">
        <f t="shared" si="16"/>
        <v>LatAm IG40268</v>
      </c>
      <c r="B132" s="1">
        <v>40268</v>
      </c>
      <c r="C132" s="34">
        <v>29</v>
      </c>
      <c r="D132" s="34">
        <v>29</v>
      </c>
      <c r="E132" s="37">
        <v>29</v>
      </c>
      <c r="F132" s="37">
        <v>275781.24285888672</v>
      </c>
      <c r="G132" s="37">
        <v>89911.17268371582</v>
      </c>
      <c r="H132" s="37">
        <v>185870.0701751709</v>
      </c>
      <c r="I132" s="37">
        <v>44117.087627410889</v>
      </c>
      <c r="J132" s="37">
        <v>170430.12911224365</v>
      </c>
      <c r="K132" s="37">
        <v>17181.907204627991</v>
      </c>
      <c r="L132" s="38">
        <v>1.09059396447889</v>
      </c>
      <c r="M132" s="38">
        <v>1.6181484124632672</v>
      </c>
      <c r="N132" s="38">
        <v>9.9191624702953725</v>
      </c>
      <c r="O132" s="39">
        <v>203.80124237360602</v>
      </c>
      <c r="P132" s="39">
        <v>32.602352412242219</v>
      </c>
      <c r="Q132" s="39">
        <v>15.997131338618619</v>
      </c>
      <c r="R132" s="44">
        <v>195.56603809413039</v>
      </c>
      <c r="T132" s="35">
        <v>208</v>
      </c>
      <c r="U132" s="44">
        <f t="shared" si="17"/>
        <v>-12.433961905869609</v>
      </c>
      <c r="W132" s="44">
        <f t="shared" si="18"/>
        <v>179.32066787805505</v>
      </c>
      <c r="X132" s="3">
        <v>106.42294796763866</v>
      </c>
      <c r="Y132" s="10">
        <f t="shared" si="19"/>
        <v>1.6849812122530499</v>
      </c>
    </row>
    <row r="133" spans="1:25" x14ac:dyDescent="0.2">
      <c r="A133" s="42" t="str">
        <f t="shared" si="16"/>
        <v>LatAm IG40359</v>
      </c>
      <c r="B133" s="1">
        <v>40359</v>
      </c>
      <c r="C133" s="34">
        <v>31</v>
      </c>
      <c r="D133" s="34">
        <v>31</v>
      </c>
      <c r="E133" s="37">
        <v>31</v>
      </c>
      <c r="F133" s="37">
        <v>289397.78533935547</v>
      </c>
      <c r="G133" s="37">
        <v>90921.210998535156</v>
      </c>
      <c r="H133" s="37">
        <v>198476.57434082031</v>
      </c>
      <c r="I133" s="37">
        <v>49282.619255065918</v>
      </c>
      <c r="J133" s="37">
        <v>187097.68609619141</v>
      </c>
      <c r="K133" s="37">
        <v>18668.140364646912</v>
      </c>
      <c r="L133" s="38">
        <v>1.060817899366103</v>
      </c>
      <c r="M133" s="38">
        <v>1.546773727551976</v>
      </c>
      <c r="N133" s="38">
        <v>10.022299085050305</v>
      </c>
      <c r="O133" s="39">
        <v>184.48940493192046</v>
      </c>
      <c r="P133" s="39">
        <v>31.417383133018294</v>
      </c>
      <c r="Q133" s="39">
        <v>17.029369867940012</v>
      </c>
      <c r="R133" s="44">
        <v>260.28045217124946</v>
      </c>
      <c r="T133" s="35">
        <v>278</v>
      </c>
      <c r="U133" s="44">
        <f t="shared" si="17"/>
        <v>-17.719547828750535</v>
      </c>
      <c r="W133" s="44">
        <f t="shared" si="18"/>
        <v>245.35827716216076</v>
      </c>
      <c r="X133" s="3">
        <v>121.74346129230921</v>
      </c>
      <c r="Y133" s="10">
        <f t="shared" si="19"/>
        <v>2.015371294340393</v>
      </c>
    </row>
    <row r="134" spans="1:25" x14ac:dyDescent="0.2">
      <c r="A134" s="42" t="str">
        <f t="shared" si="16"/>
        <v>LatAm IG40451</v>
      </c>
      <c r="B134" s="1">
        <v>40451</v>
      </c>
      <c r="C134" s="34">
        <v>32</v>
      </c>
      <c r="D134" s="34">
        <v>32</v>
      </c>
      <c r="E134" s="37">
        <v>32</v>
      </c>
      <c r="F134" s="37">
        <v>313373.73193359375</v>
      </c>
      <c r="G134" s="37">
        <v>116880.55261993408</v>
      </c>
      <c r="H134" s="37">
        <v>196493.17931365967</v>
      </c>
      <c r="I134" s="37">
        <v>49961.563264846802</v>
      </c>
      <c r="J134" s="37">
        <v>198546.89715576172</v>
      </c>
      <c r="K134" s="37">
        <v>20286.700619697571</v>
      </c>
      <c r="L134" s="38">
        <v>0.98965625818624159</v>
      </c>
      <c r="M134" s="38">
        <v>1.5783360829242745</v>
      </c>
      <c r="N134" s="38">
        <v>9.7870472324602975</v>
      </c>
      <c r="O134" s="39">
        <v>233.94094376180541</v>
      </c>
      <c r="P134" s="39">
        <v>37.297495198066557</v>
      </c>
      <c r="Q134" s="39">
        <v>15.943124191224181</v>
      </c>
      <c r="R134" s="44">
        <v>232.74612196109143</v>
      </c>
      <c r="T134" s="35">
        <v>250</v>
      </c>
      <c r="U134" s="44">
        <f t="shared" si="17"/>
        <v>-17.253878038908567</v>
      </c>
      <c r="W134" s="44">
        <f t="shared" si="18"/>
        <v>235.17875023359005</v>
      </c>
      <c r="X134" s="3">
        <v>112.8669491979097</v>
      </c>
      <c r="Y134" s="10">
        <f t="shared" si="19"/>
        <v>2.0836812893844532</v>
      </c>
    </row>
    <row r="135" spans="1:25" x14ac:dyDescent="0.2">
      <c r="A135" s="42" t="str">
        <f t="shared" si="16"/>
        <v>LatAm IG40543</v>
      </c>
      <c r="B135" s="1">
        <v>40543</v>
      </c>
      <c r="C135" s="34">
        <v>37</v>
      </c>
      <c r="D135" s="34">
        <v>37</v>
      </c>
      <c r="E135" s="37">
        <v>37</v>
      </c>
      <c r="F135" s="37">
        <v>342630.353515625</v>
      </c>
      <c r="G135" s="37">
        <v>108909.36769104004</v>
      </c>
      <c r="H135" s="37">
        <v>233720.98582458496</v>
      </c>
      <c r="I135" s="37">
        <v>43859.448741436005</v>
      </c>
      <c r="J135" s="37">
        <v>221341.36486816406</v>
      </c>
      <c r="K135" s="37">
        <v>20290.548669815063</v>
      </c>
      <c r="L135" s="38">
        <v>1.0559299928587433</v>
      </c>
      <c r="M135" s="38">
        <v>1.5479725342784589</v>
      </c>
      <c r="N135" s="38">
        <v>10.908594364303184</v>
      </c>
      <c r="O135" s="39">
        <v>248.31449280881736</v>
      </c>
      <c r="P135" s="39">
        <v>31.786257864650462</v>
      </c>
      <c r="Q135" s="39">
        <v>12.800806551844474</v>
      </c>
      <c r="R135" s="44">
        <v>214.62138556541399</v>
      </c>
      <c r="T135" s="35">
        <v>229</v>
      </c>
      <c r="U135" s="44">
        <f t="shared" si="17"/>
        <v>-14.378614434586012</v>
      </c>
      <c r="W135" s="44">
        <f t="shared" si="18"/>
        <v>203.25342306488011</v>
      </c>
      <c r="X135" s="3">
        <v>121.01309651215067</v>
      </c>
      <c r="Y135" s="10">
        <f t="shared" si="19"/>
        <v>1.6795985634866542</v>
      </c>
    </row>
    <row r="136" spans="1:25" x14ac:dyDescent="0.2">
      <c r="A136" s="42" t="str">
        <f t="shared" si="16"/>
        <v>LatAm IG40633</v>
      </c>
      <c r="B136" s="1">
        <v>40633</v>
      </c>
      <c r="C136" s="34">
        <v>37</v>
      </c>
      <c r="D136" s="34">
        <v>37</v>
      </c>
      <c r="E136" s="37">
        <v>37</v>
      </c>
      <c r="F136" s="37">
        <v>355191.29815673828</v>
      </c>
      <c r="G136" s="37">
        <v>129755.0117225647</v>
      </c>
      <c r="H136" s="37">
        <v>225436.28643417358</v>
      </c>
      <c r="I136" s="37">
        <v>45364.766045570374</v>
      </c>
      <c r="J136" s="37">
        <v>240321.07177734375</v>
      </c>
      <c r="K136" s="37">
        <v>20497.98659324646</v>
      </c>
      <c r="L136" s="38">
        <v>0.93806292043770156</v>
      </c>
      <c r="M136" s="38">
        <v>1.4779864933601046</v>
      </c>
      <c r="N136" s="38">
        <v>11.724130596149532</v>
      </c>
      <c r="O136" s="39">
        <v>286.02596912375031</v>
      </c>
      <c r="P136" s="39">
        <v>36.531022126929081</v>
      </c>
      <c r="Q136" s="39">
        <v>12.771924954521797</v>
      </c>
      <c r="R136" s="44">
        <v>195.56779042251409</v>
      </c>
      <c r="T136" s="35">
        <v>215</v>
      </c>
      <c r="U136" s="44">
        <f t="shared" si="17"/>
        <v>-19.432209577485906</v>
      </c>
      <c r="W136" s="44">
        <f t="shared" si="18"/>
        <v>208.4804613439596</v>
      </c>
      <c r="X136" s="3">
        <v>107.30194647284836</v>
      </c>
      <c r="Y136" s="10">
        <f t="shared" si="19"/>
        <v>1.9429327071593563</v>
      </c>
    </row>
    <row r="137" spans="1:25" x14ac:dyDescent="0.2">
      <c r="A137" s="42" t="str">
        <f t="shared" si="16"/>
        <v>LatAm IG40724</v>
      </c>
      <c r="B137" s="1">
        <v>40724</v>
      </c>
      <c r="C137" s="34">
        <v>39</v>
      </c>
      <c r="D137" s="34">
        <v>39</v>
      </c>
      <c r="E137" s="37">
        <v>39</v>
      </c>
      <c r="F137" s="37">
        <v>372775.24371337891</v>
      </c>
      <c r="G137" s="37">
        <v>122738.05781936646</v>
      </c>
      <c r="H137" s="37">
        <v>250037.18589401245</v>
      </c>
      <c r="I137" s="37">
        <v>48413.66329908371</v>
      </c>
      <c r="J137" s="37">
        <v>260671.83348083496</v>
      </c>
      <c r="K137" s="37">
        <v>20146.536114692688</v>
      </c>
      <c r="L137" s="38">
        <v>0.95920292789284278</v>
      </c>
      <c r="M137" s="38">
        <v>1.430055709263218</v>
      </c>
      <c r="N137" s="38">
        <v>12.938791661099961</v>
      </c>
      <c r="O137" s="39">
        <v>253.51946011837825</v>
      </c>
      <c r="P137" s="39">
        <v>32.925485232527365</v>
      </c>
      <c r="Q137" s="39">
        <v>12.98736010922126</v>
      </c>
      <c r="R137" s="44">
        <v>220.15153588606626</v>
      </c>
      <c r="T137" s="35">
        <v>234</v>
      </c>
      <c r="U137" s="44">
        <f t="shared" si="17"/>
        <v>-13.848464113933744</v>
      </c>
      <c r="W137" s="44">
        <f t="shared" si="18"/>
        <v>229.51507911854546</v>
      </c>
      <c r="X137" s="3">
        <v>120.45643531081808</v>
      </c>
      <c r="Y137" s="10">
        <f t="shared" si="19"/>
        <v>1.9053783098123354</v>
      </c>
    </row>
    <row r="138" spans="1:25" x14ac:dyDescent="0.2">
      <c r="A138" s="42" t="str">
        <f t="shared" si="16"/>
        <v>LatAm IG40816</v>
      </c>
      <c r="B138" s="1">
        <v>40816</v>
      </c>
      <c r="C138" s="34">
        <v>39</v>
      </c>
      <c r="D138" s="34">
        <v>38</v>
      </c>
      <c r="E138" s="37">
        <v>39</v>
      </c>
      <c r="F138" s="37">
        <v>357351.33654785156</v>
      </c>
      <c r="G138" s="37">
        <v>111068.31317138672</v>
      </c>
      <c r="H138" s="37">
        <v>246283.02337646484</v>
      </c>
      <c r="I138" s="37">
        <v>46962.447463989258</v>
      </c>
      <c r="J138" s="37">
        <v>271344.86976623535</v>
      </c>
      <c r="K138" s="37">
        <v>21219.628397941589</v>
      </c>
      <c r="L138" s="38">
        <v>0.90763839975540583</v>
      </c>
      <c r="M138" s="38">
        <v>1.3169636737768844</v>
      </c>
      <c r="N138" s="38">
        <v>12.787446824118614</v>
      </c>
      <c r="O138" s="39">
        <v>236.31288223741902</v>
      </c>
      <c r="P138" s="39">
        <v>31.117712103352169</v>
      </c>
      <c r="Q138" s="39">
        <v>13.168013444179822</v>
      </c>
      <c r="R138" s="44">
        <v>355.76037520336274</v>
      </c>
      <c r="T138" s="35">
        <v>378</v>
      </c>
      <c r="U138" s="44">
        <f t="shared" si="17"/>
        <v>-22.239624796637258</v>
      </c>
      <c r="W138" s="44">
        <f t="shared" si="18"/>
        <v>391.96267511294644</v>
      </c>
      <c r="X138" s="3">
        <v>192.22718757278759</v>
      </c>
      <c r="Y138" s="10">
        <f t="shared" si="19"/>
        <v>2.0390595111033822</v>
      </c>
    </row>
    <row r="139" spans="1:25" x14ac:dyDescent="0.2">
      <c r="A139" s="42" t="str">
        <f t="shared" si="16"/>
        <v>LatAm IG40908</v>
      </c>
      <c r="B139" s="1">
        <v>40908</v>
      </c>
      <c r="C139" s="34">
        <v>32</v>
      </c>
      <c r="D139" s="34">
        <v>32</v>
      </c>
      <c r="E139" s="37">
        <v>32</v>
      </c>
      <c r="F139" s="37">
        <v>333640.45880126953</v>
      </c>
      <c r="G139" s="37">
        <v>94676.526635289192</v>
      </c>
      <c r="H139" s="37">
        <v>238963.93216598034</v>
      </c>
      <c r="I139" s="37">
        <v>40198.103672981262</v>
      </c>
      <c r="J139" s="37">
        <v>262300.99015045166</v>
      </c>
      <c r="K139" s="37">
        <v>22093.483341217041</v>
      </c>
      <c r="L139" s="38">
        <v>0.91102947049080696</v>
      </c>
      <c r="M139" s="38">
        <v>1.2719755979948786</v>
      </c>
      <c r="N139" s="38">
        <v>11.872323892951258</v>
      </c>
      <c r="O139" s="39">
        <v>235.52485810151546</v>
      </c>
      <c r="P139" s="39">
        <v>28.376812265350161</v>
      </c>
      <c r="Q139" s="39">
        <v>12.048330054876518</v>
      </c>
      <c r="R139" s="44">
        <v>303.31163163444336</v>
      </c>
      <c r="T139" s="35">
        <v>333</v>
      </c>
      <c r="U139" s="44">
        <f t="shared" si="17"/>
        <v>-29.688368365556641</v>
      </c>
      <c r="W139" s="44">
        <f t="shared" si="18"/>
        <v>332.93284296394671</v>
      </c>
      <c r="X139" s="3">
        <v>194.86698227275534</v>
      </c>
      <c r="Y139" s="10">
        <f t="shared" si="19"/>
        <v>1.7085133616835129</v>
      </c>
    </row>
    <row r="140" spans="1:25" x14ac:dyDescent="0.2">
      <c r="A140" s="42" t="str">
        <f t="shared" si="16"/>
        <v>LatAm IG40999</v>
      </c>
      <c r="B140" s="1">
        <v>40999</v>
      </c>
      <c r="C140" s="34">
        <v>31</v>
      </c>
      <c r="D140" s="34">
        <v>31</v>
      </c>
      <c r="E140" s="37">
        <v>31</v>
      </c>
      <c r="F140" s="37">
        <v>366264.57020568848</v>
      </c>
      <c r="G140" s="37">
        <v>97913.286243438721</v>
      </c>
      <c r="H140" s="37">
        <v>268351.28396224976</v>
      </c>
      <c r="I140" s="37">
        <v>56238.069875717163</v>
      </c>
      <c r="J140" s="37">
        <v>276638.01022720337</v>
      </c>
      <c r="K140" s="37">
        <v>37485.038129806519</v>
      </c>
      <c r="L140" s="38">
        <v>0.97004487467883493</v>
      </c>
      <c r="M140" s="38">
        <v>1.3239849791605811</v>
      </c>
      <c r="N140" s="38">
        <v>7.3799580853896076</v>
      </c>
      <c r="O140" s="39">
        <v>174.10499055145624</v>
      </c>
      <c r="P140" s="39">
        <v>26.732939576561321</v>
      </c>
      <c r="Q140" s="39">
        <v>15.354493568442818</v>
      </c>
      <c r="R140" s="44">
        <v>235.31807942931732</v>
      </c>
      <c r="T140" s="35">
        <v>262</v>
      </c>
      <c r="U140" s="44">
        <f t="shared" si="17"/>
        <v>-26.681920570682678</v>
      </c>
      <c r="W140" s="44">
        <f t="shared" si="18"/>
        <v>242.58473558476052</v>
      </c>
      <c r="X140" s="3">
        <v>140.73485509079555</v>
      </c>
      <c r="Y140" s="10">
        <f t="shared" si="19"/>
        <v>1.7237004680059975</v>
      </c>
    </row>
    <row r="141" spans="1:25" x14ac:dyDescent="0.2">
      <c r="A141" s="42" t="str">
        <f t="shared" si="16"/>
        <v>LatAm IG41090</v>
      </c>
      <c r="B141" s="1">
        <v>41090</v>
      </c>
      <c r="C141" s="34">
        <v>30</v>
      </c>
      <c r="D141" s="34">
        <v>30</v>
      </c>
      <c r="E141" s="37">
        <v>28</v>
      </c>
      <c r="F141" s="37">
        <v>334401.80908203125</v>
      </c>
      <c r="G141" s="37">
        <v>63021.420059204102</v>
      </c>
      <c r="H141" s="37">
        <v>271380.38902282715</v>
      </c>
      <c r="I141" s="37">
        <v>37233.112770080566</v>
      </c>
      <c r="J141" s="37">
        <v>244170.35433197021</v>
      </c>
      <c r="K141" s="37">
        <v>21086.972038269043</v>
      </c>
      <c r="L141" s="38">
        <v>1.1114387320496024</v>
      </c>
      <c r="M141" s="38">
        <v>1.3695430389038292</v>
      </c>
      <c r="N141" s="38">
        <v>10.629027465867225</v>
      </c>
      <c r="O141" s="39">
        <v>169.26175484808311</v>
      </c>
      <c r="P141" s="39">
        <v>18.846016483046142</v>
      </c>
      <c r="Q141" s="39">
        <v>11.134243822510841</v>
      </c>
      <c r="R141" s="84">
        <v>273.46261649407796</v>
      </c>
      <c r="T141" s="35">
        <v>304</v>
      </c>
      <c r="U141" s="44">
        <f t="shared" si="17"/>
        <v>-30.537383505922037</v>
      </c>
      <c r="W141" s="44">
        <f t="shared" si="18"/>
        <v>246.04380665210937</v>
      </c>
      <c r="X141" s="3">
        <v>143.31110989301686</v>
      </c>
      <c r="Y141" s="10">
        <f t="shared" si="19"/>
        <v>1.7168508905958755</v>
      </c>
    </row>
    <row r="143" spans="1:25" x14ac:dyDescent="0.2">
      <c r="A143" s="12" t="s">
        <v>288</v>
      </c>
      <c r="B143" s="40" t="s">
        <v>0</v>
      </c>
      <c r="C143" s="41" t="s">
        <v>180</v>
      </c>
      <c r="D143" s="41" t="s">
        <v>178</v>
      </c>
      <c r="E143" s="41" t="s">
        <v>179</v>
      </c>
      <c r="F143" s="41" t="s">
        <v>2</v>
      </c>
      <c r="G143" s="41" t="s">
        <v>31</v>
      </c>
      <c r="H143" s="41" t="s">
        <v>41</v>
      </c>
      <c r="I143" s="41" t="s">
        <v>20</v>
      </c>
      <c r="J143" s="41" t="s">
        <v>3</v>
      </c>
      <c r="K143" s="41" t="s">
        <v>24</v>
      </c>
      <c r="L143" s="41" t="s">
        <v>5</v>
      </c>
      <c r="M143" s="41" t="s">
        <v>43</v>
      </c>
      <c r="N143" s="41" t="s">
        <v>6</v>
      </c>
      <c r="O143" s="41" t="s">
        <v>176</v>
      </c>
      <c r="P143" s="41" t="s">
        <v>21</v>
      </c>
      <c r="Q143" s="41" t="s">
        <v>177</v>
      </c>
      <c r="R143" s="83" t="s">
        <v>7</v>
      </c>
      <c r="T143" s="43" t="s">
        <v>324</v>
      </c>
      <c r="U143" s="43" t="s">
        <v>325</v>
      </c>
      <c r="W143" s="35" t="str">
        <f>A143&amp;" spread per turn of leverage"</f>
        <v>LatAm HY spread per turn of leverage</v>
      </c>
      <c r="X143" s="3" t="s">
        <v>27</v>
      </c>
      <c r="Y143" t="str">
        <f>A143&amp;" vs. US spread per turn of leverage ratio"</f>
        <v>LatAm HY vs. US spread per turn of leverage ratio</v>
      </c>
    </row>
    <row r="144" spans="1:25" x14ac:dyDescent="0.2">
      <c r="A144" s="42" t="str">
        <f>$A$143&amp;$B144</f>
        <v>LatAm HY38807</v>
      </c>
      <c r="B144" s="1">
        <v>38807</v>
      </c>
      <c r="C144" s="34">
        <v>31</v>
      </c>
      <c r="D144" s="34">
        <v>31</v>
      </c>
      <c r="E144" s="37">
        <v>25</v>
      </c>
      <c r="F144" s="37">
        <v>39267.46813583374</v>
      </c>
      <c r="G144" s="37">
        <v>4801.8141671719495</v>
      </c>
      <c r="H144" s="37">
        <v>34465.653968661791</v>
      </c>
      <c r="I144" s="37">
        <v>7820.7523717880249</v>
      </c>
      <c r="J144" s="37">
        <v>20377.562576949596</v>
      </c>
      <c r="K144" s="37">
        <v>3279.5670268763788</v>
      </c>
      <c r="L144" s="38">
        <v>1.6913531163755651</v>
      </c>
      <c r="M144" s="38">
        <v>1.9269953404658788</v>
      </c>
      <c r="N144" s="38">
        <v>4.8589205916419802</v>
      </c>
      <c r="O144" s="39">
        <v>61.398366025417729</v>
      </c>
      <c r="P144" s="39">
        <v>12.228479184248775</v>
      </c>
      <c r="Q144" s="39">
        <v>19.916619896995993</v>
      </c>
      <c r="R144" s="44">
        <v>270.58100313732621</v>
      </c>
      <c r="T144" s="35">
        <v>282</v>
      </c>
      <c r="U144" s="44">
        <f>R144-T144</f>
        <v>-11.418996862673794</v>
      </c>
      <c r="W144" s="44">
        <f>R144/L144</f>
        <v>159.97901355877698</v>
      </c>
      <c r="X144" s="3">
        <v>111.26280390871405</v>
      </c>
      <c r="Y144" s="10">
        <f>W144/X144</f>
        <v>1.4378481211927063</v>
      </c>
    </row>
    <row r="145" spans="1:25" x14ac:dyDescent="0.2">
      <c r="A145" s="42" t="str">
        <f t="shared" ref="A145:A169" si="20">$A$143&amp;$B145</f>
        <v>LatAm HY38898</v>
      </c>
      <c r="B145" s="1">
        <v>38898</v>
      </c>
      <c r="C145" s="34">
        <v>31</v>
      </c>
      <c r="D145" s="34">
        <v>31</v>
      </c>
      <c r="E145" s="37">
        <v>25</v>
      </c>
      <c r="F145" s="37">
        <v>39936.185173034668</v>
      </c>
      <c r="G145" s="37">
        <v>5129.2836193523835</v>
      </c>
      <c r="H145" s="37">
        <v>34806.901553682284</v>
      </c>
      <c r="I145" s="37">
        <v>8421.6645788550377</v>
      </c>
      <c r="J145" s="37">
        <v>20823.682007491589</v>
      </c>
      <c r="K145" s="37">
        <v>3354.5039441813715</v>
      </c>
      <c r="L145" s="38">
        <v>1.6715056223563178</v>
      </c>
      <c r="M145" s="38">
        <v>1.9178253470576005</v>
      </c>
      <c r="N145" s="38">
        <v>4.8208621310353612</v>
      </c>
      <c r="O145" s="39">
        <v>60.905817030885977</v>
      </c>
      <c r="P145" s="39">
        <v>12.843699509926477</v>
      </c>
      <c r="Q145" s="39">
        <v>21.087804311718372</v>
      </c>
      <c r="R145" s="44">
        <v>321.02072980272595</v>
      </c>
      <c r="T145" s="35">
        <v>347</v>
      </c>
      <c r="U145" s="44">
        <f t="shared" ref="U145:U169" si="21">R145-T145</f>
        <v>-25.979270197274047</v>
      </c>
      <c r="W145" s="44">
        <f t="shared" ref="W145:W169" si="22">R145/L145</f>
        <v>192.05483099134523</v>
      </c>
      <c r="X145" s="3">
        <v>115.35026520347849</v>
      </c>
      <c r="Y145" s="10">
        <f t="shared" ref="Y145:Y169" si="23">W145/X145</f>
        <v>1.6649708663656688</v>
      </c>
    </row>
    <row r="146" spans="1:25" x14ac:dyDescent="0.2">
      <c r="A146" s="42" t="str">
        <f t="shared" si="20"/>
        <v>LatAm HY38990</v>
      </c>
      <c r="B146" s="1">
        <v>38990</v>
      </c>
      <c r="C146" s="34">
        <v>31</v>
      </c>
      <c r="D146" s="34">
        <v>31</v>
      </c>
      <c r="E146" s="37">
        <v>22</v>
      </c>
      <c r="F146" s="37">
        <v>38927.935081481934</v>
      </c>
      <c r="G146" s="37">
        <v>4825.2390041941544</v>
      </c>
      <c r="H146" s="37">
        <v>34102.696077287779</v>
      </c>
      <c r="I146" s="37">
        <v>8512.329948425293</v>
      </c>
      <c r="J146" s="37">
        <v>20402.665508925915</v>
      </c>
      <c r="K146" s="37">
        <v>3054.8379919757135</v>
      </c>
      <c r="L146" s="38">
        <v>1.6714823885324332</v>
      </c>
      <c r="M146" s="38">
        <v>1.90798281060146</v>
      </c>
      <c r="N146" s="38">
        <v>4.8565624613145264</v>
      </c>
      <c r="O146" s="39">
        <v>56.685291024072463</v>
      </c>
      <c r="P146" s="39">
        <v>12.395311988920591</v>
      </c>
      <c r="Q146" s="39">
        <v>21.866893095171179</v>
      </c>
      <c r="R146" s="44">
        <v>273.71255823024364</v>
      </c>
      <c r="T146" s="35">
        <v>350</v>
      </c>
      <c r="U146" s="44">
        <f t="shared" si="21"/>
        <v>-76.287441769756356</v>
      </c>
      <c r="W146" s="44">
        <f t="shared" si="22"/>
        <v>163.75437761600594</v>
      </c>
      <c r="X146" s="3">
        <v>117.38668651492007</v>
      </c>
      <c r="Y146" s="10">
        <f t="shared" si="23"/>
        <v>1.3949995734413412</v>
      </c>
    </row>
    <row r="147" spans="1:25" x14ac:dyDescent="0.2">
      <c r="A147" s="42" t="str">
        <f t="shared" si="20"/>
        <v>LatAm HY39082</v>
      </c>
      <c r="B147" s="1">
        <v>39082</v>
      </c>
      <c r="C147" s="34">
        <v>31</v>
      </c>
      <c r="D147" s="34">
        <v>31</v>
      </c>
      <c r="E147" s="37">
        <v>21</v>
      </c>
      <c r="F147" s="37">
        <v>42359.220474243164</v>
      </c>
      <c r="G147" s="37">
        <v>6906.5566596164135</v>
      </c>
      <c r="H147" s="37">
        <v>35452.663814626751</v>
      </c>
      <c r="I147" s="37">
        <v>7549.9435471892357</v>
      </c>
      <c r="J147" s="37">
        <v>20108.474079787731</v>
      </c>
      <c r="K147" s="37">
        <v>1998.6737902392633</v>
      </c>
      <c r="L147" s="38">
        <v>1.7630708165102598</v>
      </c>
      <c r="M147" s="38">
        <v>2.1065357971056109</v>
      </c>
      <c r="N147" s="38">
        <v>6.6386671475609518</v>
      </c>
      <c r="O147" s="39">
        <v>91.478255651165114</v>
      </c>
      <c r="P147" s="39">
        <v>16.304730309699622</v>
      </c>
      <c r="Q147" s="39">
        <v>17.823613047317608</v>
      </c>
      <c r="R147" s="44">
        <v>227.17435805868223</v>
      </c>
      <c r="T147" s="35">
        <v>299</v>
      </c>
      <c r="U147" s="44">
        <f t="shared" si="21"/>
        <v>-71.82564194131777</v>
      </c>
      <c r="W147" s="44">
        <f t="shared" si="22"/>
        <v>128.85152197592413</v>
      </c>
      <c r="X147" s="3">
        <v>98.791471085364662</v>
      </c>
      <c r="Y147" s="10">
        <f t="shared" si="23"/>
        <v>1.3042777940272283</v>
      </c>
    </row>
    <row r="148" spans="1:25" x14ac:dyDescent="0.2">
      <c r="A148" s="42" t="str">
        <f t="shared" si="20"/>
        <v>LatAm HY39172</v>
      </c>
      <c r="B148" s="1">
        <v>39172</v>
      </c>
      <c r="C148" s="34">
        <v>32</v>
      </c>
      <c r="D148" s="34">
        <v>33</v>
      </c>
      <c r="E148" s="37">
        <v>24</v>
      </c>
      <c r="F148" s="37">
        <v>45317.790596008301</v>
      </c>
      <c r="G148" s="37">
        <v>4269.2719117999077</v>
      </c>
      <c r="H148" s="37">
        <v>41048.518684208393</v>
      </c>
      <c r="I148" s="37">
        <v>8423.5245161056519</v>
      </c>
      <c r="J148" s="37">
        <v>20063.576472967863</v>
      </c>
      <c r="K148" s="37">
        <v>2927.0174462657887</v>
      </c>
      <c r="L148" s="38">
        <v>2.04592230799499</v>
      </c>
      <c r="M148" s="38">
        <v>2.2587094906566656</v>
      </c>
      <c r="N148" s="38">
        <v>5.1391473546355124</v>
      </c>
      <c r="O148" s="39">
        <v>52.107199336309861</v>
      </c>
      <c r="P148" s="39">
        <v>9.3892928082434235</v>
      </c>
      <c r="Q148" s="39">
        <v>18.019185309966719</v>
      </c>
      <c r="R148" s="44">
        <v>251.78398991709273</v>
      </c>
      <c r="T148" s="35">
        <v>299</v>
      </c>
      <c r="U148" s="44">
        <f t="shared" si="21"/>
        <v>-47.216010082907275</v>
      </c>
      <c r="W148" s="44">
        <f t="shared" si="22"/>
        <v>123.0662517990929</v>
      </c>
      <c r="X148" s="3">
        <v>91.842279068506841</v>
      </c>
      <c r="Y148" s="10">
        <f t="shared" si="23"/>
        <v>1.3399738448051308</v>
      </c>
    </row>
    <row r="149" spans="1:25" x14ac:dyDescent="0.2">
      <c r="A149" s="42" t="str">
        <f t="shared" si="20"/>
        <v>LatAm HY39263</v>
      </c>
      <c r="B149" s="1">
        <v>39263</v>
      </c>
      <c r="C149" s="34">
        <v>33</v>
      </c>
      <c r="D149" s="34">
        <v>35</v>
      </c>
      <c r="E149" s="37">
        <v>24</v>
      </c>
      <c r="F149" s="37">
        <v>46196.344504356384</v>
      </c>
      <c r="G149" s="37">
        <v>4927.4750710725784</v>
      </c>
      <c r="H149" s="37">
        <v>41268.869433283806</v>
      </c>
      <c r="I149" s="37">
        <v>7986.9672653675079</v>
      </c>
      <c r="J149" s="37">
        <v>20336.984944224358</v>
      </c>
      <c r="K149" s="37">
        <v>3500.5064563751221</v>
      </c>
      <c r="L149" s="38">
        <v>2.0292521013545834</v>
      </c>
      <c r="M149" s="38">
        <v>2.2715434284409994</v>
      </c>
      <c r="N149" s="38">
        <v>4.4109173600124976</v>
      </c>
      <c r="O149" s="39">
        <v>72.410910314788694</v>
      </c>
      <c r="P149" s="39">
        <v>12.049242513011347</v>
      </c>
      <c r="Q149" s="39">
        <v>16.640092578080036</v>
      </c>
      <c r="R149" s="44">
        <v>243.26121168931181</v>
      </c>
      <c r="T149" s="35">
        <v>307</v>
      </c>
      <c r="U149" s="44">
        <f t="shared" si="21"/>
        <v>-63.738788310688193</v>
      </c>
      <c r="W149" s="44">
        <f t="shared" si="22"/>
        <v>119.87727474911965</v>
      </c>
      <c r="X149" s="3">
        <v>97.985147116353176</v>
      </c>
      <c r="Y149" s="10">
        <f t="shared" si="23"/>
        <v>1.2234229194631969</v>
      </c>
    </row>
    <row r="150" spans="1:25" x14ac:dyDescent="0.2">
      <c r="A150" s="42" t="str">
        <f t="shared" si="20"/>
        <v>LatAm HY39355</v>
      </c>
      <c r="B150" s="1">
        <v>39355</v>
      </c>
      <c r="C150" s="34">
        <v>33</v>
      </c>
      <c r="D150" s="34">
        <v>36</v>
      </c>
      <c r="E150" s="37">
        <v>24</v>
      </c>
      <c r="F150" s="37">
        <v>48142.114238739014</v>
      </c>
      <c r="G150" s="37">
        <v>4868.073676109314</v>
      </c>
      <c r="H150" s="37">
        <v>43274.0405626297</v>
      </c>
      <c r="I150" s="37">
        <v>9185.3674640655518</v>
      </c>
      <c r="J150" s="37">
        <v>21963.415868759155</v>
      </c>
      <c r="K150" s="37">
        <v>3531.6042393445969</v>
      </c>
      <c r="L150" s="38">
        <v>1.9702782491216613</v>
      </c>
      <c r="M150" s="38">
        <v>2.1919229015381227</v>
      </c>
      <c r="N150" s="38">
        <v>4.7047619150587865</v>
      </c>
      <c r="O150" s="39">
        <v>71.421355526468503</v>
      </c>
      <c r="P150" s="39">
        <v>12.876547251805428</v>
      </c>
      <c r="Q150" s="39">
        <v>18.028987488249825</v>
      </c>
      <c r="R150" s="44">
        <v>346.32792016834759</v>
      </c>
      <c r="T150" s="35">
        <v>425</v>
      </c>
      <c r="U150" s="44">
        <f t="shared" si="21"/>
        <v>-78.672079831652411</v>
      </c>
      <c r="W150" s="44">
        <f t="shared" si="22"/>
        <v>175.77614751761007</v>
      </c>
      <c r="X150" s="3">
        <v>142.61715042021578</v>
      </c>
      <c r="Y150" s="10">
        <f t="shared" si="23"/>
        <v>1.2325035733759413</v>
      </c>
    </row>
    <row r="151" spans="1:25" x14ac:dyDescent="0.2">
      <c r="A151" s="42" t="str">
        <f t="shared" si="20"/>
        <v>LatAm HY39447</v>
      </c>
      <c r="B151" s="1">
        <v>39447</v>
      </c>
      <c r="C151" s="34">
        <v>33</v>
      </c>
      <c r="D151" s="34">
        <v>35</v>
      </c>
      <c r="E151" s="37">
        <v>25</v>
      </c>
      <c r="F151" s="37">
        <v>51395.184661865234</v>
      </c>
      <c r="G151" s="37">
        <v>7087.3226709365845</v>
      </c>
      <c r="H151" s="37">
        <v>44307.86199092865</v>
      </c>
      <c r="I151" s="37">
        <v>9274.4097222089767</v>
      </c>
      <c r="J151" s="37">
        <v>20656.402744293213</v>
      </c>
      <c r="K151" s="37">
        <v>4143.2085752487183</v>
      </c>
      <c r="L151" s="38">
        <v>2.1449940988960274</v>
      </c>
      <c r="M151" s="38">
        <v>2.4880994671767951</v>
      </c>
      <c r="N151" s="38">
        <v>4.4059762814631149</v>
      </c>
      <c r="O151" s="39">
        <v>85.106662957408162</v>
      </c>
      <c r="P151" s="39">
        <v>15.166094320559361</v>
      </c>
      <c r="Q151" s="39">
        <v>17.820102202984121</v>
      </c>
      <c r="R151" s="44">
        <v>442.75633651547082</v>
      </c>
      <c r="T151" s="35">
        <v>531</v>
      </c>
      <c r="U151" s="44">
        <f t="shared" si="21"/>
        <v>-88.243663484529179</v>
      </c>
      <c r="W151" s="44">
        <f t="shared" si="22"/>
        <v>206.41377836113674</v>
      </c>
      <c r="X151" s="3">
        <v>186.37349979334107</v>
      </c>
      <c r="Y151" s="10">
        <f t="shared" si="23"/>
        <v>1.1075275111001144</v>
      </c>
    </row>
    <row r="152" spans="1:25" x14ac:dyDescent="0.2">
      <c r="A152" s="42" t="str">
        <f t="shared" si="20"/>
        <v>LatAm HY39538</v>
      </c>
      <c r="B152" s="1">
        <v>39538</v>
      </c>
      <c r="C152" s="34">
        <v>46</v>
      </c>
      <c r="D152" s="34">
        <v>46</v>
      </c>
      <c r="E152" s="37">
        <v>41</v>
      </c>
      <c r="F152" s="37">
        <v>63601.281506538391</v>
      </c>
      <c r="G152" s="37">
        <v>23943.324552536011</v>
      </c>
      <c r="H152" s="37">
        <v>39657.95695400238</v>
      </c>
      <c r="I152" s="37">
        <v>10451.013994812965</v>
      </c>
      <c r="J152" s="37">
        <v>27143.158508300781</v>
      </c>
      <c r="K152" s="37">
        <v>3219.8248790577054</v>
      </c>
      <c r="L152" s="38">
        <v>1.4610664024923403</v>
      </c>
      <c r="M152" s="38">
        <v>2.3431790919648563</v>
      </c>
      <c r="N152" s="38">
        <v>7.9354037501892147</v>
      </c>
      <c r="O152" s="39">
        <v>228.8138067233613</v>
      </c>
      <c r="P152" s="39">
        <v>37.702030753691901</v>
      </c>
      <c r="Q152" s="39">
        <v>16.477165995177081</v>
      </c>
      <c r="R152" s="44">
        <v>614.3584332472285</v>
      </c>
      <c r="T152" s="35">
        <v>674</v>
      </c>
      <c r="U152" s="44">
        <f t="shared" si="21"/>
        <v>-59.641566752771496</v>
      </c>
      <c r="W152" s="44">
        <f t="shared" si="22"/>
        <v>420.48631889641257</v>
      </c>
      <c r="X152" s="3">
        <v>246.57150055453741</v>
      </c>
      <c r="Y152" s="10">
        <f t="shared" si="23"/>
        <v>1.7053321975603104</v>
      </c>
    </row>
    <row r="153" spans="1:25" x14ac:dyDescent="0.2">
      <c r="A153" s="42" t="str">
        <f t="shared" si="20"/>
        <v>LatAm HY39629</v>
      </c>
      <c r="B153" s="1">
        <v>39629</v>
      </c>
      <c r="C153" s="34">
        <v>45</v>
      </c>
      <c r="D153" s="34">
        <v>46</v>
      </c>
      <c r="E153" s="37">
        <v>40</v>
      </c>
      <c r="F153" s="37">
        <v>56054.22430229187</v>
      </c>
      <c r="G153" s="37">
        <v>23234.471308708191</v>
      </c>
      <c r="H153" s="37">
        <v>32819.752993583679</v>
      </c>
      <c r="I153" s="37">
        <v>10533.1135430336</v>
      </c>
      <c r="J153" s="37">
        <v>25452.915145874023</v>
      </c>
      <c r="K153" s="37">
        <v>3244.1610960140824</v>
      </c>
      <c r="L153" s="38">
        <v>1.2894300242423837</v>
      </c>
      <c r="M153" s="38">
        <v>2.2022712911679347</v>
      </c>
      <c r="N153" s="38">
        <v>7.2269409120073442</v>
      </c>
      <c r="O153" s="39">
        <v>220.64884987436147</v>
      </c>
      <c r="P153" s="39">
        <v>41.476917762406096</v>
      </c>
      <c r="Q153" s="39">
        <v>18.797704037896981</v>
      </c>
      <c r="R153" s="44">
        <v>576.96873702630535</v>
      </c>
      <c r="T153" s="35">
        <v>623</v>
      </c>
      <c r="U153" s="44">
        <f t="shared" si="21"/>
        <v>-46.031262973694652</v>
      </c>
      <c r="W153" s="44">
        <f t="shared" si="22"/>
        <v>447.46029344656262</v>
      </c>
      <c r="X153" s="3">
        <v>221.0995364177877</v>
      </c>
      <c r="Y153" s="10">
        <f t="shared" si="23"/>
        <v>2.0237957107293325</v>
      </c>
    </row>
    <row r="154" spans="1:25" x14ac:dyDescent="0.2">
      <c r="A154" s="42" t="str">
        <f t="shared" si="20"/>
        <v>LatAm HY39721</v>
      </c>
      <c r="B154" s="1">
        <v>39721</v>
      </c>
      <c r="C154" s="34">
        <v>44</v>
      </c>
      <c r="D154" s="34">
        <v>45</v>
      </c>
      <c r="E154" s="37">
        <v>39</v>
      </c>
      <c r="F154" s="37">
        <v>55764.718047142029</v>
      </c>
      <c r="G154" s="37">
        <v>20695.797982692719</v>
      </c>
      <c r="H154" s="37">
        <v>35068.92006444931</v>
      </c>
      <c r="I154" s="37">
        <v>10777.909770965576</v>
      </c>
      <c r="J154" s="37">
        <v>26411.84751701355</v>
      </c>
      <c r="K154" s="37">
        <v>3623.8140808418393</v>
      </c>
      <c r="L154" s="38">
        <v>1.3277723204277623</v>
      </c>
      <c r="M154" s="38">
        <v>2.1113524152833469</v>
      </c>
      <c r="N154" s="38">
        <v>6.6109193605978742</v>
      </c>
      <c r="O154" s="39">
        <v>191.86713520624451</v>
      </c>
      <c r="P154" s="39">
        <v>37.086951550505802</v>
      </c>
      <c r="Q154" s="39">
        <v>19.329496690842745</v>
      </c>
      <c r="R154" s="44">
        <v>925.0187291046899</v>
      </c>
      <c r="T154" s="35">
        <v>952</v>
      </c>
      <c r="U154" s="44">
        <f t="shared" si="21"/>
        <v>-26.981270895310104</v>
      </c>
      <c r="W154" s="44">
        <f t="shared" si="22"/>
        <v>696.6696886757519</v>
      </c>
      <c r="X154" s="3">
        <v>300.40167246154607</v>
      </c>
      <c r="Y154" s="10">
        <f t="shared" si="23"/>
        <v>2.3191271971527772</v>
      </c>
    </row>
    <row r="155" spans="1:25" x14ac:dyDescent="0.2">
      <c r="A155" s="42" t="str">
        <f t="shared" si="20"/>
        <v>LatAm HY39813</v>
      </c>
      <c r="B155" s="1">
        <v>39813</v>
      </c>
      <c r="C155" s="34">
        <v>48</v>
      </c>
      <c r="D155" s="34">
        <v>47</v>
      </c>
      <c r="E155" s="37">
        <v>43</v>
      </c>
      <c r="F155" s="37">
        <v>79988.073683738708</v>
      </c>
      <c r="G155" s="37">
        <v>21467.382538318634</v>
      </c>
      <c r="H155" s="37">
        <v>58520.691145420074</v>
      </c>
      <c r="I155" s="37">
        <v>19279.626464486122</v>
      </c>
      <c r="J155" s="37">
        <v>32772.39031791687</v>
      </c>
      <c r="K155" s="37">
        <v>5150.8039172962308</v>
      </c>
      <c r="L155" s="38">
        <v>1.7856705164843116</v>
      </c>
      <c r="M155" s="38">
        <v>2.4407152761148683</v>
      </c>
      <c r="N155" s="38">
        <v>5.8906609642719996</v>
      </c>
      <c r="O155" s="39">
        <v>111.04559300992065</v>
      </c>
      <c r="P155" s="39">
        <v>26.90210803143918</v>
      </c>
      <c r="Q155" s="39">
        <v>24.226182509589361</v>
      </c>
      <c r="R155" s="84">
        <v>1724.7990629846183</v>
      </c>
      <c r="T155" s="35">
        <v>1865</v>
      </c>
      <c r="U155" s="44">
        <f t="shared" si="21"/>
        <v>-140.20093701538167</v>
      </c>
      <c r="W155" s="44">
        <f t="shared" si="22"/>
        <v>965.91115049626342</v>
      </c>
      <c r="X155" s="3">
        <v>493.0778863135684</v>
      </c>
      <c r="Y155" s="10">
        <f t="shared" si="23"/>
        <v>1.9589423442161853</v>
      </c>
    </row>
    <row r="156" spans="1:25" x14ac:dyDescent="0.2">
      <c r="A156" s="42" t="str">
        <f t="shared" si="20"/>
        <v>LatAm HY39903</v>
      </c>
      <c r="B156" s="1">
        <v>39903</v>
      </c>
      <c r="C156" s="34">
        <v>47</v>
      </c>
      <c r="D156" s="34">
        <v>47</v>
      </c>
      <c r="E156" s="37">
        <v>45</v>
      </c>
      <c r="F156" s="37">
        <v>87527.897254288197</v>
      </c>
      <c r="G156" s="37">
        <v>15942.96750831604</v>
      </c>
      <c r="H156" s="37">
        <v>71584.929745972157</v>
      </c>
      <c r="I156" s="37">
        <v>18296.651643097401</v>
      </c>
      <c r="J156" s="37">
        <v>30879.80989074707</v>
      </c>
      <c r="K156" s="37">
        <v>5537.6263116002083</v>
      </c>
      <c r="L156" s="38">
        <v>2.3181790949892509</v>
      </c>
      <c r="M156" s="38">
        <v>2.8344700813885306</v>
      </c>
      <c r="N156" s="38">
        <v>5.1814756853212476</v>
      </c>
      <c r="O156" s="39">
        <v>87.135984328207329</v>
      </c>
      <c r="P156" s="39">
        <v>18.214726970988622</v>
      </c>
      <c r="Q156" s="39">
        <v>20.903794352492579</v>
      </c>
      <c r="R156" s="44">
        <v>1704.5003647017681</v>
      </c>
      <c r="T156" s="35">
        <v>1704</v>
      </c>
      <c r="U156" s="44">
        <f t="shared" si="21"/>
        <v>0.50036470176814873</v>
      </c>
      <c r="W156" s="44">
        <f t="shared" si="22"/>
        <v>735.27553086215357</v>
      </c>
      <c r="X156" s="3">
        <v>422.71844170115287</v>
      </c>
      <c r="Y156" s="10">
        <f t="shared" si="23"/>
        <v>1.7393978079195505</v>
      </c>
    </row>
    <row r="157" spans="1:25" x14ac:dyDescent="0.2">
      <c r="A157" s="42" t="str">
        <f t="shared" si="20"/>
        <v>LatAm HY39994</v>
      </c>
      <c r="B157" s="1">
        <v>39994</v>
      </c>
      <c r="C157" s="34">
        <v>46</v>
      </c>
      <c r="D157" s="34">
        <v>46</v>
      </c>
      <c r="E157" s="37">
        <v>44</v>
      </c>
      <c r="F157" s="37">
        <v>81210.623191177845</v>
      </c>
      <c r="G157" s="37">
        <v>13667.152775764465</v>
      </c>
      <c r="H157" s="37">
        <v>67543.47041541338</v>
      </c>
      <c r="I157" s="37">
        <v>18460.541408360004</v>
      </c>
      <c r="J157" s="37">
        <v>23952.910591125488</v>
      </c>
      <c r="K157" s="37">
        <v>4498.7315960526466</v>
      </c>
      <c r="L157" s="38">
        <v>2.8198439667051618</v>
      </c>
      <c r="M157" s="38">
        <v>3.3904281854275462</v>
      </c>
      <c r="N157" s="38">
        <v>4.8992127331235</v>
      </c>
      <c r="O157" s="39">
        <v>74.034409248556415</v>
      </c>
      <c r="P157" s="39">
        <v>16.829267205092904</v>
      </c>
      <c r="Q157" s="39">
        <v>22.731682978102587</v>
      </c>
      <c r="R157" s="44">
        <v>1102.1607689858483</v>
      </c>
      <c r="T157" s="35">
        <v>1118</v>
      </c>
      <c r="U157" s="44">
        <f t="shared" si="21"/>
        <v>-15.839231014151665</v>
      </c>
      <c r="W157" s="44">
        <f t="shared" si="22"/>
        <v>390.85877871237847</v>
      </c>
      <c r="X157" s="3">
        <v>270.26176523634632</v>
      </c>
      <c r="Y157" s="10">
        <f t="shared" si="23"/>
        <v>1.4462229918855485</v>
      </c>
    </row>
    <row r="158" spans="1:25" x14ac:dyDescent="0.2">
      <c r="A158" s="42" t="str">
        <f t="shared" si="20"/>
        <v>LatAm HY40086</v>
      </c>
      <c r="B158" s="1">
        <v>40086</v>
      </c>
      <c r="C158" s="34">
        <v>46</v>
      </c>
      <c r="D158" s="34">
        <v>46</v>
      </c>
      <c r="E158" s="37">
        <v>44</v>
      </c>
      <c r="F158" s="37">
        <v>80452.391471207142</v>
      </c>
      <c r="G158" s="37">
        <v>15973.647519111633</v>
      </c>
      <c r="H158" s="37">
        <v>64478.743952095509</v>
      </c>
      <c r="I158" s="37">
        <v>13245.873794853687</v>
      </c>
      <c r="J158" s="37">
        <v>21482.76685333252</v>
      </c>
      <c r="K158" s="37">
        <v>4365.4440134316683</v>
      </c>
      <c r="L158" s="38">
        <v>3.0014171075963256</v>
      </c>
      <c r="M158" s="38">
        <v>3.7449734487402373</v>
      </c>
      <c r="N158" s="38">
        <v>4.5367290740180284</v>
      </c>
      <c r="O158" s="39">
        <v>120.59338452490576</v>
      </c>
      <c r="P158" s="39">
        <v>19.854782719328355</v>
      </c>
      <c r="Q158" s="39">
        <v>16.46423872880673</v>
      </c>
      <c r="R158" s="44">
        <v>735.00492753632034</v>
      </c>
      <c r="T158" s="35">
        <v>813</v>
      </c>
      <c r="U158" s="44">
        <f t="shared" si="21"/>
        <v>-77.995072463679662</v>
      </c>
      <c r="W158" s="44">
        <f t="shared" si="22"/>
        <v>244.88596592459169</v>
      </c>
      <c r="X158" s="3">
        <v>201.87308204679005</v>
      </c>
      <c r="Y158" s="10">
        <f t="shared" si="23"/>
        <v>1.2130689413451969</v>
      </c>
    </row>
    <row r="159" spans="1:25" x14ac:dyDescent="0.2">
      <c r="A159" s="42" t="str">
        <f t="shared" si="20"/>
        <v>LatAm HY40178</v>
      </c>
      <c r="B159" s="1">
        <v>40178</v>
      </c>
      <c r="C159" s="34">
        <v>48</v>
      </c>
      <c r="D159" s="34">
        <v>48</v>
      </c>
      <c r="E159" s="37">
        <v>48</v>
      </c>
      <c r="F159" s="37">
        <v>90444.980880081654</v>
      </c>
      <c r="G159" s="37">
        <v>23010.228530883789</v>
      </c>
      <c r="H159" s="37">
        <v>67434.752349197865</v>
      </c>
      <c r="I159" s="37">
        <v>13768.993638575077</v>
      </c>
      <c r="J159" s="37">
        <v>23106.466915130615</v>
      </c>
      <c r="K159" s="37">
        <v>4669.0839875340462</v>
      </c>
      <c r="L159" s="38">
        <v>2.9184363233411563</v>
      </c>
      <c r="M159" s="38">
        <v>3.914271325524731</v>
      </c>
      <c r="N159" s="38">
        <v>4.8693706465091395</v>
      </c>
      <c r="O159" s="39">
        <v>167.11626960461771</v>
      </c>
      <c r="P159" s="39">
        <v>25.44113372238132</v>
      </c>
      <c r="Q159" s="39">
        <v>15.223612747324234</v>
      </c>
      <c r="R159" s="44">
        <v>693.57716215491291</v>
      </c>
      <c r="T159" s="35">
        <v>774</v>
      </c>
      <c r="U159" s="44">
        <f t="shared" si="21"/>
        <v>-80.422837845087088</v>
      </c>
      <c r="W159" s="44">
        <f t="shared" si="22"/>
        <v>237.65369030250926</v>
      </c>
      <c r="X159" s="3">
        <v>170.33310948837416</v>
      </c>
      <c r="Y159" s="10">
        <f t="shared" si="23"/>
        <v>1.3952289781848313</v>
      </c>
    </row>
    <row r="160" spans="1:25" x14ac:dyDescent="0.2">
      <c r="A160" s="42" t="str">
        <f t="shared" si="20"/>
        <v>LatAm HY40268</v>
      </c>
      <c r="B160" s="1">
        <v>40268</v>
      </c>
      <c r="C160" s="34">
        <v>49</v>
      </c>
      <c r="D160" s="34">
        <v>48</v>
      </c>
      <c r="E160" s="37">
        <v>48</v>
      </c>
      <c r="F160" s="37">
        <v>94477.852571487427</v>
      </c>
      <c r="G160" s="37">
        <v>27305.077628612518</v>
      </c>
      <c r="H160" s="37">
        <v>67172.774942874908</v>
      </c>
      <c r="I160" s="37">
        <v>15386.808031320572</v>
      </c>
      <c r="J160" s="37">
        <v>25483.155303955078</v>
      </c>
      <c r="K160" s="37">
        <v>5145.5362133979797</v>
      </c>
      <c r="L160" s="38">
        <v>2.6359677261963492</v>
      </c>
      <c r="M160" s="38">
        <v>3.707462888507536</v>
      </c>
      <c r="N160" s="38">
        <v>4.9017819807040821</v>
      </c>
      <c r="O160" s="39">
        <v>176.74207395609801</v>
      </c>
      <c r="P160" s="39">
        <v>28.91432057769061</v>
      </c>
      <c r="Q160" s="39">
        <v>16.359613718730497</v>
      </c>
      <c r="R160" s="44">
        <v>581.71816075092568</v>
      </c>
      <c r="T160" s="35">
        <v>676</v>
      </c>
      <c r="U160" s="44">
        <f t="shared" si="21"/>
        <v>-94.281839249074324</v>
      </c>
      <c r="W160" s="44">
        <f t="shared" si="22"/>
        <v>220.68485701466983</v>
      </c>
      <c r="X160" s="3">
        <v>167.10344187185635</v>
      </c>
      <c r="Y160" s="10">
        <f t="shared" si="23"/>
        <v>1.3206481837992452</v>
      </c>
    </row>
    <row r="161" spans="1:25" x14ac:dyDescent="0.2">
      <c r="A161" s="42" t="str">
        <f t="shared" si="20"/>
        <v>LatAm HY40359</v>
      </c>
      <c r="B161" s="1">
        <v>40359</v>
      </c>
      <c r="C161" s="34">
        <v>49</v>
      </c>
      <c r="D161" s="34">
        <v>48</v>
      </c>
      <c r="E161" s="37">
        <v>48</v>
      </c>
      <c r="F161" s="37">
        <v>93997.686019897461</v>
      </c>
      <c r="G161" s="37">
        <v>26685.300213813782</v>
      </c>
      <c r="H161" s="37">
        <v>67312.385806083679</v>
      </c>
      <c r="I161" s="37">
        <v>15841.10949754715</v>
      </c>
      <c r="J161" s="37">
        <v>27781.878883361816</v>
      </c>
      <c r="K161" s="37">
        <v>5548.075630068779</v>
      </c>
      <c r="L161" s="38">
        <v>2.4228881742910535</v>
      </c>
      <c r="M161" s="38">
        <v>3.3834171696785913</v>
      </c>
      <c r="N161" s="38">
        <v>4.9556778815538216</v>
      </c>
      <c r="O161" s="39">
        <v>167.81519133424612</v>
      </c>
      <c r="P161" s="39">
        <v>28.410740290589604</v>
      </c>
      <c r="Q161" s="39">
        <v>16.929778564565392</v>
      </c>
      <c r="R161" s="44">
        <v>648.93795151801373</v>
      </c>
      <c r="T161" s="35">
        <v>764</v>
      </c>
      <c r="U161" s="44">
        <f t="shared" si="21"/>
        <v>-115.06204848198627</v>
      </c>
      <c r="W161" s="44">
        <f t="shared" si="22"/>
        <v>267.83652601214067</v>
      </c>
      <c r="X161" s="3">
        <v>212.91215473640585</v>
      </c>
      <c r="Y161" s="10">
        <f t="shared" si="23"/>
        <v>1.2579672886394555</v>
      </c>
    </row>
    <row r="162" spans="1:25" x14ac:dyDescent="0.2">
      <c r="A162" s="42" t="str">
        <f t="shared" si="20"/>
        <v>LatAm HY40451</v>
      </c>
      <c r="B162" s="1">
        <v>40451</v>
      </c>
      <c r="C162" s="34">
        <v>53</v>
      </c>
      <c r="D162" s="34">
        <v>52</v>
      </c>
      <c r="E162" s="37">
        <v>52</v>
      </c>
      <c r="F162" s="37">
        <v>118187.41080093384</v>
      </c>
      <c r="G162" s="37">
        <v>37506.739164829254</v>
      </c>
      <c r="H162" s="37">
        <v>80680.671636104584</v>
      </c>
      <c r="I162" s="37">
        <v>20220.245288491249</v>
      </c>
      <c r="J162" s="37">
        <v>34110.209590911865</v>
      </c>
      <c r="K162" s="37">
        <v>6974.3277144432068</v>
      </c>
      <c r="L162" s="38">
        <v>2.3652939282319947</v>
      </c>
      <c r="M162" s="38">
        <v>3.4648690881226081</v>
      </c>
      <c r="N162" s="38">
        <v>4.8543863553902868</v>
      </c>
      <c r="O162" s="39">
        <v>185.01437857319192</v>
      </c>
      <c r="P162" s="39">
        <v>31.769582029514819</v>
      </c>
      <c r="Q162" s="39">
        <v>17.171412446166574</v>
      </c>
      <c r="R162" s="44">
        <v>566.52310658842737</v>
      </c>
      <c r="T162" s="35">
        <v>689</v>
      </c>
      <c r="U162" s="44">
        <f t="shared" si="21"/>
        <v>-122.47689341157263</v>
      </c>
      <c r="W162" s="44">
        <f t="shared" si="22"/>
        <v>239.51488642762084</v>
      </c>
      <c r="X162" s="3">
        <v>192.37675753560131</v>
      </c>
      <c r="Y162" s="10">
        <f t="shared" si="23"/>
        <v>1.2450302702669065</v>
      </c>
    </row>
    <row r="163" spans="1:25" x14ac:dyDescent="0.2">
      <c r="A163" s="42" t="str">
        <f t="shared" si="20"/>
        <v>LatAm HY40543</v>
      </c>
      <c r="B163" s="1">
        <v>40543</v>
      </c>
      <c r="C163" s="34">
        <v>54</v>
      </c>
      <c r="D163" s="34">
        <v>54</v>
      </c>
      <c r="E163" s="37">
        <v>53</v>
      </c>
      <c r="F163" s="37">
        <v>122626.95128631592</v>
      </c>
      <c r="G163" s="37">
        <v>30261.664317131042</v>
      </c>
      <c r="H163" s="37">
        <v>92365.286969184875</v>
      </c>
      <c r="I163" s="37">
        <v>20491.007724404335</v>
      </c>
      <c r="J163" s="37">
        <v>33633.513553619385</v>
      </c>
      <c r="K163" s="37">
        <v>7255.3392355442047</v>
      </c>
      <c r="L163" s="38">
        <v>2.7462277118902203</v>
      </c>
      <c r="M163" s="38">
        <v>3.645975050772527</v>
      </c>
      <c r="N163" s="38">
        <v>4.6087129319656892</v>
      </c>
      <c r="O163" s="39">
        <v>147.68265535857503</v>
      </c>
      <c r="P163" s="39">
        <v>24.67782489876512</v>
      </c>
      <c r="Q163" s="39">
        <v>16.710036015297195</v>
      </c>
      <c r="R163" s="44">
        <v>526.59728954746333</v>
      </c>
      <c r="T163" s="35">
        <v>713</v>
      </c>
      <c r="U163" s="44">
        <f t="shared" si="21"/>
        <v>-186.40271045253667</v>
      </c>
      <c r="W163" s="44">
        <f t="shared" si="22"/>
        <v>191.75295889247582</v>
      </c>
      <c r="X163" s="3">
        <v>159.69982112585555</v>
      </c>
      <c r="Y163" s="10">
        <f t="shared" si="23"/>
        <v>1.2007086641716396</v>
      </c>
    </row>
    <row r="164" spans="1:25" x14ac:dyDescent="0.2">
      <c r="A164" s="42" t="str">
        <f t="shared" si="20"/>
        <v>LatAm HY40633</v>
      </c>
      <c r="B164" s="1">
        <v>40633</v>
      </c>
      <c r="C164" s="34">
        <v>54</v>
      </c>
      <c r="D164" s="34">
        <v>54</v>
      </c>
      <c r="E164" s="37">
        <v>55</v>
      </c>
      <c r="F164" s="37">
        <v>123540.63641738892</v>
      </c>
      <c r="G164" s="37">
        <v>26996.387733459473</v>
      </c>
      <c r="H164" s="37">
        <v>96544.248683929443</v>
      </c>
      <c r="I164" s="37">
        <v>20143.20206502825</v>
      </c>
      <c r="J164" s="37">
        <v>35192.614936828613</v>
      </c>
      <c r="K164" s="37">
        <v>7514.1283550262451</v>
      </c>
      <c r="L164" s="38">
        <v>2.7433098920676438</v>
      </c>
      <c r="M164" s="38">
        <v>3.5104136660247218</v>
      </c>
      <c r="N164" s="38">
        <v>4.6399937411197847</v>
      </c>
      <c r="O164" s="39">
        <v>134.02232498242881</v>
      </c>
      <c r="P164" s="39">
        <v>21.852233011209911</v>
      </c>
      <c r="Q164" s="39">
        <v>16.304920104971227</v>
      </c>
      <c r="R164" s="44">
        <v>448.50246762804989</v>
      </c>
      <c r="T164" s="35">
        <v>693</v>
      </c>
      <c r="U164" s="44">
        <f t="shared" si="21"/>
        <v>-244.49753237195011</v>
      </c>
      <c r="W164" s="44">
        <f t="shared" si="22"/>
        <v>163.48953828545115</v>
      </c>
      <c r="X164" s="3">
        <v>141.00420250114303</v>
      </c>
      <c r="Y164" s="10">
        <f t="shared" si="23"/>
        <v>1.1594657136841424</v>
      </c>
    </row>
    <row r="165" spans="1:25" x14ac:dyDescent="0.2">
      <c r="A165" s="42" t="str">
        <f t="shared" si="20"/>
        <v>LatAm HY40724</v>
      </c>
      <c r="B165" s="1">
        <v>40724</v>
      </c>
      <c r="C165" s="34">
        <v>55</v>
      </c>
      <c r="D165" s="34">
        <v>54</v>
      </c>
      <c r="E165" s="37">
        <v>54</v>
      </c>
      <c r="F165" s="37">
        <v>124858.78155517578</v>
      </c>
      <c r="G165" s="37">
        <v>31867.768768310547</v>
      </c>
      <c r="H165" s="37">
        <v>92991.012786865234</v>
      </c>
      <c r="I165" s="37">
        <v>20153.890216827393</v>
      </c>
      <c r="J165" s="37">
        <v>32670.401161193848</v>
      </c>
      <c r="K165" s="37">
        <v>7686.8112499713898</v>
      </c>
      <c r="L165" s="38">
        <v>2.8463382597615809</v>
      </c>
      <c r="M165" s="38">
        <v>3.8217706889832743</v>
      </c>
      <c r="N165" s="38">
        <v>4.2195420196940763</v>
      </c>
      <c r="O165" s="39">
        <v>157.37385400356715</v>
      </c>
      <c r="P165" s="39">
        <v>25.468554290882643</v>
      </c>
      <c r="Q165" s="39">
        <v>16.183472440285641</v>
      </c>
      <c r="R165" s="44">
        <v>543.03912357550337</v>
      </c>
      <c r="T165" s="35">
        <v>732</v>
      </c>
      <c r="U165" s="44">
        <f t="shared" si="21"/>
        <v>-188.96087642449663</v>
      </c>
      <c r="W165" s="44">
        <f t="shared" si="22"/>
        <v>190.78516817638891</v>
      </c>
      <c r="X165" s="3">
        <v>156.55976600385611</v>
      </c>
      <c r="Y165" s="10">
        <f t="shared" si="23"/>
        <v>1.2186091806734676</v>
      </c>
    </row>
    <row r="166" spans="1:25" x14ac:dyDescent="0.2">
      <c r="A166" s="42" t="str">
        <f t="shared" si="20"/>
        <v>LatAm HY40816</v>
      </c>
      <c r="B166" s="1">
        <v>40816</v>
      </c>
      <c r="C166" s="34">
        <v>56</v>
      </c>
      <c r="D166" s="34">
        <v>55</v>
      </c>
      <c r="E166" s="37">
        <v>55</v>
      </c>
      <c r="F166" s="37">
        <v>119637.81114196777</v>
      </c>
      <c r="G166" s="37">
        <v>28407.264148712158</v>
      </c>
      <c r="H166" s="37">
        <v>91230.546993255615</v>
      </c>
      <c r="I166" s="37">
        <v>19156.039330005646</v>
      </c>
      <c r="J166" s="37">
        <v>33872.820011138916</v>
      </c>
      <c r="K166" s="37">
        <v>8066.0882248878479</v>
      </c>
      <c r="L166" s="38">
        <v>2.6933260048397174</v>
      </c>
      <c r="M166" s="38">
        <v>3.5319707984934663</v>
      </c>
      <c r="N166" s="38">
        <v>4.1596713160365049</v>
      </c>
      <c r="O166" s="39">
        <v>147.74819921866666</v>
      </c>
      <c r="P166" s="39">
        <v>23.721428470934356</v>
      </c>
      <c r="Q166" s="39">
        <v>16.055308014838644</v>
      </c>
      <c r="R166" s="44">
        <v>944.39173386396874</v>
      </c>
      <c r="T166" s="35">
        <v>1122</v>
      </c>
      <c r="U166" s="44">
        <f t="shared" si="21"/>
        <v>-177.60826613603126</v>
      </c>
      <c r="W166" s="44">
        <f t="shared" si="22"/>
        <v>350.64144933326423</v>
      </c>
      <c r="X166" s="3">
        <v>248.56385952467795</v>
      </c>
      <c r="Y166" s="10">
        <f t="shared" si="23"/>
        <v>1.4106694754570779</v>
      </c>
    </row>
    <row r="167" spans="1:25" x14ac:dyDescent="0.2">
      <c r="A167" s="42" t="str">
        <f t="shared" si="20"/>
        <v>LatAm HY40908</v>
      </c>
      <c r="B167" s="1">
        <v>40908</v>
      </c>
      <c r="C167" s="34">
        <v>47</v>
      </c>
      <c r="D167" s="34">
        <v>47</v>
      </c>
      <c r="E167" s="37">
        <v>47</v>
      </c>
      <c r="F167" s="37">
        <v>111111.75735473633</v>
      </c>
      <c r="G167" s="37">
        <v>26494.841153144836</v>
      </c>
      <c r="H167" s="37">
        <v>84616.916201591492</v>
      </c>
      <c r="I167" s="37">
        <v>21392.108980894089</v>
      </c>
      <c r="J167" s="37">
        <v>31518.938289642334</v>
      </c>
      <c r="K167" s="37">
        <v>9089.3536987304687</v>
      </c>
      <c r="L167" s="38">
        <v>2.6846372623343746</v>
      </c>
      <c r="M167" s="38">
        <v>3.5252379484891967</v>
      </c>
      <c r="N167" s="38">
        <v>3.4676765075216136</v>
      </c>
      <c r="O167" s="39">
        <v>123.85333852220062</v>
      </c>
      <c r="P167" s="39">
        <v>23.845218349447201</v>
      </c>
      <c r="Q167" s="39">
        <v>19.252786104892088</v>
      </c>
      <c r="R167" s="44">
        <v>859.68205496049256</v>
      </c>
      <c r="T167" s="35">
        <v>1019</v>
      </c>
      <c r="U167" s="44">
        <f t="shared" si="21"/>
        <v>-159.31794503950744</v>
      </c>
      <c r="W167" s="44">
        <f t="shared" si="22"/>
        <v>320.22279770227601</v>
      </c>
      <c r="X167" s="3">
        <v>217.01297040439434</v>
      </c>
      <c r="Y167" s="10">
        <f t="shared" si="23"/>
        <v>1.4755928970768641</v>
      </c>
    </row>
    <row r="168" spans="1:25" x14ac:dyDescent="0.2">
      <c r="A168" s="42" t="str">
        <f t="shared" si="20"/>
        <v>LatAm HY40999</v>
      </c>
      <c r="B168" s="1">
        <v>40999</v>
      </c>
      <c r="C168" s="34">
        <v>45</v>
      </c>
      <c r="D168" s="34">
        <v>44</v>
      </c>
      <c r="E168" s="37">
        <v>43</v>
      </c>
      <c r="F168" s="37">
        <v>102949.2110748291</v>
      </c>
      <c r="G168" s="37">
        <v>21144.479801654816</v>
      </c>
      <c r="H168" s="37">
        <v>81804.731273174286</v>
      </c>
      <c r="I168" s="37">
        <v>18418.864486694336</v>
      </c>
      <c r="J168" s="37">
        <v>28372.200471878052</v>
      </c>
      <c r="K168" s="37">
        <v>8452.3590211868286</v>
      </c>
      <c r="L168" s="38">
        <v>2.883270592785268</v>
      </c>
      <c r="M168" s="38">
        <v>3.628524025722653</v>
      </c>
      <c r="N168" s="38">
        <v>3.3105821723374742</v>
      </c>
      <c r="O168" s="39">
        <v>114.37650142858699</v>
      </c>
      <c r="P168" s="39">
        <v>20.528150796104459</v>
      </c>
      <c r="Q168" s="39">
        <v>17.947874379530287</v>
      </c>
      <c r="R168" s="44">
        <v>677.77041813462802</v>
      </c>
      <c r="T168" s="35">
        <v>792</v>
      </c>
      <c r="U168" s="44">
        <f t="shared" si="21"/>
        <v>-114.22958186537198</v>
      </c>
      <c r="W168" s="44">
        <f t="shared" si="22"/>
        <v>235.06999996136162</v>
      </c>
      <c r="X168" s="3">
        <v>171.6946323292874</v>
      </c>
      <c r="Y168" s="10">
        <f t="shared" si="23"/>
        <v>1.3691167672063778</v>
      </c>
    </row>
    <row r="169" spans="1:25" x14ac:dyDescent="0.2">
      <c r="A169" s="42" t="str">
        <f t="shared" si="20"/>
        <v>LatAm HY41090</v>
      </c>
      <c r="B169" s="1">
        <v>41090</v>
      </c>
      <c r="C169" s="34">
        <v>44</v>
      </c>
      <c r="D169" s="34">
        <v>42</v>
      </c>
      <c r="E169" s="37">
        <v>38</v>
      </c>
      <c r="F169" s="37">
        <v>92526.335983276367</v>
      </c>
      <c r="G169" s="37">
        <v>18047.725224494934</v>
      </c>
      <c r="H169" s="37">
        <v>74478.610758781433</v>
      </c>
      <c r="I169" s="37">
        <v>14841.113869428635</v>
      </c>
      <c r="J169" s="37">
        <v>25899.605737686157</v>
      </c>
      <c r="K169" s="37">
        <v>8738.1040630340576</v>
      </c>
      <c r="L169" s="38">
        <v>2.8756658117929819</v>
      </c>
      <c r="M169" s="38">
        <v>3.572499787077553</v>
      </c>
      <c r="N169" s="38">
        <v>2.7810673364972356</v>
      </c>
      <c r="O169" s="39">
        <v>120.89145992551103</v>
      </c>
      <c r="P169" s="39">
        <v>19.502700307025659</v>
      </c>
      <c r="Q169" s="39">
        <v>16.132405315514031</v>
      </c>
      <c r="R169" s="84">
        <v>886.39256389675563</v>
      </c>
      <c r="T169" s="35">
        <v>996</v>
      </c>
      <c r="U169" s="44">
        <f t="shared" si="21"/>
        <v>-109.60743610324437</v>
      </c>
      <c r="W169" s="44">
        <f t="shared" si="22"/>
        <v>308.23907293458711</v>
      </c>
      <c r="X169" s="3">
        <v>181.40182273444293</v>
      </c>
      <c r="Y169" s="10">
        <f t="shared" si="23"/>
        <v>1.6992060404256428</v>
      </c>
    </row>
    <row r="171" spans="1:25" x14ac:dyDescent="0.2">
      <c r="A171" s="12" t="s">
        <v>306</v>
      </c>
      <c r="B171" s="40" t="s">
        <v>0</v>
      </c>
      <c r="C171" s="41" t="s">
        <v>180</v>
      </c>
      <c r="D171" s="41" t="s">
        <v>178</v>
      </c>
      <c r="E171" s="41" t="s">
        <v>179</v>
      </c>
      <c r="F171" s="41" t="s">
        <v>2</v>
      </c>
      <c r="G171" s="41" t="s">
        <v>31</v>
      </c>
      <c r="H171" s="41" t="s">
        <v>41</v>
      </c>
      <c r="I171" s="41" t="s">
        <v>20</v>
      </c>
      <c r="J171" s="41" t="s">
        <v>3</v>
      </c>
      <c r="K171" s="41" t="s">
        <v>24</v>
      </c>
      <c r="L171" s="41" t="s">
        <v>5</v>
      </c>
      <c r="M171" s="41" t="s">
        <v>43</v>
      </c>
      <c r="N171" s="41" t="s">
        <v>6</v>
      </c>
      <c r="O171" s="41" t="s">
        <v>176</v>
      </c>
      <c r="P171" s="41" t="s">
        <v>21</v>
      </c>
      <c r="Q171" s="41" t="s">
        <v>177</v>
      </c>
      <c r="R171" s="83" t="s">
        <v>7</v>
      </c>
      <c r="T171" s="43" t="s">
        <v>324</v>
      </c>
      <c r="U171" s="43" t="s">
        <v>325</v>
      </c>
      <c r="W171" s="35" t="str">
        <f>A171&amp;" spread per turn of leverage"</f>
        <v>EMEA spread per turn of leverage</v>
      </c>
      <c r="X171" s="3" t="s">
        <v>25</v>
      </c>
      <c r="Y171" t="str">
        <f>A171&amp;" vs. US spread per turn of leverage ratio"</f>
        <v>EMEA vs. US spread per turn of leverage ratio</v>
      </c>
    </row>
    <row r="172" spans="1:25" x14ac:dyDescent="0.2">
      <c r="A172" s="42" t="str">
        <f>$A$171&amp;$B172</f>
        <v>EMEA38807</v>
      </c>
      <c r="B172" s="1">
        <v>38807</v>
      </c>
      <c r="C172" s="34">
        <v>17</v>
      </c>
      <c r="D172" s="34">
        <v>17</v>
      </c>
      <c r="E172" s="37">
        <v>16</v>
      </c>
      <c r="F172" s="37">
        <v>62139.383583068848</v>
      </c>
      <c r="G172" s="37">
        <v>15659.694316148758</v>
      </c>
      <c r="H172" s="37">
        <v>46479.68926692009</v>
      </c>
      <c r="I172" s="37">
        <v>16156.943518638611</v>
      </c>
      <c r="J172" s="37">
        <v>67608.119674682617</v>
      </c>
      <c r="K172" s="37">
        <v>3548.8505189418793</v>
      </c>
      <c r="L172" s="38">
        <v>0.6874867913879501</v>
      </c>
      <c r="M172" s="38">
        <v>0.91911125293931728</v>
      </c>
      <c r="N172" s="38">
        <v>18.759160566352872</v>
      </c>
      <c r="O172" s="39">
        <v>96.92238075898311</v>
      </c>
      <c r="P172" s="39">
        <v>25.200916734577273</v>
      </c>
      <c r="Q172" s="39">
        <v>26.001132594178006</v>
      </c>
      <c r="R172" s="44">
        <v>161.25281876919939</v>
      </c>
      <c r="T172" s="35">
        <v>172</v>
      </c>
      <c r="U172" s="44">
        <f>R172-T172</f>
        <v>-10.747181230800606</v>
      </c>
      <c r="W172" s="44">
        <f>R172/L172</f>
        <v>234.55406094952031</v>
      </c>
      <c r="X172" s="3">
        <v>74.649498492262481</v>
      </c>
      <c r="Y172" s="10">
        <f>W172/X172</f>
        <v>3.1420714899220945</v>
      </c>
    </row>
    <row r="173" spans="1:25" x14ac:dyDescent="0.2">
      <c r="A173" s="42" t="str">
        <f t="shared" ref="A173:A197" si="24">$A$171&amp;$B173</f>
        <v>EMEA38898</v>
      </c>
      <c r="B173" s="1">
        <v>38898</v>
      </c>
      <c r="C173" s="34">
        <v>17</v>
      </c>
      <c r="D173" s="34">
        <v>17</v>
      </c>
      <c r="E173" s="37">
        <v>16</v>
      </c>
      <c r="F173" s="37">
        <v>64250.928993225098</v>
      </c>
      <c r="G173" s="37">
        <v>16343.953547716141</v>
      </c>
      <c r="H173" s="37">
        <v>47906.975445508957</v>
      </c>
      <c r="I173" s="37">
        <v>18341.177117347717</v>
      </c>
      <c r="J173" s="37">
        <v>72794.781661987305</v>
      </c>
      <c r="K173" s="37">
        <v>3739.7535645961761</v>
      </c>
      <c r="L173" s="38">
        <v>0.65811002316015588</v>
      </c>
      <c r="M173" s="38">
        <v>0.8826309733514357</v>
      </c>
      <c r="N173" s="38">
        <v>19.18846187552705</v>
      </c>
      <c r="O173" s="39">
        <v>89.110712159567257</v>
      </c>
      <c r="P173" s="39">
        <v>25.437692191874017</v>
      </c>
      <c r="Q173" s="39">
        <v>28.54616642084925</v>
      </c>
      <c r="R173" s="44">
        <v>207.24726489034151</v>
      </c>
      <c r="T173" s="35">
        <v>215</v>
      </c>
      <c r="U173" s="44">
        <f t="shared" ref="U173:U197" si="25">R173-T173</f>
        <v>-7.752735109658488</v>
      </c>
      <c r="W173" s="44">
        <f t="shared" ref="W173:W197" si="26">R173/L173</f>
        <v>314.91279208173734</v>
      </c>
      <c r="X173" s="3">
        <v>79.101138779969233</v>
      </c>
      <c r="Y173" s="10">
        <f t="shared" ref="Y173:Y197" si="27">W173/X173</f>
        <v>3.9811410674846397</v>
      </c>
    </row>
    <row r="174" spans="1:25" x14ac:dyDescent="0.2">
      <c r="A174" s="42" t="str">
        <f t="shared" si="24"/>
        <v>EMEA38990</v>
      </c>
      <c r="B174" s="1">
        <v>38990</v>
      </c>
      <c r="C174" s="34">
        <v>17</v>
      </c>
      <c r="D174" s="34">
        <v>17</v>
      </c>
      <c r="E174" s="37">
        <v>16</v>
      </c>
      <c r="F174" s="37">
        <v>71066.739067077637</v>
      </c>
      <c r="G174" s="37">
        <v>15280.267338991165</v>
      </c>
      <c r="H174" s="37">
        <v>55786.471728086472</v>
      </c>
      <c r="I174" s="37">
        <v>22626.896462440491</v>
      </c>
      <c r="J174" s="37">
        <v>77737.546432495117</v>
      </c>
      <c r="K174" s="37">
        <v>4036.9497783184052</v>
      </c>
      <c r="L174" s="38">
        <v>0.71762583575402294</v>
      </c>
      <c r="M174" s="38">
        <v>0.91418808964841458</v>
      </c>
      <c r="N174" s="38">
        <v>19.000207503343919</v>
      </c>
      <c r="O174" s="39">
        <v>67.5314326220374</v>
      </c>
      <c r="P174" s="39">
        <v>21.501292362055064</v>
      </c>
      <c r="Q174" s="39">
        <v>31.838940071646853</v>
      </c>
      <c r="R174" s="44">
        <v>185.00990591661298</v>
      </c>
      <c r="T174" s="35">
        <v>206</v>
      </c>
      <c r="U174" s="44">
        <f t="shared" si="25"/>
        <v>-20.990094083387021</v>
      </c>
      <c r="W174" s="44">
        <f t="shared" si="26"/>
        <v>257.80831277098542</v>
      </c>
      <c r="X174" s="3">
        <v>82.426664650883126</v>
      </c>
      <c r="Y174" s="10">
        <f t="shared" si="27"/>
        <v>3.1277295261542921</v>
      </c>
    </row>
    <row r="175" spans="1:25" x14ac:dyDescent="0.2">
      <c r="A175" s="42" t="str">
        <f t="shared" si="24"/>
        <v>EMEA39082</v>
      </c>
      <c r="B175" s="1">
        <v>39082</v>
      </c>
      <c r="C175" s="34">
        <v>18</v>
      </c>
      <c r="D175" s="34">
        <v>18</v>
      </c>
      <c r="E175" s="37">
        <v>17</v>
      </c>
      <c r="F175" s="37">
        <v>80768.85555267334</v>
      </c>
      <c r="G175" s="37">
        <v>20265.908960580826</v>
      </c>
      <c r="H175" s="37">
        <v>60502.946592092514</v>
      </c>
      <c r="I175" s="37">
        <v>26855.913750648499</v>
      </c>
      <c r="J175" s="37">
        <v>85616.358932495117</v>
      </c>
      <c r="K175" s="37">
        <v>3852.4503514766693</v>
      </c>
      <c r="L175" s="38">
        <v>0.70667507175581401</v>
      </c>
      <c r="M175" s="38">
        <v>0.94338110800012143</v>
      </c>
      <c r="N175" s="38">
        <v>21.955298122455286</v>
      </c>
      <c r="O175" s="39">
        <v>75.4616251330918</v>
      </c>
      <c r="P175" s="39">
        <v>25.091241942092928</v>
      </c>
      <c r="Q175" s="39">
        <v>33.250333395072609</v>
      </c>
      <c r="R175" s="44">
        <v>147.57598701148677</v>
      </c>
      <c r="T175" s="35">
        <v>181</v>
      </c>
      <c r="U175" s="44">
        <f t="shared" si="25"/>
        <v>-33.424012988513226</v>
      </c>
      <c r="W175" s="44">
        <f t="shared" si="26"/>
        <v>208.83146004403065</v>
      </c>
      <c r="X175" s="3">
        <v>72.305867651615713</v>
      </c>
      <c r="Y175" s="10">
        <f t="shared" si="27"/>
        <v>2.8881675419514061</v>
      </c>
    </row>
    <row r="176" spans="1:25" x14ac:dyDescent="0.2">
      <c r="A176" s="42" t="str">
        <f t="shared" si="24"/>
        <v>EMEA39172</v>
      </c>
      <c r="B176" s="1">
        <v>39172</v>
      </c>
      <c r="C176" s="34">
        <v>23</v>
      </c>
      <c r="D176" s="34">
        <v>23</v>
      </c>
      <c r="E176" s="37">
        <v>21</v>
      </c>
      <c r="F176" s="37">
        <v>113227.70725437999</v>
      </c>
      <c r="G176" s="37">
        <v>44112.269641399384</v>
      </c>
      <c r="H176" s="37">
        <v>69115.437612980604</v>
      </c>
      <c r="I176" s="37">
        <v>43523.904117584229</v>
      </c>
      <c r="J176" s="37">
        <v>102302.3685874939</v>
      </c>
      <c r="K176" s="37">
        <v>5162.5076642036438</v>
      </c>
      <c r="L176" s="38">
        <v>0.67559958354111582</v>
      </c>
      <c r="M176" s="38">
        <v>1.1067945817651546</v>
      </c>
      <c r="N176" s="38">
        <v>18.427253104919807</v>
      </c>
      <c r="O176" s="39">
        <v>101.3518215696497</v>
      </c>
      <c r="P176" s="39">
        <v>38.958900353158029</v>
      </c>
      <c r="Q176" s="39">
        <v>38.43927000994767</v>
      </c>
      <c r="R176" s="44">
        <v>154.51113077939701</v>
      </c>
      <c r="T176" s="35">
        <v>201</v>
      </c>
      <c r="U176" s="44">
        <f t="shared" si="25"/>
        <v>-46.488869220602993</v>
      </c>
      <c r="W176" s="44">
        <f t="shared" si="26"/>
        <v>228.7022291658854</v>
      </c>
      <c r="X176" s="3">
        <v>70.667489236998037</v>
      </c>
      <c r="Y176" s="10">
        <f t="shared" si="27"/>
        <v>3.2363146283418276</v>
      </c>
    </row>
    <row r="177" spans="1:25" x14ac:dyDescent="0.2">
      <c r="A177" s="42" t="str">
        <f t="shared" si="24"/>
        <v>EMEA39263</v>
      </c>
      <c r="B177" s="1">
        <v>39263</v>
      </c>
      <c r="C177" s="34">
        <v>23</v>
      </c>
      <c r="D177" s="34">
        <v>23</v>
      </c>
      <c r="E177" s="37">
        <v>21</v>
      </c>
      <c r="F177" s="37">
        <v>124204.76856689155</v>
      </c>
      <c r="G177" s="37">
        <v>48366.978285312653</v>
      </c>
      <c r="H177" s="37">
        <v>75837.790281578898</v>
      </c>
      <c r="I177" s="37">
        <v>46610.233282089233</v>
      </c>
      <c r="J177" s="37">
        <v>102604.46599960327</v>
      </c>
      <c r="K177" s="37">
        <v>5997.2354741096497</v>
      </c>
      <c r="L177" s="38">
        <v>0.73912757639489235</v>
      </c>
      <c r="M177" s="38">
        <v>1.2105201012144227</v>
      </c>
      <c r="N177" s="38">
        <v>15.91282070021542</v>
      </c>
      <c r="O177" s="39">
        <v>103.76901139411048</v>
      </c>
      <c r="P177" s="39">
        <v>38.941321531680323</v>
      </c>
      <c r="Q177" s="39">
        <v>37.526927363490792</v>
      </c>
      <c r="R177" s="44">
        <v>150.11086727777311</v>
      </c>
      <c r="T177" s="35">
        <v>202</v>
      </c>
      <c r="U177" s="44">
        <f t="shared" si="25"/>
        <v>-51.88913272222689</v>
      </c>
      <c r="W177" s="44">
        <f t="shared" si="26"/>
        <v>203.09195877921573</v>
      </c>
      <c r="X177" s="3">
        <v>73.413395096249914</v>
      </c>
      <c r="Y177" s="10">
        <f t="shared" si="27"/>
        <v>2.7664155637121599</v>
      </c>
    </row>
    <row r="178" spans="1:25" x14ac:dyDescent="0.2">
      <c r="A178" s="42" t="str">
        <f t="shared" si="24"/>
        <v>EMEA39355</v>
      </c>
      <c r="B178" s="1">
        <v>39355</v>
      </c>
      <c r="C178" s="34">
        <v>23</v>
      </c>
      <c r="D178" s="34">
        <v>23</v>
      </c>
      <c r="E178" s="37">
        <v>21</v>
      </c>
      <c r="F178" s="37">
        <v>132330.09042358398</v>
      </c>
      <c r="G178" s="37">
        <v>48725.694055318832</v>
      </c>
      <c r="H178" s="37">
        <v>83604.396368265152</v>
      </c>
      <c r="I178" s="37">
        <v>43804.561613082886</v>
      </c>
      <c r="J178" s="37">
        <v>102733.96528244019</v>
      </c>
      <c r="K178" s="37">
        <v>6256.2652611732483</v>
      </c>
      <c r="L178" s="38">
        <v>0.81379508849304816</v>
      </c>
      <c r="M178" s="38">
        <v>1.2880851046659885</v>
      </c>
      <c r="N178" s="38">
        <v>15.27467715801331</v>
      </c>
      <c r="O178" s="39">
        <v>111.23429218560237</v>
      </c>
      <c r="P178" s="39">
        <v>36.821326048633075</v>
      </c>
      <c r="Q178" s="39">
        <v>33.102495035608314</v>
      </c>
      <c r="R178" s="44">
        <v>234.26039412220592</v>
      </c>
      <c r="T178" s="35">
        <v>328</v>
      </c>
      <c r="U178" s="44">
        <f t="shared" si="25"/>
        <v>-93.739605877794077</v>
      </c>
      <c r="W178" s="44">
        <f t="shared" si="26"/>
        <v>287.86164654298858</v>
      </c>
      <c r="X178" s="3">
        <v>105.71931483046447</v>
      </c>
      <c r="Y178" s="10">
        <f t="shared" si="27"/>
        <v>2.7228860403098007</v>
      </c>
    </row>
    <row r="179" spans="1:25" x14ac:dyDescent="0.2">
      <c r="A179" s="42" t="str">
        <f t="shared" si="24"/>
        <v>EMEA39447</v>
      </c>
      <c r="B179" s="1">
        <v>39447</v>
      </c>
      <c r="C179" s="34">
        <v>24</v>
      </c>
      <c r="D179" s="34">
        <v>24</v>
      </c>
      <c r="E179" s="37">
        <v>21</v>
      </c>
      <c r="F179" s="37">
        <v>147794.11126708984</v>
      </c>
      <c r="G179" s="37">
        <v>31918.112429141998</v>
      </c>
      <c r="H179" s="37">
        <v>115875.99883794785</v>
      </c>
      <c r="I179" s="37">
        <v>50618.726030349731</v>
      </c>
      <c r="J179" s="37">
        <v>108189.92530441284</v>
      </c>
      <c r="K179" s="37">
        <v>6990.4054856300354</v>
      </c>
      <c r="L179" s="38">
        <v>1.0710424146417403</v>
      </c>
      <c r="M179" s="38">
        <v>1.3660616813556634</v>
      </c>
      <c r="N179" s="38">
        <v>14.421782156409218</v>
      </c>
      <c r="O179" s="39">
        <v>63.055937855892871</v>
      </c>
      <c r="P179" s="39">
        <v>21.596335710196449</v>
      </c>
      <c r="Q179" s="39">
        <v>34.249487747771511</v>
      </c>
      <c r="R179" s="44">
        <v>323.8561381131081</v>
      </c>
      <c r="T179" s="35">
        <v>422</v>
      </c>
      <c r="U179" s="44">
        <f t="shared" si="25"/>
        <v>-98.143861886891898</v>
      </c>
      <c r="W179" s="44">
        <f t="shared" si="26"/>
        <v>302.37470868176285</v>
      </c>
      <c r="X179" s="3">
        <v>141.64643191733737</v>
      </c>
      <c r="Y179" s="10">
        <f t="shared" si="27"/>
        <v>2.1347146171548039</v>
      </c>
    </row>
    <row r="180" spans="1:25" x14ac:dyDescent="0.2">
      <c r="A180" s="42" t="str">
        <f t="shared" si="24"/>
        <v>EMEA39538</v>
      </c>
      <c r="B180" s="1">
        <v>39538</v>
      </c>
      <c r="C180" s="34">
        <v>26</v>
      </c>
      <c r="D180" s="34">
        <v>26</v>
      </c>
      <c r="E180" s="37">
        <v>24</v>
      </c>
      <c r="F180" s="37">
        <v>173592.72900390625</v>
      </c>
      <c r="G180" s="37">
        <v>39867.846147537231</v>
      </c>
      <c r="H180" s="37">
        <v>133724.88285636902</v>
      </c>
      <c r="I180" s="37">
        <v>56636.578689575195</v>
      </c>
      <c r="J180" s="37">
        <v>122998.43797302246</v>
      </c>
      <c r="K180" s="37">
        <v>9062.1372327804565</v>
      </c>
      <c r="L180" s="38">
        <v>1.0872079764598248</v>
      </c>
      <c r="M180" s="38">
        <v>1.4113409232236003</v>
      </c>
      <c r="N180" s="38">
        <v>13.370483790847118</v>
      </c>
      <c r="O180" s="39">
        <v>70.392398463990375</v>
      </c>
      <c r="P180" s="39">
        <v>22.966311075529038</v>
      </c>
      <c r="Q180" s="39">
        <v>32.626123809771286</v>
      </c>
      <c r="R180" s="44">
        <v>440.2450392518553</v>
      </c>
      <c r="T180" s="35">
        <v>541</v>
      </c>
      <c r="U180" s="44">
        <f t="shared" si="25"/>
        <v>-100.7549607481447</v>
      </c>
      <c r="W180" s="44">
        <f t="shared" si="26"/>
        <v>404.93175986933494</v>
      </c>
      <c r="X180" s="3">
        <v>190.18118089299128</v>
      </c>
      <c r="Y180" s="10">
        <f t="shared" si="27"/>
        <v>2.1291894285648421</v>
      </c>
    </row>
    <row r="181" spans="1:25" x14ac:dyDescent="0.2">
      <c r="A181" s="42" t="str">
        <f t="shared" si="24"/>
        <v>EMEA39629</v>
      </c>
      <c r="B181" s="1">
        <v>39629</v>
      </c>
      <c r="C181" s="34">
        <v>27</v>
      </c>
      <c r="D181" s="34">
        <v>27</v>
      </c>
      <c r="E181" s="37">
        <v>25</v>
      </c>
      <c r="F181" s="37">
        <v>165896.39041137695</v>
      </c>
      <c r="G181" s="37">
        <v>43403.622489929199</v>
      </c>
      <c r="H181" s="37">
        <v>122492.76792144775</v>
      </c>
      <c r="I181" s="37">
        <v>48256.537178039551</v>
      </c>
      <c r="J181" s="37">
        <v>136647.89567565918</v>
      </c>
      <c r="K181" s="37">
        <v>9048.9845533370972</v>
      </c>
      <c r="L181" s="38">
        <v>0.89641166675695216</v>
      </c>
      <c r="M181" s="38">
        <v>1.21404277461499</v>
      </c>
      <c r="N181" s="38">
        <v>14.898314378737981</v>
      </c>
      <c r="O181" s="39">
        <v>89.943508233494214</v>
      </c>
      <c r="P181" s="39">
        <v>26.163090337469235</v>
      </c>
      <c r="Q181" s="39">
        <v>29.088358739076085</v>
      </c>
      <c r="R181" s="44">
        <v>392.67829095762778</v>
      </c>
      <c r="T181" s="35">
        <v>459</v>
      </c>
      <c r="U181" s="44">
        <f t="shared" si="25"/>
        <v>-66.32170904237222</v>
      </c>
      <c r="W181" s="44">
        <f t="shared" si="26"/>
        <v>438.0557566572773</v>
      </c>
      <c r="X181" s="3">
        <v>173.16421780962932</v>
      </c>
      <c r="Y181" s="10">
        <f t="shared" si="27"/>
        <v>2.5297129060396326</v>
      </c>
    </row>
    <row r="182" spans="1:25" x14ac:dyDescent="0.2">
      <c r="A182" s="42" t="str">
        <f t="shared" si="24"/>
        <v>EMEA39721</v>
      </c>
      <c r="B182" s="1">
        <v>39721</v>
      </c>
      <c r="C182" s="34">
        <v>27</v>
      </c>
      <c r="D182" s="34">
        <v>27</v>
      </c>
      <c r="E182" s="37">
        <v>25</v>
      </c>
      <c r="F182" s="37">
        <v>167532.67883300781</v>
      </c>
      <c r="G182" s="37">
        <v>41091.338027000427</v>
      </c>
      <c r="H182" s="37">
        <v>126441.34080600739</v>
      </c>
      <c r="I182" s="37">
        <v>47915.265018463135</v>
      </c>
      <c r="J182" s="37">
        <v>149036.06782531738</v>
      </c>
      <c r="K182" s="37">
        <v>9080.00803565979</v>
      </c>
      <c r="L182" s="38">
        <v>0.84839423537533953</v>
      </c>
      <c r="M182" s="38">
        <v>1.1241082865214211</v>
      </c>
      <c r="N182" s="38">
        <v>16.21174653761436</v>
      </c>
      <c r="O182" s="39">
        <v>85.758344467398331</v>
      </c>
      <c r="P182" s="39">
        <v>24.527356879405719</v>
      </c>
      <c r="Q182" s="39">
        <v>28.600548473425778</v>
      </c>
      <c r="R182" s="44">
        <v>850.24991433860691</v>
      </c>
      <c r="T182" s="35">
        <v>957</v>
      </c>
      <c r="U182" s="44">
        <f t="shared" si="25"/>
        <v>-106.75008566139309</v>
      </c>
      <c r="W182" s="44">
        <f t="shared" si="26"/>
        <v>1002.1872837955416</v>
      </c>
      <c r="X182" s="3">
        <v>268.56652368612174</v>
      </c>
      <c r="Y182" s="10">
        <f t="shared" si="27"/>
        <v>3.7316165471420217</v>
      </c>
    </row>
    <row r="183" spans="1:25" x14ac:dyDescent="0.2">
      <c r="A183" s="42" t="str">
        <f t="shared" si="24"/>
        <v>EMEA39813</v>
      </c>
      <c r="B183" s="1">
        <v>39813</v>
      </c>
      <c r="C183" s="34">
        <v>29</v>
      </c>
      <c r="D183" s="34">
        <v>29</v>
      </c>
      <c r="E183" s="37">
        <v>25</v>
      </c>
      <c r="F183" s="37">
        <v>173311.57465934753</v>
      </c>
      <c r="G183" s="37">
        <v>42339.290883898735</v>
      </c>
      <c r="H183" s="37">
        <v>130972.2837754488</v>
      </c>
      <c r="I183" s="37">
        <v>53981.106104850769</v>
      </c>
      <c r="J183" s="37">
        <v>149745.50061035156</v>
      </c>
      <c r="K183" s="37">
        <v>9464.9664554595947</v>
      </c>
      <c r="L183" s="38">
        <v>0.87463251477750903</v>
      </c>
      <c r="M183" s="38">
        <v>1.1573741711967465</v>
      </c>
      <c r="N183" s="38">
        <v>15.53148617837595</v>
      </c>
      <c r="O183" s="39">
        <v>78.433537100296846</v>
      </c>
      <c r="P183" s="39">
        <v>24.429580636560893</v>
      </c>
      <c r="Q183" s="39">
        <v>31.146855719794424</v>
      </c>
      <c r="R183" s="84">
        <v>1553.6569348718774</v>
      </c>
      <c r="T183" s="35">
        <v>1861</v>
      </c>
      <c r="U183" s="44">
        <f t="shared" si="25"/>
        <v>-307.34306512812259</v>
      </c>
      <c r="W183" s="44">
        <f t="shared" si="26"/>
        <v>1776.3539642327385</v>
      </c>
      <c r="X183" s="3">
        <v>375.24267309373568</v>
      </c>
      <c r="Y183" s="10">
        <f t="shared" si="27"/>
        <v>4.7338804768321348</v>
      </c>
    </row>
    <row r="184" spans="1:25" x14ac:dyDescent="0.2">
      <c r="A184" s="42" t="str">
        <f t="shared" si="24"/>
        <v>EMEA39903</v>
      </c>
      <c r="B184" s="1">
        <v>39903</v>
      </c>
      <c r="C184" s="34">
        <v>30</v>
      </c>
      <c r="D184" s="34">
        <v>30</v>
      </c>
      <c r="E184" s="37">
        <v>28</v>
      </c>
      <c r="F184" s="37">
        <v>177178.1677904129</v>
      </c>
      <c r="G184" s="37">
        <v>40670.016904950142</v>
      </c>
      <c r="H184" s="37">
        <v>136508.15088546276</v>
      </c>
      <c r="I184" s="37">
        <v>55534.441028594971</v>
      </c>
      <c r="J184" s="37">
        <v>127051.02578544617</v>
      </c>
      <c r="K184" s="37">
        <v>10212.075805664062</v>
      </c>
      <c r="L184" s="38">
        <v>1.0744356453759536</v>
      </c>
      <c r="M184" s="38">
        <v>1.3945433867619261</v>
      </c>
      <c r="N184" s="38">
        <v>12.354597230988141</v>
      </c>
      <c r="O184" s="39">
        <v>73.233863799959636</v>
      </c>
      <c r="P184" s="39">
        <v>22.954304930537155</v>
      </c>
      <c r="Q184" s="39">
        <v>31.343839775049272</v>
      </c>
      <c r="R184" s="44">
        <v>1186.1724220380142</v>
      </c>
      <c r="T184" s="35">
        <v>1548</v>
      </c>
      <c r="U184" s="44">
        <f t="shared" si="25"/>
        <v>-361.82757796198575</v>
      </c>
      <c r="W184" s="44">
        <f t="shared" si="26"/>
        <v>1103.9957834077286</v>
      </c>
      <c r="X184" s="3">
        <v>382.70274484058507</v>
      </c>
      <c r="Y184" s="10">
        <f t="shared" si="27"/>
        <v>2.884734427153373</v>
      </c>
    </row>
    <row r="185" spans="1:25" x14ac:dyDescent="0.2">
      <c r="A185" s="42" t="str">
        <f t="shared" si="24"/>
        <v>EMEA39994</v>
      </c>
      <c r="B185" s="1">
        <v>39994</v>
      </c>
      <c r="C185" s="34">
        <v>30</v>
      </c>
      <c r="D185" s="34">
        <v>30</v>
      </c>
      <c r="E185" s="37">
        <v>28</v>
      </c>
      <c r="F185" s="37">
        <v>197377.32751655579</v>
      </c>
      <c r="G185" s="37">
        <v>52217.895818114281</v>
      </c>
      <c r="H185" s="37">
        <v>145159.43169844151</v>
      </c>
      <c r="I185" s="37">
        <v>57538.667314529419</v>
      </c>
      <c r="J185" s="37">
        <v>111367.29132652283</v>
      </c>
      <c r="K185" s="37">
        <v>10354.92232131958</v>
      </c>
      <c r="L185" s="38">
        <v>1.3034296692450027</v>
      </c>
      <c r="M185" s="38">
        <v>1.7723096715880089</v>
      </c>
      <c r="N185" s="38">
        <v>10.671700788004518</v>
      </c>
      <c r="O185" s="39">
        <v>90.752702930483835</v>
      </c>
      <c r="P185" s="39">
        <v>26.455873364550598</v>
      </c>
      <c r="Q185" s="39">
        <v>29.151609274729463</v>
      </c>
      <c r="R185" s="44">
        <v>749.65215439228803</v>
      </c>
      <c r="T185" s="35">
        <v>880</v>
      </c>
      <c r="U185" s="44">
        <f t="shared" si="25"/>
        <v>-130.34784560771197</v>
      </c>
      <c r="W185" s="44">
        <f t="shared" si="26"/>
        <v>575.13816976907992</v>
      </c>
      <c r="X185" s="3">
        <v>236.86459324791133</v>
      </c>
      <c r="Y185" s="10">
        <f t="shared" si="27"/>
        <v>2.428130612020678</v>
      </c>
    </row>
    <row r="186" spans="1:25" x14ac:dyDescent="0.2">
      <c r="A186" s="42" t="str">
        <f t="shared" si="24"/>
        <v>EMEA40086</v>
      </c>
      <c r="B186" s="1">
        <v>40086</v>
      </c>
      <c r="C186" s="34">
        <v>30</v>
      </c>
      <c r="D186" s="34">
        <v>29</v>
      </c>
      <c r="E186" s="37">
        <v>28</v>
      </c>
      <c r="F186" s="37">
        <v>203820.94190216064</v>
      </c>
      <c r="G186" s="37">
        <v>47871.636232018471</v>
      </c>
      <c r="H186" s="37">
        <v>155949.30567014217</v>
      </c>
      <c r="I186" s="37">
        <v>53489.478318691254</v>
      </c>
      <c r="J186" s="37">
        <v>96938.700824737549</v>
      </c>
      <c r="K186" s="37">
        <v>10679.572890758514</v>
      </c>
      <c r="L186" s="38">
        <v>1.6087414452984483</v>
      </c>
      <c r="M186" s="38">
        <v>2.1025755468980671</v>
      </c>
      <c r="N186" s="38">
        <v>8.9983304324465578</v>
      </c>
      <c r="O186" s="39">
        <v>89.240468840651062</v>
      </c>
      <c r="P186" s="39">
        <v>23.460721256044252</v>
      </c>
      <c r="Q186" s="39">
        <v>26.289329898004038</v>
      </c>
      <c r="R186" s="44">
        <v>468.56818070441426</v>
      </c>
      <c r="T186" s="35">
        <v>562</v>
      </c>
      <c r="U186" s="44">
        <f t="shared" si="25"/>
        <v>-93.43181929558574</v>
      </c>
      <c r="W186" s="44">
        <f t="shared" si="26"/>
        <v>291.26382121490445</v>
      </c>
      <c r="X186" s="3">
        <v>169.85935116272969</v>
      </c>
      <c r="Y186" s="10">
        <f t="shared" si="27"/>
        <v>1.7147352749267604</v>
      </c>
    </row>
    <row r="187" spans="1:25" x14ac:dyDescent="0.2">
      <c r="A187" s="42" t="str">
        <f t="shared" si="24"/>
        <v>EMEA40178</v>
      </c>
      <c r="B187" s="1">
        <v>40178</v>
      </c>
      <c r="C187" s="34">
        <v>30</v>
      </c>
      <c r="D187" s="34">
        <v>29</v>
      </c>
      <c r="E187" s="37">
        <v>28</v>
      </c>
      <c r="F187" s="37">
        <v>205770.54735374451</v>
      </c>
      <c r="G187" s="37">
        <v>46980.711084246635</v>
      </c>
      <c r="H187" s="37">
        <v>158789.83626949787</v>
      </c>
      <c r="I187" s="37">
        <v>48536.220423698425</v>
      </c>
      <c r="J187" s="37">
        <v>99509.792743682861</v>
      </c>
      <c r="K187" s="37">
        <v>10821.123435497284</v>
      </c>
      <c r="L187" s="38">
        <v>1.5957207013636179</v>
      </c>
      <c r="M187" s="38">
        <v>2.0678421859823173</v>
      </c>
      <c r="N187" s="38">
        <v>9.1202823712040981</v>
      </c>
      <c r="O187" s="39">
        <v>96.512121618301336</v>
      </c>
      <c r="P187" s="39">
        <v>22.804332042178011</v>
      </c>
      <c r="Q187" s="39">
        <v>23.628464134658174</v>
      </c>
      <c r="R187" s="44">
        <v>429.52942970162377</v>
      </c>
      <c r="T187" s="35">
        <v>518</v>
      </c>
      <c r="U187" s="44">
        <f t="shared" si="25"/>
        <v>-88.470570298376231</v>
      </c>
      <c r="W187" s="44">
        <f t="shared" si="26"/>
        <v>269.17582089056737</v>
      </c>
      <c r="X187" s="3">
        <v>142.79511564870424</v>
      </c>
      <c r="Y187" s="10">
        <f t="shared" si="27"/>
        <v>1.8850492166187054</v>
      </c>
    </row>
    <row r="188" spans="1:25" x14ac:dyDescent="0.2">
      <c r="A188" s="42" t="str">
        <f t="shared" si="24"/>
        <v>EMEA40268</v>
      </c>
      <c r="B188" s="1">
        <v>40268</v>
      </c>
      <c r="C188" s="34">
        <v>32</v>
      </c>
      <c r="D188" s="34">
        <v>33</v>
      </c>
      <c r="E188" s="37">
        <v>30</v>
      </c>
      <c r="F188" s="37">
        <v>197830.37115478516</v>
      </c>
      <c r="G188" s="37">
        <v>52317.524303436279</v>
      </c>
      <c r="H188" s="37">
        <v>145512.84685134888</v>
      </c>
      <c r="I188" s="37">
        <v>43766.116268634796</v>
      </c>
      <c r="J188" s="37">
        <v>109987.37358856201</v>
      </c>
      <c r="K188" s="37">
        <v>11013.310422897339</v>
      </c>
      <c r="L188" s="38">
        <v>1.3229959231109532</v>
      </c>
      <c r="M188" s="38">
        <v>1.7986643802844497</v>
      </c>
      <c r="N188" s="38">
        <v>9.8989208371305786</v>
      </c>
      <c r="O188" s="39">
        <v>123.03383044863598</v>
      </c>
      <c r="P188" s="39">
        <v>26.333881331735785</v>
      </c>
      <c r="Q188" s="39">
        <v>21.403772633681939</v>
      </c>
      <c r="R188" s="44">
        <v>326.86243540208665</v>
      </c>
      <c r="T188" s="35">
        <v>391</v>
      </c>
      <c r="U188" s="44">
        <f t="shared" si="25"/>
        <v>-64.137564597913354</v>
      </c>
      <c r="W188" s="44">
        <f t="shared" si="26"/>
        <v>247.06231492647942</v>
      </c>
      <c r="X188" s="3">
        <v>127.26845922794003</v>
      </c>
      <c r="Y188" s="10">
        <f t="shared" si="27"/>
        <v>1.9412690027462853</v>
      </c>
    </row>
    <row r="189" spans="1:25" x14ac:dyDescent="0.2">
      <c r="A189" s="42" t="str">
        <f t="shared" si="24"/>
        <v>EMEA40359</v>
      </c>
      <c r="B189" s="1">
        <v>40359</v>
      </c>
      <c r="C189" s="34">
        <v>34</v>
      </c>
      <c r="D189" s="34">
        <v>34</v>
      </c>
      <c r="E189" s="37">
        <v>31</v>
      </c>
      <c r="F189" s="37">
        <v>203233.51318359375</v>
      </c>
      <c r="G189" s="37">
        <v>53275.836610794067</v>
      </c>
      <c r="H189" s="37">
        <v>149957.67657279968</v>
      </c>
      <c r="I189" s="37">
        <v>39690.806854248047</v>
      </c>
      <c r="J189" s="37">
        <v>121130.17932891846</v>
      </c>
      <c r="K189" s="37">
        <v>11367.5322265625</v>
      </c>
      <c r="L189" s="38">
        <v>1.237987736859554</v>
      </c>
      <c r="M189" s="38">
        <v>1.6778107182664268</v>
      </c>
      <c r="N189" s="38">
        <v>10.4143474415574</v>
      </c>
      <c r="O189" s="39">
        <v>134.22714435217392</v>
      </c>
      <c r="P189" s="39">
        <v>26.214100113826511</v>
      </c>
      <c r="Q189" s="39">
        <v>19.529656419604784</v>
      </c>
      <c r="R189" s="44">
        <v>461.15667107981454</v>
      </c>
      <c r="T189" s="35">
        <v>483</v>
      </c>
      <c r="U189" s="44">
        <f t="shared" si="25"/>
        <v>-21.843328920185456</v>
      </c>
      <c r="W189" s="44">
        <f t="shared" si="26"/>
        <v>372.50503971036619</v>
      </c>
      <c r="X189" s="3">
        <v>150.59831028304566</v>
      </c>
      <c r="Y189" s="10">
        <f t="shared" si="27"/>
        <v>2.4735007916772274</v>
      </c>
    </row>
    <row r="190" spans="1:25" x14ac:dyDescent="0.2">
      <c r="A190" s="42" t="str">
        <f t="shared" si="24"/>
        <v>EMEA40451</v>
      </c>
      <c r="B190" s="1">
        <v>40451</v>
      </c>
      <c r="C190" s="34">
        <v>35</v>
      </c>
      <c r="D190" s="34">
        <v>35</v>
      </c>
      <c r="E190" s="37">
        <v>31</v>
      </c>
      <c r="F190" s="37">
        <v>202952.92883300781</v>
      </c>
      <c r="G190" s="37">
        <v>54485.614534378052</v>
      </c>
      <c r="H190" s="37">
        <v>148467.31429862976</v>
      </c>
      <c r="I190" s="37">
        <v>39416.224971294403</v>
      </c>
      <c r="J190" s="37">
        <v>127649.42448425293</v>
      </c>
      <c r="K190" s="37">
        <v>10344.818561553955</v>
      </c>
      <c r="L190" s="38">
        <v>1.1630864369227529</v>
      </c>
      <c r="M190" s="38">
        <v>1.5899243545594244</v>
      </c>
      <c r="N190" s="38">
        <v>10.909407694724194</v>
      </c>
      <c r="O190" s="39">
        <v>138.23143787630147</v>
      </c>
      <c r="P190" s="39">
        <v>26.846429291596717</v>
      </c>
      <c r="Q190" s="39">
        <v>19.421362972163148</v>
      </c>
      <c r="R190" s="44">
        <v>391.98675722159652</v>
      </c>
      <c r="T190" s="35">
        <v>399</v>
      </c>
      <c r="U190" s="44">
        <f t="shared" si="25"/>
        <v>-7.0132427784034803</v>
      </c>
      <c r="W190" s="44">
        <f t="shared" si="26"/>
        <v>337.02289423879728</v>
      </c>
      <c r="X190" s="3">
        <v>138.34216078085001</v>
      </c>
      <c r="Y190" s="10">
        <f t="shared" si="27"/>
        <v>2.436154620807756</v>
      </c>
    </row>
    <row r="191" spans="1:25" x14ac:dyDescent="0.2">
      <c r="A191" s="42" t="str">
        <f t="shared" si="24"/>
        <v>EMEA40543</v>
      </c>
      <c r="B191" s="1">
        <v>40543</v>
      </c>
      <c r="C191" s="34">
        <v>36</v>
      </c>
      <c r="D191" s="34">
        <v>36</v>
      </c>
      <c r="E191" s="37">
        <v>32</v>
      </c>
      <c r="F191" s="37">
        <v>211743.21478271484</v>
      </c>
      <c r="G191" s="37">
        <v>59213.267744064331</v>
      </c>
      <c r="H191" s="37">
        <v>152529.94703865051</v>
      </c>
      <c r="I191" s="37">
        <v>36656.856590747833</v>
      </c>
      <c r="J191" s="37">
        <v>130684.27179718018</v>
      </c>
      <c r="K191" s="37">
        <v>10431.901710510254</v>
      </c>
      <c r="L191" s="38">
        <v>1.167163767613707</v>
      </c>
      <c r="M191" s="38">
        <v>1.6202654831435017</v>
      </c>
      <c r="N191" s="38">
        <v>11.110334551729329</v>
      </c>
      <c r="O191" s="39">
        <v>161.53394821914361</v>
      </c>
      <c r="P191" s="39">
        <v>27.964658893474997</v>
      </c>
      <c r="Q191" s="39">
        <v>17.311939194067733</v>
      </c>
      <c r="R191" s="44">
        <v>340.7994052413145</v>
      </c>
      <c r="T191" s="35">
        <v>364</v>
      </c>
      <c r="U191" s="44">
        <f t="shared" si="25"/>
        <v>-23.200594758685497</v>
      </c>
      <c r="W191" s="44">
        <f t="shared" si="26"/>
        <v>291.98936318772701</v>
      </c>
      <c r="X191" s="3">
        <v>139.99744208364336</v>
      </c>
      <c r="Y191" s="10">
        <f t="shared" si="27"/>
        <v>2.0856764155253211</v>
      </c>
    </row>
    <row r="192" spans="1:25" x14ac:dyDescent="0.2">
      <c r="A192" s="42" t="str">
        <f t="shared" si="24"/>
        <v>EMEA40633</v>
      </c>
      <c r="B192" s="1">
        <v>40633</v>
      </c>
      <c r="C192" s="34">
        <v>33</v>
      </c>
      <c r="D192" s="34">
        <v>38</v>
      </c>
      <c r="E192" s="37">
        <v>29</v>
      </c>
      <c r="F192" s="37">
        <v>202454.16851806641</v>
      </c>
      <c r="G192" s="37">
        <v>60431.390449523926</v>
      </c>
      <c r="H192" s="37">
        <v>142022.77806854248</v>
      </c>
      <c r="I192" s="37">
        <v>38322.954795360565</v>
      </c>
      <c r="J192" s="37">
        <v>138580.04928588867</v>
      </c>
      <c r="K192" s="37">
        <v>9110.5953283309937</v>
      </c>
      <c r="L192" s="38">
        <v>1.0248428890045458</v>
      </c>
      <c r="M192" s="38">
        <v>1.4609185778279408</v>
      </c>
      <c r="N192" s="38">
        <v>13.71049340910978</v>
      </c>
      <c r="O192" s="39">
        <v>171.15942883428696</v>
      </c>
      <c r="P192" s="39">
        <v>28.821976633181311</v>
      </c>
      <c r="Q192" s="39">
        <v>16.839257310846808</v>
      </c>
      <c r="R192" s="44">
        <v>273.7843974813544</v>
      </c>
      <c r="T192" s="35">
        <v>309</v>
      </c>
      <c r="U192" s="44">
        <f t="shared" si="25"/>
        <v>-35.215602518645596</v>
      </c>
      <c r="W192" s="44">
        <f t="shared" si="26"/>
        <v>267.14767738427469</v>
      </c>
      <c r="X192" s="3">
        <v>123.844985158784</v>
      </c>
      <c r="Y192" s="10">
        <f t="shared" si="27"/>
        <v>2.1571134030316981</v>
      </c>
    </row>
    <row r="193" spans="1:25" x14ac:dyDescent="0.2">
      <c r="A193" s="42" t="str">
        <f t="shared" si="24"/>
        <v>EMEA40724</v>
      </c>
      <c r="B193" s="1">
        <v>40724</v>
      </c>
      <c r="C193" s="34">
        <v>35</v>
      </c>
      <c r="D193" s="34">
        <v>39</v>
      </c>
      <c r="E193" s="37">
        <v>32</v>
      </c>
      <c r="F193" s="37">
        <v>211439.93649291992</v>
      </c>
      <c r="G193" s="37">
        <v>62057.863224029541</v>
      </c>
      <c r="H193" s="37">
        <v>149382.07326889038</v>
      </c>
      <c r="I193" s="37">
        <v>40824.196927070618</v>
      </c>
      <c r="J193" s="37">
        <v>148587.73859405518</v>
      </c>
      <c r="K193" s="37">
        <v>10016.544335365295</v>
      </c>
      <c r="L193" s="38">
        <v>1.0053458965211479</v>
      </c>
      <c r="M193" s="38">
        <v>1.4229972034945513</v>
      </c>
      <c r="N193" s="38">
        <v>13.604072964995552</v>
      </c>
      <c r="O193" s="39">
        <v>154.74920206887143</v>
      </c>
      <c r="P193" s="39">
        <v>28.223873357169527</v>
      </c>
      <c r="Q193" s="39">
        <v>18.238461316658963</v>
      </c>
      <c r="R193" s="44">
        <v>300.6791401991191</v>
      </c>
      <c r="T193" s="35">
        <v>340</v>
      </c>
      <c r="U193" s="44">
        <f t="shared" si="25"/>
        <v>-39.320859800880896</v>
      </c>
      <c r="W193" s="44">
        <f t="shared" si="26"/>
        <v>299.08028792833909</v>
      </c>
      <c r="X193" s="3">
        <v>139.75819972169947</v>
      </c>
      <c r="Y193" s="10">
        <f t="shared" si="27"/>
        <v>2.1399838329622001</v>
      </c>
    </row>
    <row r="194" spans="1:25" x14ac:dyDescent="0.2">
      <c r="A194" s="42" t="str">
        <f t="shared" si="24"/>
        <v>EMEA40816</v>
      </c>
      <c r="B194" s="1">
        <v>40816</v>
      </c>
      <c r="C194" s="34">
        <v>32</v>
      </c>
      <c r="D194" s="34">
        <v>38</v>
      </c>
      <c r="E194" s="37">
        <v>29</v>
      </c>
      <c r="F194" s="37">
        <v>180346.15469360352</v>
      </c>
      <c r="G194" s="37">
        <v>50730.253540039063</v>
      </c>
      <c r="H194" s="37">
        <v>129615.90115356445</v>
      </c>
      <c r="I194" s="37">
        <v>42973.385041236877</v>
      </c>
      <c r="J194" s="37">
        <v>145943.85852050781</v>
      </c>
      <c r="K194" s="37">
        <v>8199.1524233818054</v>
      </c>
      <c r="L194" s="38">
        <v>0.88812165491260475</v>
      </c>
      <c r="M194" s="38">
        <v>1.2357228082212282</v>
      </c>
      <c r="N194" s="38">
        <v>17.339823220168928</v>
      </c>
      <c r="O194" s="39">
        <v>131.96226823969366</v>
      </c>
      <c r="P194" s="39">
        <v>27.325792407886428</v>
      </c>
      <c r="Q194" s="39">
        <v>20.707276990914099</v>
      </c>
      <c r="R194" s="44">
        <v>564.58530772046322</v>
      </c>
      <c r="T194" s="35">
        <v>572</v>
      </c>
      <c r="U194" s="44">
        <f t="shared" si="25"/>
        <v>-7.41469227953678</v>
      </c>
      <c r="W194" s="44">
        <f t="shared" si="26"/>
        <v>635.70717434653818</v>
      </c>
      <c r="X194" s="3">
        <v>215.36745735886177</v>
      </c>
      <c r="Y194" s="10">
        <f t="shared" si="27"/>
        <v>2.9517327368882578</v>
      </c>
    </row>
    <row r="195" spans="1:25" x14ac:dyDescent="0.2">
      <c r="A195" s="42" t="str">
        <f t="shared" si="24"/>
        <v>EMEA40908</v>
      </c>
      <c r="B195" s="1">
        <v>40908</v>
      </c>
      <c r="C195" s="34">
        <v>37</v>
      </c>
      <c r="D195" s="34">
        <v>37</v>
      </c>
      <c r="E195" s="37">
        <v>36</v>
      </c>
      <c r="F195" s="37">
        <v>202922.54091644287</v>
      </c>
      <c r="G195" s="37">
        <v>57565.57221031189</v>
      </c>
      <c r="H195" s="37">
        <v>145356.96870613098</v>
      </c>
      <c r="I195" s="37">
        <v>41320.918387413025</v>
      </c>
      <c r="J195" s="37">
        <v>158779.76852798462</v>
      </c>
      <c r="K195" s="37">
        <v>18449.877985954285</v>
      </c>
      <c r="L195" s="38">
        <v>0.91546278253020696</v>
      </c>
      <c r="M195" s="38">
        <v>1.2780125755170009</v>
      </c>
      <c r="N195" s="38">
        <v>8.5686452046338069</v>
      </c>
      <c r="O195" s="39">
        <v>139.3133900621319</v>
      </c>
      <c r="P195" s="39">
        <v>28.368249259216395</v>
      </c>
      <c r="Q195" s="39">
        <v>20.362902120581904</v>
      </c>
      <c r="R195" s="44">
        <v>518.07948037066467</v>
      </c>
      <c r="T195" s="35">
        <v>547</v>
      </c>
      <c r="U195" s="44">
        <f t="shared" si="25"/>
        <v>-28.920519629335331</v>
      </c>
      <c r="W195" s="44">
        <f t="shared" si="26"/>
        <v>565.92085473837369</v>
      </c>
      <c r="X195" s="3">
        <v>203.76275473722424</v>
      </c>
      <c r="Y195" s="10">
        <f t="shared" si="27"/>
        <v>2.7773518053787329</v>
      </c>
    </row>
    <row r="196" spans="1:25" x14ac:dyDescent="0.2">
      <c r="A196" s="42" t="str">
        <f t="shared" si="24"/>
        <v>EMEA40999</v>
      </c>
      <c r="B196" s="1">
        <v>40999</v>
      </c>
      <c r="C196" s="34">
        <v>24</v>
      </c>
      <c r="D196" s="34">
        <v>25</v>
      </c>
      <c r="E196" s="37">
        <v>22</v>
      </c>
      <c r="F196" s="37">
        <v>150904.19247436523</v>
      </c>
      <c r="G196" s="37">
        <v>51410.814262390137</v>
      </c>
      <c r="H196" s="37">
        <v>99493.378211975098</v>
      </c>
      <c r="I196" s="37">
        <v>34063.363896846771</v>
      </c>
      <c r="J196" s="37">
        <v>128713.94683837891</v>
      </c>
      <c r="K196" s="37">
        <v>6835.4499959945679</v>
      </c>
      <c r="L196" s="38">
        <v>0.77298055615453276</v>
      </c>
      <c r="M196" s="38">
        <v>1.1723996985645211</v>
      </c>
      <c r="N196" s="38">
        <v>18.572589796500434</v>
      </c>
      <c r="O196" s="39">
        <v>151.60174867997583</v>
      </c>
      <c r="P196" s="39">
        <v>34.039201346035753</v>
      </c>
      <c r="Q196" s="39">
        <v>22.45304004895808</v>
      </c>
      <c r="R196" s="44">
        <v>355.00680647057123</v>
      </c>
      <c r="T196" s="35">
        <v>413</v>
      </c>
      <c r="U196" s="44">
        <f t="shared" si="25"/>
        <v>-57.993193529428765</v>
      </c>
      <c r="W196" s="44">
        <f t="shared" si="26"/>
        <v>459.27003421234696</v>
      </c>
      <c r="X196" s="3">
        <v>157.47841164148528</v>
      </c>
      <c r="Y196" s="10">
        <f t="shared" si="27"/>
        <v>2.9163999650816854</v>
      </c>
    </row>
    <row r="197" spans="1:25" x14ac:dyDescent="0.2">
      <c r="A197" s="42" t="str">
        <f t="shared" si="24"/>
        <v>EMEA41090</v>
      </c>
      <c r="B197" s="1">
        <v>41090</v>
      </c>
      <c r="C197" s="34">
        <v>17</v>
      </c>
      <c r="D197" s="34">
        <v>17</v>
      </c>
      <c r="E197" s="37">
        <v>15</v>
      </c>
      <c r="F197" s="37">
        <v>78962.331703186035</v>
      </c>
      <c r="G197" s="37">
        <v>23400.084136009216</v>
      </c>
      <c r="H197" s="37">
        <v>55562.247567176819</v>
      </c>
      <c r="I197" s="37">
        <v>18465.748115539551</v>
      </c>
      <c r="J197" s="37">
        <v>50703.672885894775</v>
      </c>
      <c r="K197" s="37">
        <v>4300.479118347168</v>
      </c>
      <c r="L197" s="38">
        <v>1.0958229336209222</v>
      </c>
      <c r="M197" s="38">
        <v>1.5573296214829542</v>
      </c>
      <c r="N197" s="38">
        <v>11.389854603294138</v>
      </c>
      <c r="O197" s="39">
        <v>126.72156031586532</v>
      </c>
      <c r="P197" s="39">
        <v>29.634489802009039</v>
      </c>
      <c r="Q197" s="39">
        <v>23.385515241559769</v>
      </c>
      <c r="R197" s="84">
        <v>423.69230625360365</v>
      </c>
      <c r="T197" s="35">
        <v>432</v>
      </c>
      <c r="U197" s="44">
        <f t="shared" si="25"/>
        <v>-8.3076937463963532</v>
      </c>
      <c r="W197" s="44">
        <f t="shared" si="26"/>
        <v>386.64303625550099</v>
      </c>
      <c r="X197" s="3">
        <v>163.12056484989071</v>
      </c>
      <c r="Y197" s="10">
        <f t="shared" si="27"/>
        <v>2.3702899546191709</v>
      </c>
    </row>
    <row r="199" spans="1:25" x14ac:dyDescent="0.2">
      <c r="A199" s="12" t="s">
        <v>307</v>
      </c>
      <c r="B199" s="40" t="s">
        <v>0</v>
      </c>
      <c r="C199" s="41" t="s">
        <v>180</v>
      </c>
      <c r="D199" s="41" t="s">
        <v>178</v>
      </c>
      <c r="E199" s="41" t="s">
        <v>179</v>
      </c>
      <c r="F199" s="41" t="s">
        <v>2</v>
      </c>
      <c r="G199" s="41" t="s">
        <v>31</v>
      </c>
      <c r="H199" s="41" t="s">
        <v>41</v>
      </c>
      <c r="I199" s="41" t="s">
        <v>20</v>
      </c>
      <c r="J199" s="41" t="s">
        <v>3</v>
      </c>
      <c r="K199" s="41" t="s">
        <v>24</v>
      </c>
      <c r="L199" s="41" t="s">
        <v>5</v>
      </c>
      <c r="M199" s="41" t="s">
        <v>43</v>
      </c>
      <c r="N199" s="41" t="s">
        <v>6</v>
      </c>
      <c r="O199" s="41" t="s">
        <v>176</v>
      </c>
      <c r="P199" s="41" t="s">
        <v>21</v>
      </c>
      <c r="Q199" s="41" t="s">
        <v>177</v>
      </c>
      <c r="R199" s="83" t="s">
        <v>7</v>
      </c>
      <c r="T199" s="43" t="s">
        <v>324</v>
      </c>
      <c r="U199" s="43" t="s">
        <v>325</v>
      </c>
      <c r="W199" s="35" t="str">
        <f>A199&amp;" spread per turn of leverage"</f>
        <v>EMEA IG spread per turn of leverage</v>
      </c>
      <c r="X199" s="3" t="s">
        <v>26</v>
      </c>
      <c r="Y199" t="str">
        <f>A199&amp;" vs. US spread per turn of leverage ratio"</f>
        <v>EMEA IG vs. US spread per turn of leverage ratio</v>
      </c>
    </row>
    <row r="200" spans="1:25" x14ac:dyDescent="0.2">
      <c r="A200" s="42" t="str">
        <f>$A$199&amp;$B200</f>
        <v>EMEA IG38807</v>
      </c>
      <c r="B200" s="1">
        <v>38807</v>
      </c>
      <c r="C200" s="34">
        <v>4</v>
      </c>
      <c r="D200" s="34">
        <v>4</v>
      </c>
      <c r="E200" s="37">
        <v>4</v>
      </c>
      <c r="F200" s="37">
        <v>41212.656372070313</v>
      </c>
      <c r="G200" s="37">
        <v>10418.779968261719</v>
      </c>
      <c r="H200" s="37">
        <v>30793.876403808594</v>
      </c>
      <c r="I200" s="37">
        <v>9699.2472057342529</v>
      </c>
      <c r="J200" s="37">
        <v>47496.448974609375</v>
      </c>
      <c r="K200" s="37">
        <v>2075.4701499938965</v>
      </c>
      <c r="L200" s="38">
        <v>0.64834060374219482</v>
      </c>
      <c r="M200" s="38">
        <v>0.86769973886051466</v>
      </c>
      <c r="N200" s="38">
        <v>22.88466975771685</v>
      </c>
      <c r="O200" s="39">
        <v>107.41843925889501</v>
      </c>
      <c r="P200" s="39">
        <v>25.280534877927678</v>
      </c>
      <c r="Q200" s="39">
        <v>23.534632463796733</v>
      </c>
      <c r="R200" s="44">
        <v>128.20273694874496</v>
      </c>
      <c r="T200" s="35">
        <v>127</v>
      </c>
      <c r="U200" s="44">
        <f>R200-T200</f>
        <v>1.2027369487449562</v>
      </c>
      <c r="W200" s="44">
        <f>R200/L200</f>
        <v>197.73979326416412</v>
      </c>
      <c r="X200" s="3">
        <v>52.365855337024819</v>
      </c>
      <c r="Y200" s="10">
        <f>W200/X200</f>
        <v>3.7761207563882553</v>
      </c>
    </row>
    <row r="201" spans="1:25" x14ac:dyDescent="0.2">
      <c r="A201" s="42" t="str">
        <f t="shared" ref="A201:A225" si="28">$A$199&amp;$B201</f>
        <v>EMEA IG38898</v>
      </c>
      <c r="B201" s="1">
        <v>38898</v>
      </c>
      <c r="C201" s="34">
        <v>4</v>
      </c>
      <c r="D201" s="34">
        <v>4</v>
      </c>
      <c r="E201" s="37">
        <v>4</v>
      </c>
      <c r="F201" s="37">
        <v>42807.317260742188</v>
      </c>
      <c r="G201" s="37">
        <v>10479.438781738281</v>
      </c>
      <c r="H201" s="37">
        <v>32327.878479003906</v>
      </c>
      <c r="I201" s="37">
        <v>12185.399871826172</v>
      </c>
      <c r="J201" s="37">
        <v>52373.159912109375</v>
      </c>
      <c r="K201" s="37">
        <v>2239.4581871032715</v>
      </c>
      <c r="L201" s="38">
        <v>0.61726041608440874</v>
      </c>
      <c r="M201" s="38">
        <v>0.81735219590683061</v>
      </c>
      <c r="N201" s="38">
        <v>23.386531712768349</v>
      </c>
      <c r="O201" s="39">
        <v>85.999958080717249</v>
      </c>
      <c r="P201" s="39">
        <v>24.480484768310358</v>
      </c>
      <c r="Q201" s="39">
        <v>28.465693838284935</v>
      </c>
      <c r="R201" s="44">
        <v>164.16981332141165</v>
      </c>
      <c r="T201" s="35">
        <v>154</v>
      </c>
      <c r="U201" s="44">
        <f t="shared" ref="U201:U225" si="29">R201-T201</f>
        <v>10.169813321411652</v>
      </c>
      <c r="W201" s="44">
        <f t="shared" ref="W201:W225" si="30">R201/L201</f>
        <v>265.96523775625013</v>
      </c>
      <c r="X201" s="3">
        <v>56.118666413933049</v>
      </c>
      <c r="Y201" s="10">
        <f t="shared" ref="Y201:Y225" si="31">W201/X201</f>
        <v>4.7393363875485237</v>
      </c>
    </row>
    <row r="202" spans="1:25" x14ac:dyDescent="0.2">
      <c r="A202" s="42" t="str">
        <f t="shared" si="28"/>
        <v>EMEA IG38990</v>
      </c>
      <c r="B202" s="1">
        <v>38990</v>
      </c>
      <c r="C202" s="34">
        <v>5</v>
      </c>
      <c r="D202" s="34">
        <v>5</v>
      </c>
      <c r="E202" s="37">
        <v>5</v>
      </c>
      <c r="F202" s="37">
        <v>52821.040649414063</v>
      </c>
      <c r="G202" s="37">
        <v>11350.736022949219</v>
      </c>
      <c r="H202" s="37">
        <v>41470.304626464844</v>
      </c>
      <c r="I202" s="37">
        <v>17889.9996509552</v>
      </c>
      <c r="J202" s="37">
        <v>63738.309814453125</v>
      </c>
      <c r="K202" s="37">
        <v>2867.2519836425781</v>
      </c>
      <c r="L202" s="38">
        <v>0.65063389266499105</v>
      </c>
      <c r="M202" s="38">
        <v>0.82871730993777482</v>
      </c>
      <c r="N202" s="38">
        <v>22.229755242327709</v>
      </c>
      <c r="O202" s="39">
        <v>63.447379789877026</v>
      </c>
      <c r="P202" s="39">
        <v>21.489042781808827</v>
      </c>
      <c r="Q202" s="39">
        <v>33.869078365372289</v>
      </c>
      <c r="R202" s="44">
        <v>146.96895545056867</v>
      </c>
      <c r="T202" s="35">
        <v>147</v>
      </c>
      <c r="U202" s="44">
        <f t="shared" si="29"/>
        <v>-3.1044549431328505E-2</v>
      </c>
      <c r="W202" s="44">
        <f t="shared" si="30"/>
        <v>225.885797077962</v>
      </c>
      <c r="X202" s="3">
        <v>59.109252362488796</v>
      </c>
      <c r="Y202" s="10">
        <f t="shared" si="31"/>
        <v>3.8214964332946111</v>
      </c>
    </row>
    <row r="203" spans="1:25" x14ac:dyDescent="0.2">
      <c r="A203" s="42" t="str">
        <f t="shared" si="28"/>
        <v>EMEA IG39082</v>
      </c>
      <c r="B203" s="1">
        <v>39082</v>
      </c>
      <c r="C203" s="34">
        <v>6</v>
      </c>
      <c r="D203" s="34">
        <v>6</v>
      </c>
      <c r="E203" s="37">
        <v>6</v>
      </c>
      <c r="F203" s="37">
        <v>62319.142211914063</v>
      </c>
      <c r="G203" s="37">
        <v>16542.568908691406</v>
      </c>
      <c r="H203" s="37">
        <v>45776.573303222656</v>
      </c>
      <c r="I203" s="37">
        <v>22084.290557861328</v>
      </c>
      <c r="J203" s="37">
        <v>70983.08837890625</v>
      </c>
      <c r="K203" s="37">
        <v>2663.9236755371094</v>
      </c>
      <c r="L203" s="38">
        <v>0.64489407757053707</v>
      </c>
      <c r="M203" s="38">
        <v>0.87794351633808576</v>
      </c>
      <c r="N203" s="38">
        <v>26.646066863981904</v>
      </c>
      <c r="O203" s="39">
        <v>74.906499103285711</v>
      </c>
      <c r="P203" s="39">
        <v>26.544923953604783</v>
      </c>
      <c r="Q203" s="39">
        <v>35.43741100088392</v>
      </c>
      <c r="R203" s="44">
        <v>115.58567785695493</v>
      </c>
      <c r="T203" s="35">
        <v>125</v>
      </c>
      <c r="U203" s="44">
        <f t="shared" si="29"/>
        <v>-9.4143221430450694</v>
      </c>
      <c r="W203" s="44">
        <f t="shared" si="30"/>
        <v>179.2320349605202</v>
      </c>
      <c r="X203" s="3">
        <v>54.029478780440542</v>
      </c>
      <c r="Y203" s="10">
        <f t="shared" si="31"/>
        <v>3.317300832918729</v>
      </c>
    </row>
    <row r="204" spans="1:25" x14ac:dyDescent="0.2">
      <c r="A204" s="42" t="str">
        <f t="shared" si="28"/>
        <v>EMEA IG39172</v>
      </c>
      <c r="B204" s="1">
        <v>39172</v>
      </c>
      <c r="C204" s="34">
        <v>9</v>
      </c>
      <c r="D204" s="34">
        <v>9</v>
      </c>
      <c r="E204" s="37">
        <v>8</v>
      </c>
      <c r="F204" s="37">
        <v>87379.699493408203</v>
      </c>
      <c r="G204" s="37">
        <v>37935.876861572266</v>
      </c>
      <c r="H204" s="37">
        <v>49443.822631835938</v>
      </c>
      <c r="I204" s="37">
        <v>33120.110012054443</v>
      </c>
      <c r="J204" s="37">
        <v>79532.384796142578</v>
      </c>
      <c r="K204" s="37">
        <v>3380.7478952407837</v>
      </c>
      <c r="L204" s="38">
        <v>0.62168163017581268</v>
      </c>
      <c r="M204" s="38">
        <v>1.0986681679089576</v>
      </c>
      <c r="N204" s="38">
        <v>21.86189649971773</v>
      </c>
      <c r="O204" s="39">
        <v>114.54031054777616</v>
      </c>
      <c r="P204" s="39">
        <v>43.414977485055431</v>
      </c>
      <c r="Q204" s="39">
        <v>37.903666645767046</v>
      </c>
      <c r="R204" s="44">
        <v>132.63651220420857</v>
      </c>
      <c r="T204" s="35">
        <v>135</v>
      </c>
      <c r="U204" s="44">
        <f t="shared" si="29"/>
        <v>-2.3634877957914284</v>
      </c>
      <c r="W204" s="44">
        <f t="shared" si="30"/>
        <v>213.35118453910039</v>
      </c>
      <c r="X204" s="3">
        <v>55.850401091700363</v>
      </c>
      <c r="Y204" s="10">
        <f t="shared" si="31"/>
        <v>3.8200474905954684</v>
      </c>
    </row>
    <row r="205" spans="1:25" x14ac:dyDescent="0.2">
      <c r="A205" s="42" t="str">
        <f t="shared" si="28"/>
        <v>EMEA IG39263</v>
      </c>
      <c r="B205" s="1">
        <v>39263</v>
      </c>
      <c r="C205" s="34">
        <v>9</v>
      </c>
      <c r="D205" s="34">
        <v>9</v>
      </c>
      <c r="E205" s="37">
        <v>8</v>
      </c>
      <c r="F205" s="37">
        <v>97542.116119384766</v>
      </c>
      <c r="G205" s="37">
        <v>41675.017059326172</v>
      </c>
      <c r="H205" s="37">
        <v>55867.099060058594</v>
      </c>
      <c r="I205" s="37">
        <v>36217.643209457397</v>
      </c>
      <c r="J205" s="37">
        <v>79546.052276611328</v>
      </c>
      <c r="K205" s="37">
        <v>4202.7727403640747</v>
      </c>
      <c r="L205" s="38">
        <v>0.70232396782919948</v>
      </c>
      <c r="M205" s="38">
        <v>1.2262345311643423</v>
      </c>
      <c r="N205" s="38">
        <v>17.589156641255258</v>
      </c>
      <c r="O205" s="39">
        <v>115.06827437198814</v>
      </c>
      <c r="P205" s="39">
        <v>42.72515167532233</v>
      </c>
      <c r="Q205" s="39">
        <v>37.130261932322156</v>
      </c>
      <c r="R205" s="44">
        <v>127.94242901989165</v>
      </c>
      <c r="T205" s="35">
        <v>126</v>
      </c>
      <c r="U205" s="44">
        <f t="shared" si="29"/>
        <v>1.9424290198916481</v>
      </c>
      <c r="W205" s="44">
        <f t="shared" si="30"/>
        <v>182.17010223265854</v>
      </c>
      <c r="X205" s="3">
        <v>58.330807203472979</v>
      </c>
      <c r="Y205" s="10">
        <f t="shared" si="31"/>
        <v>3.1230512822701386</v>
      </c>
    </row>
    <row r="206" spans="1:25" x14ac:dyDescent="0.2">
      <c r="A206" s="42" t="str">
        <f t="shared" si="28"/>
        <v>EMEA IG39355</v>
      </c>
      <c r="B206" s="1">
        <v>39355</v>
      </c>
      <c r="C206" s="34">
        <v>9</v>
      </c>
      <c r="D206" s="34">
        <v>9</v>
      </c>
      <c r="E206" s="37">
        <v>8</v>
      </c>
      <c r="F206" s="37">
        <v>103079.54299926758</v>
      </c>
      <c r="G206" s="37">
        <v>42093.852874755859</v>
      </c>
      <c r="H206" s="37">
        <v>60985.690124511719</v>
      </c>
      <c r="I206" s="37">
        <v>33534.958486557007</v>
      </c>
      <c r="J206" s="37">
        <v>79289.199493408203</v>
      </c>
      <c r="K206" s="37">
        <v>4457.969536781311</v>
      </c>
      <c r="L206" s="38">
        <v>0.76915507426180829</v>
      </c>
      <c r="M206" s="38">
        <v>1.3000451973012694</v>
      </c>
      <c r="N206" s="38">
        <v>16.524647525484419</v>
      </c>
      <c r="O206" s="39">
        <v>125.52230500487964</v>
      </c>
      <c r="P206" s="39">
        <v>40.836282010927185</v>
      </c>
      <c r="Q206" s="39">
        <v>32.533088051035783</v>
      </c>
      <c r="R206" s="44">
        <v>202.08775853683804</v>
      </c>
      <c r="T206" s="35">
        <v>200</v>
      </c>
      <c r="U206" s="44">
        <f t="shared" si="29"/>
        <v>2.087758536838038</v>
      </c>
      <c r="W206" s="44">
        <f t="shared" si="30"/>
        <v>262.73994061703422</v>
      </c>
      <c r="X206" s="3">
        <v>86.586343590452074</v>
      </c>
      <c r="Y206" s="10">
        <f t="shared" si="31"/>
        <v>3.0344270207294759</v>
      </c>
    </row>
    <row r="207" spans="1:25" x14ac:dyDescent="0.2">
      <c r="A207" s="42" t="str">
        <f t="shared" si="28"/>
        <v>EMEA IG39447</v>
      </c>
      <c r="B207" s="1">
        <v>39447</v>
      </c>
      <c r="C207" s="34">
        <v>10</v>
      </c>
      <c r="D207" s="34">
        <v>10</v>
      </c>
      <c r="E207" s="37">
        <v>9</v>
      </c>
      <c r="F207" s="37">
        <v>118049.96170043945</v>
      </c>
      <c r="G207" s="37">
        <v>25303.664215087891</v>
      </c>
      <c r="H207" s="37">
        <v>92746.297485351563</v>
      </c>
      <c r="I207" s="37">
        <v>40207.253936767578</v>
      </c>
      <c r="J207" s="37">
        <v>84540.121673583984</v>
      </c>
      <c r="K207" s="37">
        <v>5257.6650247573853</v>
      </c>
      <c r="L207" s="38">
        <v>1.0970684173303211</v>
      </c>
      <c r="M207" s="38">
        <v>1.3963779488778072</v>
      </c>
      <c r="N207" s="38">
        <v>15.009951581781424</v>
      </c>
      <c r="O207" s="39">
        <v>62.933082311172015</v>
      </c>
      <c r="P207" s="39">
        <v>21.434707686985803</v>
      </c>
      <c r="Q207" s="39">
        <v>34.059523067696091</v>
      </c>
      <c r="R207" s="44">
        <v>292.58660338764872</v>
      </c>
      <c r="T207" s="35">
        <v>261</v>
      </c>
      <c r="U207" s="44">
        <f t="shared" si="29"/>
        <v>31.586603387648722</v>
      </c>
      <c r="W207" s="44">
        <f t="shared" si="30"/>
        <v>266.69859305552546</v>
      </c>
      <c r="X207" s="3">
        <v>116.21456815653275</v>
      </c>
      <c r="Y207" s="10">
        <f t="shared" si="31"/>
        <v>2.2948809025070029</v>
      </c>
    </row>
    <row r="208" spans="1:25" x14ac:dyDescent="0.2">
      <c r="A208" s="42" t="str">
        <f t="shared" si="28"/>
        <v>EMEA IG39538</v>
      </c>
      <c r="B208" s="1">
        <v>39538</v>
      </c>
      <c r="C208" s="34">
        <v>10</v>
      </c>
      <c r="D208" s="34">
        <v>10</v>
      </c>
      <c r="E208" s="37">
        <v>10</v>
      </c>
      <c r="F208" s="37">
        <v>125108.64251708984</v>
      </c>
      <c r="G208" s="37">
        <v>32572.290100097656</v>
      </c>
      <c r="H208" s="37">
        <v>92536.352416992188</v>
      </c>
      <c r="I208" s="37">
        <v>39284.535064697266</v>
      </c>
      <c r="J208" s="37">
        <v>93091.837738037109</v>
      </c>
      <c r="K208" s="37">
        <v>6772.2555732727051</v>
      </c>
      <c r="L208" s="38">
        <v>0.99403293205352683</v>
      </c>
      <c r="M208" s="38">
        <v>1.3439270891734769</v>
      </c>
      <c r="N208" s="38">
        <v>13.746060929158098</v>
      </c>
      <c r="O208" s="39">
        <v>82.913772675315386</v>
      </c>
      <c r="P208" s="39">
        <v>26.035203839453601</v>
      </c>
      <c r="Q208" s="39">
        <v>31.400336758774277</v>
      </c>
      <c r="R208" s="44">
        <v>411.26022320907521</v>
      </c>
      <c r="T208" s="35">
        <v>361</v>
      </c>
      <c r="U208" s="44">
        <f t="shared" si="29"/>
        <v>50.260223209075207</v>
      </c>
      <c r="W208" s="44">
        <f t="shared" si="30"/>
        <v>413.7289720970025</v>
      </c>
      <c r="X208" s="3">
        <v>165.29427002345625</v>
      </c>
      <c r="Y208" s="10">
        <f t="shared" si="31"/>
        <v>2.5029843565556864</v>
      </c>
    </row>
    <row r="209" spans="1:25" x14ac:dyDescent="0.2">
      <c r="A209" s="42" t="str">
        <f t="shared" si="28"/>
        <v>EMEA IG39629</v>
      </c>
      <c r="B209" s="1">
        <v>39629</v>
      </c>
      <c r="C209" s="34">
        <v>11</v>
      </c>
      <c r="D209" s="34">
        <v>11</v>
      </c>
      <c r="E209" s="37">
        <v>11</v>
      </c>
      <c r="F209" s="37">
        <v>119097.91156005859</v>
      </c>
      <c r="G209" s="37">
        <v>34712.615234375</v>
      </c>
      <c r="H209" s="37">
        <v>84385.296325683594</v>
      </c>
      <c r="I209" s="37">
        <v>30601.690887451172</v>
      </c>
      <c r="J209" s="37">
        <v>105505.0198059082</v>
      </c>
      <c r="K209" s="37">
        <v>6670.0119209289551</v>
      </c>
      <c r="L209" s="38">
        <v>0.79982257224274822</v>
      </c>
      <c r="M209" s="38">
        <v>1.1288364456890914</v>
      </c>
      <c r="N209" s="38">
        <v>15.817815778538243</v>
      </c>
      <c r="O209" s="39">
        <v>113.43365097714124</v>
      </c>
      <c r="P209" s="39">
        <v>29.146283742238545</v>
      </c>
      <c r="Q209" s="39">
        <v>25.694565493719324</v>
      </c>
      <c r="R209" s="44">
        <v>351.12110759231257</v>
      </c>
      <c r="T209" s="35">
        <v>325</v>
      </c>
      <c r="U209" s="44">
        <f t="shared" si="29"/>
        <v>26.121107592312569</v>
      </c>
      <c r="W209" s="44">
        <f t="shared" si="30"/>
        <v>438.9987476944404</v>
      </c>
      <c r="X209" s="3">
        <v>149.99528727700684</v>
      </c>
      <c r="Y209" s="10">
        <f t="shared" si="31"/>
        <v>2.9267502710515867</v>
      </c>
    </row>
    <row r="210" spans="1:25" x14ac:dyDescent="0.2">
      <c r="A210" s="42" t="str">
        <f t="shared" si="28"/>
        <v>EMEA IG39721</v>
      </c>
      <c r="B210" s="1">
        <v>39721</v>
      </c>
      <c r="C210" s="34">
        <v>11</v>
      </c>
      <c r="D210" s="34">
        <v>11</v>
      </c>
      <c r="E210" s="37">
        <v>11</v>
      </c>
      <c r="F210" s="37">
        <v>118881.23822021484</v>
      </c>
      <c r="G210" s="37">
        <v>33940.916259765625</v>
      </c>
      <c r="H210" s="37">
        <v>84940.321960449219</v>
      </c>
      <c r="I210" s="37">
        <v>28747.704040527344</v>
      </c>
      <c r="J210" s="37">
        <v>115241.49771118164</v>
      </c>
      <c r="K210" s="37">
        <v>6315.543025970459</v>
      </c>
      <c r="L210" s="38">
        <v>0.73706367625772051</v>
      </c>
      <c r="M210" s="38">
        <v>1.0315835925540913</v>
      </c>
      <c r="N210" s="38">
        <v>18.247282496103871</v>
      </c>
      <c r="O210" s="39">
        <v>118.06478949385696</v>
      </c>
      <c r="P210" s="39">
        <v>28.550271487662073</v>
      </c>
      <c r="Q210" s="39">
        <v>24.181867947299875</v>
      </c>
      <c r="R210" s="44">
        <v>713.99533004722309</v>
      </c>
      <c r="T210" s="35">
        <v>653</v>
      </c>
      <c r="U210" s="44">
        <f t="shared" si="29"/>
        <v>60.995330047223092</v>
      </c>
      <c r="W210" s="44">
        <f t="shared" si="30"/>
        <v>968.70237002097042</v>
      </c>
      <c r="X210" s="3">
        <v>253.25172981643445</v>
      </c>
      <c r="Y210" s="10">
        <f t="shared" si="31"/>
        <v>3.8250572689991857</v>
      </c>
    </row>
    <row r="211" spans="1:25" x14ac:dyDescent="0.2">
      <c r="A211" s="42" t="str">
        <f t="shared" si="28"/>
        <v>EMEA IG39813</v>
      </c>
      <c r="B211" s="1">
        <v>39813</v>
      </c>
      <c r="C211" s="34">
        <v>11</v>
      </c>
      <c r="D211" s="34">
        <v>11</v>
      </c>
      <c r="E211" s="37">
        <v>10</v>
      </c>
      <c r="F211" s="37">
        <v>116469.26678466797</v>
      </c>
      <c r="G211" s="37">
        <v>33138.683227539063</v>
      </c>
      <c r="H211" s="37">
        <v>83330.583557128906</v>
      </c>
      <c r="I211" s="37">
        <v>33349.844871520996</v>
      </c>
      <c r="J211" s="37">
        <v>113953.1994934082</v>
      </c>
      <c r="K211" s="37">
        <v>6271.9657249450684</v>
      </c>
      <c r="L211" s="38">
        <v>0.73127024013002184</v>
      </c>
      <c r="M211" s="38">
        <v>1.0220798301622529</v>
      </c>
      <c r="N211" s="38">
        <v>18.038721457982732</v>
      </c>
      <c r="O211" s="39">
        <v>99.366828707013696</v>
      </c>
      <c r="P211" s="39">
        <v>28.452727609942713</v>
      </c>
      <c r="Q211" s="39">
        <v>28.634030068360637</v>
      </c>
      <c r="R211" s="44">
        <v>1323.6307341858048</v>
      </c>
      <c r="T211" s="35">
        <v>1292</v>
      </c>
      <c r="U211" s="44">
        <f t="shared" si="29"/>
        <v>31.63073418580484</v>
      </c>
      <c r="W211" s="44">
        <f t="shared" si="30"/>
        <v>1810.0432118644123</v>
      </c>
      <c r="X211" s="3">
        <v>333.7263516235501</v>
      </c>
      <c r="Y211" s="10">
        <f t="shared" si="31"/>
        <v>5.4237347547135766</v>
      </c>
    </row>
    <row r="212" spans="1:25" x14ac:dyDescent="0.2">
      <c r="A212" s="42" t="str">
        <f t="shared" si="28"/>
        <v>EMEA IG39903</v>
      </c>
      <c r="B212" s="1">
        <v>39903</v>
      </c>
      <c r="C212" s="34">
        <v>11</v>
      </c>
      <c r="D212" s="34">
        <v>11</v>
      </c>
      <c r="E212" s="37">
        <v>10</v>
      </c>
      <c r="F212" s="37">
        <v>125618.75720214844</v>
      </c>
      <c r="G212" s="37">
        <v>32494.982315063477</v>
      </c>
      <c r="H212" s="37">
        <v>93123.774887084961</v>
      </c>
      <c r="I212" s="37">
        <v>35495.985813140869</v>
      </c>
      <c r="J212" s="37">
        <v>101271.99713134766</v>
      </c>
      <c r="K212" s="37">
        <v>5999.5412902832031</v>
      </c>
      <c r="L212" s="38">
        <v>0.91954121104480024</v>
      </c>
      <c r="M212" s="38">
        <v>1.2404095975240179</v>
      </c>
      <c r="N212" s="38">
        <v>16.746957567948424</v>
      </c>
      <c r="O212" s="39">
        <v>91.545513022584089</v>
      </c>
      <c r="P212" s="39">
        <v>25.867938068175473</v>
      </c>
      <c r="Q212" s="39">
        <v>28.256915291734625</v>
      </c>
      <c r="R212" s="44">
        <v>973.86065070426753</v>
      </c>
      <c r="T212" s="35">
        <v>954</v>
      </c>
      <c r="U212" s="44">
        <f t="shared" si="29"/>
        <v>19.860650704267528</v>
      </c>
      <c r="W212" s="44">
        <f t="shared" si="30"/>
        <v>1059.0723275988344</v>
      </c>
      <c r="X212" s="3">
        <v>376.37090280999524</v>
      </c>
      <c r="Y212" s="10">
        <f t="shared" si="31"/>
        <v>2.8139059626867327</v>
      </c>
    </row>
    <row r="213" spans="1:25" x14ac:dyDescent="0.2">
      <c r="A213" s="42" t="str">
        <f t="shared" si="28"/>
        <v>EMEA IG39994</v>
      </c>
      <c r="B213" s="1">
        <v>39994</v>
      </c>
      <c r="C213" s="34">
        <v>11</v>
      </c>
      <c r="D213" s="34">
        <v>11</v>
      </c>
      <c r="E213" s="37">
        <v>10</v>
      </c>
      <c r="F213" s="37">
        <v>141352.36437988281</v>
      </c>
      <c r="G213" s="37">
        <v>41227.884201049805</v>
      </c>
      <c r="H213" s="37">
        <v>100124.48017883301</v>
      </c>
      <c r="I213" s="37">
        <v>35952.315673828125</v>
      </c>
      <c r="J213" s="37">
        <v>88064.925201416016</v>
      </c>
      <c r="K213" s="37">
        <v>6091.7466201782227</v>
      </c>
      <c r="L213" s="38">
        <v>1.136939365471954</v>
      </c>
      <c r="M213" s="38">
        <v>1.6050926524560312</v>
      </c>
      <c r="N213" s="38">
        <v>14.32824115316968</v>
      </c>
      <c r="O213" s="39">
        <v>114.67379340758872</v>
      </c>
      <c r="P213" s="39">
        <v>29.166745375585197</v>
      </c>
      <c r="Q213" s="39">
        <v>25.434534350770889</v>
      </c>
      <c r="R213" s="44">
        <v>642.91966288450067</v>
      </c>
      <c r="T213" s="35">
        <v>595</v>
      </c>
      <c r="U213" s="44">
        <f t="shared" si="29"/>
        <v>47.919662884500667</v>
      </c>
      <c r="W213" s="44">
        <f t="shared" si="30"/>
        <v>565.48280621598394</v>
      </c>
      <c r="X213" s="3">
        <v>214.99974301240138</v>
      </c>
      <c r="Y213" s="10">
        <f t="shared" si="31"/>
        <v>2.6301557308529731</v>
      </c>
    </row>
    <row r="214" spans="1:25" x14ac:dyDescent="0.2">
      <c r="A214" s="42" t="str">
        <f t="shared" si="28"/>
        <v>EMEA IG40086</v>
      </c>
      <c r="B214" s="1">
        <v>40086</v>
      </c>
      <c r="C214" s="34">
        <v>10</v>
      </c>
      <c r="D214" s="34">
        <v>10</v>
      </c>
      <c r="E214" s="37">
        <v>9</v>
      </c>
      <c r="F214" s="37">
        <v>134443.611328125</v>
      </c>
      <c r="G214" s="37">
        <v>30528.121963500977</v>
      </c>
      <c r="H214" s="37">
        <v>103915.48936462402</v>
      </c>
      <c r="I214" s="37">
        <v>31821.556751251221</v>
      </c>
      <c r="J214" s="37">
        <v>76414.504203796387</v>
      </c>
      <c r="K214" s="37">
        <v>5604.2762756347656</v>
      </c>
      <c r="L214" s="38">
        <v>1.3598922148010397</v>
      </c>
      <c r="M214" s="38">
        <v>1.7593991183868158</v>
      </c>
      <c r="N214" s="38">
        <v>13.498730774471976</v>
      </c>
      <c r="O214" s="39">
        <v>95.935350373141674</v>
      </c>
      <c r="P214" s="39">
        <v>22.707008285424294</v>
      </c>
      <c r="Q214" s="39">
        <v>23.6690731801209</v>
      </c>
      <c r="R214" s="44">
        <v>406.32619429384772</v>
      </c>
      <c r="T214" s="35">
        <v>384</v>
      </c>
      <c r="U214" s="44">
        <f t="shared" si="29"/>
        <v>22.32619429384772</v>
      </c>
      <c r="W214" s="44">
        <f t="shared" si="30"/>
        <v>298.79294099297101</v>
      </c>
      <c r="X214" s="3">
        <v>150.78370507926257</v>
      </c>
      <c r="Y214" s="10">
        <f t="shared" si="31"/>
        <v>1.9815996750836193</v>
      </c>
    </row>
    <row r="215" spans="1:25" x14ac:dyDescent="0.2">
      <c r="A215" s="42" t="str">
        <f t="shared" si="28"/>
        <v>EMEA IG40178</v>
      </c>
      <c r="B215" s="1">
        <v>40178</v>
      </c>
      <c r="C215" s="34">
        <v>9</v>
      </c>
      <c r="D215" s="34">
        <v>9</v>
      </c>
      <c r="E215" s="37">
        <v>8</v>
      </c>
      <c r="F215" s="37">
        <v>128087.54724121094</v>
      </c>
      <c r="G215" s="37">
        <v>29962.618087768555</v>
      </c>
      <c r="H215" s="37">
        <v>98124.929153442383</v>
      </c>
      <c r="I215" s="37">
        <v>25066.428451538086</v>
      </c>
      <c r="J215" s="37">
        <v>77345.040588378906</v>
      </c>
      <c r="K215" s="37">
        <v>5292.9915084838867</v>
      </c>
      <c r="L215" s="38">
        <v>1.2686647832490201</v>
      </c>
      <c r="M215" s="38">
        <v>1.6560537853083253</v>
      </c>
      <c r="N215" s="38">
        <v>14.471622704032336</v>
      </c>
      <c r="O215" s="39">
        <v>119.53285704701196</v>
      </c>
      <c r="P215" s="39">
        <v>23.392295920339372</v>
      </c>
      <c r="Q215" s="39">
        <v>19.569762237958759</v>
      </c>
      <c r="R215" s="44">
        <v>351.74021793765922</v>
      </c>
      <c r="T215" s="35">
        <v>334</v>
      </c>
      <c r="U215" s="44">
        <f t="shared" si="29"/>
        <v>17.740217937659224</v>
      </c>
      <c r="W215" s="44">
        <f t="shared" si="30"/>
        <v>277.25229121349213</v>
      </c>
      <c r="X215" s="3">
        <v>124.9338562658512</v>
      </c>
      <c r="Y215" s="10">
        <f t="shared" si="31"/>
        <v>2.2191926151988546</v>
      </c>
    </row>
    <row r="216" spans="1:25" x14ac:dyDescent="0.2">
      <c r="A216" s="42" t="str">
        <f t="shared" si="28"/>
        <v>EMEA IG40268</v>
      </c>
      <c r="B216" s="1">
        <v>40268</v>
      </c>
      <c r="C216" s="34">
        <v>10</v>
      </c>
      <c r="D216" s="34">
        <v>10</v>
      </c>
      <c r="E216" s="37">
        <v>9</v>
      </c>
      <c r="F216" s="37">
        <v>121755.19720458984</v>
      </c>
      <c r="G216" s="37">
        <v>37076.98876953125</v>
      </c>
      <c r="H216" s="37">
        <v>84678.208435058594</v>
      </c>
      <c r="I216" s="37">
        <v>20505.55867767334</v>
      </c>
      <c r="J216" s="37">
        <v>87451.984268188477</v>
      </c>
      <c r="K216" s="37">
        <v>5552.7886848449707</v>
      </c>
      <c r="L216" s="38">
        <v>0.96828229963743806</v>
      </c>
      <c r="M216" s="38">
        <v>1.3922519680194323</v>
      </c>
      <c r="N216" s="38">
        <v>15.589507392185341</v>
      </c>
      <c r="O216" s="39">
        <v>180.81433113988282</v>
      </c>
      <c r="P216" s="39">
        <v>30.45207894265851</v>
      </c>
      <c r="Q216" s="39">
        <v>16.84162906263219</v>
      </c>
      <c r="R216" s="44">
        <v>277.97093787324093</v>
      </c>
      <c r="T216" s="35">
        <v>258</v>
      </c>
      <c r="U216" s="44">
        <f t="shared" si="29"/>
        <v>19.970937873240928</v>
      </c>
      <c r="W216" s="44">
        <f t="shared" si="30"/>
        <v>287.07633918055086</v>
      </c>
      <c r="X216" s="3">
        <v>106.42294796763866</v>
      </c>
      <c r="Y216" s="10">
        <f t="shared" si="31"/>
        <v>2.6975041066128491</v>
      </c>
    </row>
    <row r="217" spans="1:25" x14ac:dyDescent="0.2">
      <c r="A217" s="42" t="str">
        <f t="shared" si="28"/>
        <v>EMEA IG40359</v>
      </c>
      <c r="B217" s="1">
        <v>40359</v>
      </c>
      <c r="C217" s="34">
        <v>10</v>
      </c>
      <c r="D217" s="34">
        <v>10</v>
      </c>
      <c r="E217" s="37">
        <v>9</v>
      </c>
      <c r="F217" s="37">
        <v>114340.47418212891</v>
      </c>
      <c r="G217" s="37">
        <v>34418.879241943359</v>
      </c>
      <c r="H217" s="37">
        <v>79921.594940185547</v>
      </c>
      <c r="I217" s="37">
        <v>20069.193809509277</v>
      </c>
      <c r="J217" s="37">
        <v>90697.780120849609</v>
      </c>
      <c r="K217" s="37">
        <v>5166.1752738952637</v>
      </c>
      <c r="L217" s="38">
        <v>0.88118578904240641</v>
      </c>
      <c r="M217" s="38">
        <v>1.2606755537983041</v>
      </c>
      <c r="N217" s="38">
        <v>17.357358649266871</v>
      </c>
      <c r="O217" s="39">
        <v>171.50105564098368</v>
      </c>
      <c r="P217" s="39">
        <v>30.102095944712232</v>
      </c>
      <c r="Q217" s="39">
        <v>17.552134493986589</v>
      </c>
      <c r="R217" s="44">
        <v>385.15421046181586</v>
      </c>
      <c r="T217" s="35">
        <v>354</v>
      </c>
      <c r="U217" s="44">
        <f t="shared" si="29"/>
        <v>31.154210461815865</v>
      </c>
      <c r="W217" s="44">
        <f t="shared" si="30"/>
        <v>437.08627085369466</v>
      </c>
      <c r="X217" s="3">
        <v>121.74346129230921</v>
      </c>
      <c r="Y217" s="10">
        <f t="shared" si="31"/>
        <v>3.5902237887276689</v>
      </c>
    </row>
    <row r="218" spans="1:25" x14ac:dyDescent="0.2">
      <c r="A218" s="42" t="str">
        <f t="shared" si="28"/>
        <v>EMEA IG40451</v>
      </c>
      <c r="B218" s="1">
        <v>40451</v>
      </c>
      <c r="C218" s="34">
        <v>10</v>
      </c>
      <c r="D218" s="34">
        <v>10</v>
      </c>
      <c r="E218" s="37">
        <v>8</v>
      </c>
      <c r="F218" s="37">
        <v>106547.94683837891</v>
      </c>
      <c r="G218" s="37">
        <v>32813.131225585937</v>
      </c>
      <c r="H218" s="37">
        <v>73734.815612792969</v>
      </c>
      <c r="I218" s="37">
        <v>18373.136650085449</v>
      </c>
      <c r="J218" s="37">
        <v>95545.0087890625</v>
      </c>
      <c r="K218" s="37">
        <v>3824.1568717956543</v>
      </c>
      <c r="L218" s="38">
        <v>0.77172859731039922</v>
      </c>
      <c r="M218" s="38">
        <v>1.1151597366389689</v>
      </c>
      <c r="N218" s="38">
        <v>21.555246025565967</v>
      </c>
      <c r="O218" s="39">
        <v>178.59297435439981</v>
      </c>
      <c r="P218" s="39">
        <v>30.796587075825794</v>
      </c>
      <c r="Q218" s="39">
        <v>17.24400816278084</v>
      </c>
      <c r="R218" s="44">
        <v>316.55542871275537</v>
      </c>
      <c r="T218" s="35">
        <v>295</v>
      </c>
      <c r="U218" s="44">
        <f t="shared" si="29"/>
        <v>21.555428712755372</v>
      </c>
      <c r="W218" s="44">
        <f t="shared" si="30"/>
        <v>410.19009767942123</v>
      </c>
      <c r="X218" s="3">
        <v>112.8669491979097</v>
      </c>
      <c r="Y218" s="10">
        <f t="shared" si="31"/>
        <v>3.6342800137191795</v>
      </c>
    </row>
    <row r="219" spans="1:25" x14ac:dyDescent="0.2">
      <c r="A219" s="42" t="str">
        <f t="shared" si="28"/>
        <v>EMEA IG40543</v>
      </c>
      <c r="B219" s="1">
        <v>40543</v>
      </c>
      <c r="C219" s="34">
        <v>11</v>
      </c>
      <c r="D219" s="34">
        <v>11</v>
      </c>
      <c r="E219" s="37">
        <v>9</v>
      </c>
      <c r="F219" s="37">
        <v>126102.35662841797</v>
      </c>
      <c r="G219" s="37">
        <v>44728.892700195313</v>
      </c>
      <c r="H219" s="37">
        <v>81373.463928222656</v>
      </c>
      <c r="I219" s="37">
        <v>19487.85262298584</v>
      </c>
      <c r="J219" s="37">
        <v>101678.53210449219</v>
      </c>
      <c r="K219" s="37">
        <v>4816.3693962097168</v>
      </c>
      <c r="L219" s="38">
        <v>0.80030132461587289</v>
      </c>
      <c r="M219" s="38">
        <v>1.2402063052879844</v>
      </c>
      <c r="N219" s="38">
        <v>18.382410958149794</v>
      </c>
      <c r="O219" s="39">
        <v>229.52191585971752</v>
      </c>
      <c r="P219" s="39">
        <v>35.470306738197287</v>
      </c>
      <c r="Q219" s="39">
        <v>15.453995582659974</v>
      </c>
      <c r="R219" s="44">
        <v>276.94691430735401</v>
      </c>
      <c r="T219" s="35">
        <v>261</v>
      </c>
      <c r="U219" s="44">
        <f t="shared" si="29"/>
        <v>15.946914307354007</v>
      </c>
      <c r="W219" s="44">
        <f t="shared" si="30"/>
        <v>346.05329991210806</v>
      </c>
      <c r="X219" s="3">
        <v>121.01309651215067</v>
      </c>
      <c r="Y219" s="10">
        <f t="shared" si="31"/>
        <v>2.8596351129430158</v>
      </c>
    </row>
    <row r="220" spans="1:25" x14ac:dyDescent="0.2">
      <c r="A220" s="42" t="str">
        <f t="shared" si="28"/>
        <v>EMEA IG40633</v>
      </c>
      <c r="B220" s="1">
        <v>40633</v>
      </c>
      <c r="C220" s="34">
        <v>10</v>
      </c>
      <c r="D220" s="34">
        <v>12</v>
      </c>
      <c r="E220" s="37">
        <v>8</v>
      </c>
      <c r="F220" s="37">
        <v>120902.41320800781</v>
      </c>
      <c r="G220" s="37">
        <v>42015.573516845703</v>
      </c>
      <c r="H220" s="37">
        <v>78886.839691162109</v>
      </c>
      <c r="I220" s="37">
        <v>19308.561706542969</v>
      </c>
      <c r="J220" s="37">
        <v>106759.90301513672</v>
      </c>
      <c r="K220" s="37">
        <v>4007.9307727813721</v>
      </c>
      <c r="L220" s="38">
        <v>0.73891824049313071</v>
      </c>
      <c r="M220" s="38">
        <v>1.1324702420427071</v>
      </c>
      <c r="N220" s="38">
        <v>23.668262550021481</v>
      </c>
      <c r="O220" s="39">
        <v>238.84059486367181</v>
      </c>
      <c r="P220" s="39">
        <v>34.299823348604939</v>
      </c>
      <c r="Q220" s="39">
        <v>14.360968816118962</v>
      </c>
      <c r="R220" s="44">
        <v>208.48700043253916</v>
      </c>
      <c r="T220" s="35">
        <v>221</v>
      </c>
      <c r="U220" s="44">
        <f t="shared" si="29"/>
        <v>-12.512999567460838</v>
      </c>
      <c r="W220" s="44">
        <f t="shared" si="30"/>
        <v>282.15164954298803</v>
      </c>
      <c r="X220" s="3">
        <v>107.30194647284836</v>
      </c>
      <c r="Y220" s="10">
        <f t="shared" si="31"/>
        <v>2.6295110090512996</v>
      </c>
    </row>
    <row r="221" spans="1:25" x14ac:dyDescent="0.2">
      <c r="A221" s="42" t="str">
        <f t="shared" si="28"/>
        <v>EMEA IG40724</v>
      </c>
      <c r="B221" s="1">
        <v>40724</v>
      </c>
      <c r="C221" s="34">
        <v>11</v>
      </c>
      <c r="D221" s="34">
        <v>12</v>
      </c>
      <c r="E221" s="37">
        <v>9</v>
      </c>
      <c r="F221" s="37">
        <v>132921.23706054687</v>
      </c>
      <c r="G221" s="37">
        <v>43574.508544921875</v>
      </c>
      <c r="H221" s="37">
        <v>89346.728515625</v>
      </c>
      <c r="I221" s="37">
        <v>20744.504943847656</v>
      </c>
      <c r="J221" s="37">
        <v>118986.07141113281</v>
      </c>
      <c r="K221" s="37">
        <v>4923.3749160766602</v>
      </c>
      <c r="L221" s="38">
        <v>0.75090073532140644</v>
      </c>
      <c r="M221" s="38">
        <v>1.1171159404134274</v>
      </c>
      <c r="N221" s="38">
        <v>21.773503674507229</v>
      </c>
      <c r="O221" s="39">
        <v>211.41051790267701</v>
      </c>
      <c r="P221" s="39">
        <v>32.793546983094117</v>
      </c>
      <c r="Q221" s="39">
        <v>15.511785935925218</v>
      </c>
      <c r="R221" s="44">
        <v>244.30589395386568</v>
      </c>
      <c r="T221" s="35">
        <v>237</v>
      </c>
      <c r="U221" s="44">
        <f t="shared" si="29"/>
        <v>7.3058939538656773</v>
      </c>
      <c r="W221" s="44">
        <f t="shared" si="30"/>
        <v>325.35045241272263</v>
      </c>
      <c r="X221" s="3">
        <v>120.45643531081808</v>
      </c>
      <c r="Y221" s="10">
        <f t="shared" si="31"/>
        <v>2.7009802471176334</v>
      </c>
    </row>
    <row r="222" spans="1:25" x14ac:dyDescent="0.2">
      <c r="A222" s="42" t="str">
        <f t="shared" si="28"/>
        <v>EMEA IG40816</v>
      </c>
      <c r="B222" s="1">
        <v>40816</v>
      </c>
      <c r="C222" s="34">
        <v>9</v>
      </c>
      <c r="D222" s="34">
        <v>11</v>
      </c>
      <c r="E222" s="37">
        <v>9</v>
      </c>
      <c r="F222" s="37">
        <v>103632.92260742187</v>
      </c>
      <c r="G222" s="37">
        <v>33134.501129150391</v>
      </c>
      <c r="H222" s="37">
        <v>70498.421478271484</v>
      </c>
      <c r="I222" s="37">
        <v>21989.701126098633</v>
      </c>
      <c r="J222" s="37">
        <v>114058.20092773438</v>
      </c>
      <c r="K222" s="37">
        <v>3888.8798065185547</v>
      </c>
      <c r="L222" s="38">
        <v>0.61809164886739065</v>
      </c>
      <c r="M222" s="38">
        <v>0.90859685462759665</v>
      </c>
      <c r="N222" s="38">
        <v>29.329320164781024</v>
      </c>
      <c r="O222" s="39">
        <v>170.38262609470348</v>
      </c>
      <c r="P222" s="39">
        <v>31.511175549175441</v>
      </c>
      <c r="Q222" s="39">
        <v>18.494359590197089</v>
      </c>
      <c r="R222" s="44">
        <v>462.34792516165788</v>
      </c>
      <c r="T222" s="35">
        <v>397</v>
      </c>
      <c r="U222" s="44">
        <f t="shared" si="29"/>
        <v>65.347925161657884</v>
      </c>
      <c r="W222" s="44">
        <f t="shared" si="30"/>
        <v>748.02486978893478</v>
      </c>
      <c r="X222" s="3">
        <v>192.22718757278759</v>
      </c>
      <c r="Y222" s="10">
        <f t="shared" si="31"/>
        <v>3.8913583413152324</v>
      </c>
    </row>
    <row r="223" spans="1:25" x14ac:dyDescent="0.2">
      <c r="A223" s="42" t="str">
        <f t="shared" si="28"/>
        <v>EMEA IG40908</v>
      </c>
      <c r="B223" s="1">
        <v>40908</v>
      </c>
      <c r="C223" s="34">
        <v>10</v>
      </c>
      <c r="D223" s="34">
        <v>10</v>
      </c>
      <c r="E223" s="37">
        <v>10</v>
      </c>
      <c r="F223" s="37">
        <v>120773.71936035156</v>
      </c>
      <c r="G223" s="37">
        <v>38073.06396484375</v>
      </c>
      <c r="H223" s="37">
        <v>82700.655395507813</v>
      </c>
      <c r="I223" s="37">
        <v>23658.400482177734</v>
      </c>
      <c r="J223" s="37">
        <v>121912.23376464844</v>
      </c>
      <c r="K223" s="37">
        <v>12710.458160400391</v>
      </c>
      <c r="L223" s="38">
        <v>0.67836223520570893</v>
      </c>
      <c r="M223" s="38">
        <v>0.99066119642680994</v>
      </c>
      <c r="N223" s="38">
        <v>9.5914901120140339</v>
      </c>
      <c r="O223" s="39">
        <v>160.92830955974736</v>
      </c>
      <c r="P223" s="39">
        <v>31.524295323923461</v>
      </c>
      <c r="Q223" s="39">
        <v>19.589030301855949</v>
      </c>
      <c r="R223" s="44">
        <v>425.24893277427856</v>
      </c>
      <c r="T223" s="35">
        <v>374</v>
      </c>
      <c r="U223" s="44">
        <f t="shared" si="29"/>
        <v>51.248932774278558</v>
      </c>
      <c r="W223" s="44">
        <f t="shared" si="30"/>
        <v>626.87589418258904</v>
      </c>
      <c r="X223" s="3">
        <v>194.86698227275534</v>
      </c>
      <c r="Y223" s="10">
        <f t="shared" si="31"/>
        <v>3.2169425875603226</v>
      </c>
    </row>
    <row r="224" spans="1:25" x14ac:dyDescent="0.2">
      <c r="A224" s="42" t="str">
        <f t="shared" si="28"/>
        <v>EMEA IG40999</v>
      </c>
      <c r="B224" s="1">
        <v>40999</v>
      </c>
      <c r="C224" s="34">
        <v>7</v>
      </c>
      <c r="D224" s="34">
        <v>8</v>
      </c>
      <c r="E224" s="37">
        <v>7</v>
      </c>
      <c r="F224" s="37">
        <v>101098.07666015625</v>
      </c>
      <c r="G224" s="37">
        <v>40884.412170410156</v>
      </c>
      <c r="H224" s="37">
        <v>60213.664489746094</v>
      </c>
      <c r="I224" s="37">
        <v>22267.655380249023</v>
      </c>
      <c r="J224" s="37">
        <v>110294.68493652344</v>
      </c>
      <c r="K224" s="37">
        <v>4017.8104858398437</v>
      </c>
      <c r="L224" s="38">
        <v>0.5459344167345882</v>
      </c>
      <c r="M224" s="38">
        <v>0.9166178471640769</v>
      </c>
      <c r="N224" s="38">
        <v>27.451440361669651</v>
      </c>
      <c r="O224" s="39">
        <v>184.63665137969946</v>
      </c>
      <c r="P224" s="39">
        <v>40.34636247017572</v>
      </c>
      <c r="Q224" s="39">
        <v>21.851762458150684</v>
      </c>
      <c r="R224" s="44">
        <v>291.74463706322234</v>
      </c>
      <c r="T224" s="35">
        <v>282</v>
      </c>
      <c r="U224" s="44">
        <f t="shared" si="29"/>
        <v>9.744637063222342</v>
      </c>
      <c r="W224" s="44">
        <f t="shared" si="30"/>
        <v>534.39502643603635</v>
      </c>
      <c r="X224" s="3">
        <v>140.73485509079555</v>
      </c>
      <c r="Y224" s="10">
        <f t="shared" si="31"/>
        <v>3.7971760875532197</v>
      </c>
    </row>
    <row r="225" spans="1:25" x14ac:dyDescent="0.2">
      <c r="A225" s="42" t="str">
        <f t="shared" si="28"/>
        <v>EMEA IG41090</v>
      </c>
      <c r="B225" s="1">
        <v>41090</v>
      </c>
      <c r="C225" s="34">
        <v>4</v>
      </c>
      <c r="D225" s="34">
        <v>4</v>
      </c>
      <c r="E225" s="37">
        <v>4</v>
      </c>
      <c r="F225" s="37">
        <v>41622.04638671875</v>
      </c>
      <c r="G225" s="37">
        <v>15283.534942626953</v>
      </c>
      <c r="H225" s="37">
        <v>26338.511444091797</v>
      </c>
      <c r="I225" s="37">
        <v>9265.88427734375</v>
      </c>
      <c r="J225" s="37">
        <v>33369.15234375</v>
      </c>
      <c r="K225" s="37">
        <v>2167.3592147827148</v>
      </c>
      <c r="L225" s="38">
        <v>0.78930717726262434</v>
      </c>
      <c r="M225" s="38">
        <v>1.2473210574230995</v>
      </c>
      <c r="N225" s="38">
        <v>15.396226022964713</v>
      </c>
      <c r="O225" s="39">
        <v>164.94415951208364</v>
      </c>
      <c r="P225" s="39">
        <v>36.71980661552432</v>
      </c>
      <c r="Q225" s="39">
        <v>22.261962305391155</v>
      </c>
      <c r="R225" s="44">
        <v>283.91044684100234</v>
      </c>
      <c r="T225" s="35">
        <v>292</v>
      </c>
      <c r="U225" s="44">
        <f t="shared" si="29"/>
        <v>-8.0895531589976599</v>
      </c>
      <c r="W225" s="44">
        <f t="shared" si="30"/>
        <v>359.6957623337783</v>
      </c>
      <c r="X225" s="3">
        <v>143.31110989301686</v>
      </c>
      <c r="Y225" s="10">
        <f t="shared" si="31"/>
        <v>2.5098944708633875</v>
      </c>
    </row>
    <row r="227" spans="1:25" x14ac:dyDescent="0.2">
      <c r="A227" s="12" t="s">
        <v>308</v>
      </c>
      <c r="B227" s="40" t="s">
        <v>0</v>
      </c>
      <c r="C227" s="41" t="s">
        <v>180</v>
      </c>
      <c r="D227" s="41" t="s">
        <v>178</v>
      </c>
      <c r="E227" s="41" t="s">
        <v>179</v>
      </c>
      <c r="F227" s="41" t="s">
        <v>2</v>
      </c>
      <c r="G227" s="41" t="s">
        <v>31</v>
      </c>
      <c r="H227" s="41" t="s">
        <v>41</v>
      </c>
      <c r="I227" s="41" t="s">
        <v>20</v>
      </c>
      <c r="J227" s="41" t="s">
        <v>3</v>
      </c>
      <c r="K227" s="41" t="s">
        <v>24</v>
      </c>
      <c r="L227" s="41" t="s">
        <v>5</v>
      </c>
      <c r="M227" s="41" t="s">
        <v>43</v>
      </c>
      <c r="N227" s="41" t="s">
        <v>6</v>
      </c>
      <c r="O227" s="41" t="s">
        <v>176</v>
      </c>
      <c r="P227" s="41" t="s">
        <v>21</v>
      </c>
      <c r="Q227" s="41" t="s">
        <v>177</v>
      </c>
      <c r="R227" s="83" t="s">
        <v>7</v>
      </c>
      <c r="T227" s="43" t="s">
        <v>324</v>
      </c>
      <c r="U227" s="43" t="s">
        <v>325</v>
      </c>
      <c r="W227" s="35" t="str">
        <f>A227&amp;" spread per turn of leverage"</f>
        <v>EMEA HY spread per turn of leverage</v>
      </c>
      <c r="X227" s="3" t="s">
        <v>27</v>
      </c>
      <c r="Y227" t="str">
        <f>A227&amp;" vs. US spread per turn of leverage ratio"</f>
        <v>EMEA HY vs. US spread per turn of leverage ratio</v>
      </c>
    </row>
    <row r="228" spans="1:25" x14ac:dyDescent="0.2">
      <c r="A228" s="42" t="str">
        <f>$A$227&amp;$B228</f>
        <v>EMEA HY38807</v>
      </c>
      <c r="B228" s="1">
        <v>38807</v>
      </c>
      <c r="C228" s="34">
        <v>13</v>
      </c>
      <c r="D228" s="34">
        <v>13</v>
      </c>
      <c r="E228" s="37">
        <v>12</v>
      </c>
      <c r="F228" s="37">
        <v>20926.727210998535</v>
      </c>
      <c r="G228" s="37">
        <v>5240.9143478870392</v>
      </c>
      <c r="H228" s="37">
        <v>15685.812863111496</v>
      </c>
      <c r="I228" s="37">
        <v>6457.6963129043579</v>
      </c>
      <c r="J228" s="37">
        <v>20111.670700073242</v>
      </c>
      <c r="K228" s="37">
        <v>1473.3803689479828</v>
      </c>
      <c r="L228" s="38">
        <v>0.77993584406960148</v>
      </c>
      <c r="M228" s="38">
        <v>1.0405265441683234</v>
      </c>
      <c r="N228" s="38">
        <v>12.947781942980104</v>
      </c>
      <c r="O228" s="39">
        <v>81.157646534324726</v>
      </c>
      <c r="P228" s="39">
        <v>25.044118437844183</v>
      </c>
      <c r="Q228" s="39">
        <v>30.858606067700656</v>
      </c>
      <c r="R228" s="44">
        <v>237.91560079089601</v>
      </c>
      <c r="T228" s="35">
        <v>227</v>
      </c>
      <c r="U228" s="44">
        <f>R228-T228</f>
        <v>10.915600790896008</v>
      </c>
      <c r="W228" s="44">
        <f>R228/L228</f>
        <v>305.04509133659514</v>
      </c>
      <c r="X228" s="3">
        <v>111.26280390871405</v>
      </c>
      <c r="Y228" s="10">
        <f>W228/X228</f>
        <v>2.7416628075171503</v>
      </c>
    </row>
    <row r="229" spans="1:25" x14ac:dyDescent="0.2">
      <c r="A229" s="42" t="str">
        <f t="shared" ref="A229:A253" si="32">$A$227&amp;$B229</f>
        <v>EMEA HY38898</v>
      </c>
      <c r="B229" s="1">
        <v>38898</v>
      </c>
      <c r="C229" s="34">
        <v>13</v>
      </c>
      <c r="D229" s="34">
        <v>13</v>
      </c>
      <c r="E229" s="37">
        <v>12</v>
      </c>
      <c r="F229" s="37">
        <v>21443.61173248291</v>
      </c>
      <c r="G229" s="37">
        <v>5864.5147659778595</v>
      </c>
      <c r="H229" s="37">
        <v>15579.096966505051</v>
      </c>
      <c r="I229" s="37">
        <v>6155.7772455215454</v>
      </c>
      <c r="J229" s="37">
        <v>20421.62174987793</v>
      </c>
      <c r="K229" s="37">
        <v>1500.2953774929047</v>
      </c>
      <c r="L229" s="38">
        <v>0.76287266297047029</v>
      </c>
      <c r="M229" s="38">
        <v>1.0500445065099244</v>
      </c>
      <c r="N229" s="38">
        <v>12.922094593404443</v>
      </c>
      <c r="O229" s="39">
        <v>95.268469473037129</v>
      </c>
      <c r="P229" s="39">
        <v>27.348540157972817</v>
      </c>
      <c r="Q229" s="39">
        <v>28.706811717714221</v>
      </c>
      <c r="R229" s="44">
        <v>303.26211854567873</v>
      </c>
      <c r="T229" s="35">
        <v>294</v>
      </c>
      <c r="U229" s="44">
        <f t="shared" ref="U229:U253" si="33">R229-T229</f>
        <v>9.2621185456787316</v>
      </c>
      <c r="W229" s="44">
        <f t="shared" ref="W229:W253" si="34">R229/L229</f>
        <v>397.52652476081397</v>
      </c>
      <c r="X229" s="3">
        <v>115.35026520347849</v>
      </c>
      <c r="Y229" s="10">
        <f t="shared" ref="Y229:Y253" si="35">W229/X229</f>
        <v>3.4462558370331879</v>
      </c>
    </row>
    <row r="230" spans="1:25" x14ac:dyDescent="0.2">
      <c r="A230" s="42" t="str">
        <f t="shared" si="32"/>
        <v>EMEA HY38990</v>
      </c>
      <c r="B230" s="1">
        <v>38990</v>
      </c>
      <c r="C230" s="34">
        <v>12</v>
      </c>
      <c r="D230" s="34">
        <v>12</v>
      </c>
      <c r="E230" s="37">
        <v>11</v>
      </c>
      <c r="F230" s="37">
        <v>18245.698417663574</v>
      </c>
      <c r="G230" s="37">
        <v>3929.5313160419464</v>
      </c>
      <c r="H230" s="37">
        <v>14316.167101621628</v>
      </c>
      <c r="I230" s="37">
        <v>4736.8968114852905</v>
      </c>
      <c r="J230" s="37">
        <v>13999.236618041992</v>
      </c>
      <c r="K230" s="37">
        <v>1169.697794675827</v>
      </c>
      <c r="L230" s="38">
        <v>1.0226391261342909</v>
      </c>
      <c r="M230" s="38">
        <v>1.3033352400193601</v>
      </c>
      <c r="N230" s="38">
        <v>11.083695047717722</v>
      </c>
      <c r="O230" s="39">
        <v>82.955814163277324</v>
      </c>
      <c r="P230" s="39">
        <v>21.536754724816596</v>
      </c>
      <c r="Q230" s="39">
        <v>25.961718225592961</v>
      </c>
      <c r="R230" s="44">
        <v>287.88363425601614</v>
      </c>
      <c r="T230" s="35">
        <v>315</v>
      </c>
      <c r="U230" s="44">
        <f t="shared" si="33"/>
        <v>-27.116365743983863</v>
      </c>
      <c r="W230" s="44">
        <f t="shared" si="34"/>
        <v>281.51048292495301</v>
      </c>
      <c r="X230" s="3">
        <v>117.38668651492007</v>
      </c>
      <c r="Y230" s="10">
        <f t="shared" si="35"/>
        <v>2.3981465980741561</v>
      </c>
    </row>
    <row r="231" spans="1:25" x14ac:dyDescent="0.2">
      <c r="A231" s="42" t="str">
        <f t="shared" si="32"/>
        <v>EMEA HY39082</v>
      </c>
      <c r="B231" s="1">
        <v>39082</v>
      </c>
      <c r="C231" s="34">
        <v>12</v>
      </c>
      <c r="D231" s="34">
        <v>12</v>
      </c>
      <c r="E231" s="37">
        <v>11</v>
      </c>
      <c r="F231" s="37">
        <v>18449.713340759277</v>
      </c>
      <c r="G231" s="37">
        <v>3723.3400518894196</v>
      </c>
      <c r="H231" s="37">
        <v>14726.373288869858</v>
      </c>
      <c r="I231" s="37">
        <v>4771.6231927871704</v>
      </c>
      <c r="J231" s="37">
        <v>14633.270553588867</v>
      </c>
      <c r="K231" s="37">
        <v>1188.5266759395599</v>
      </c>
      <c r="L231" s="38">
        <v>1.0063624010053007</v>
      </c>
      <c r="M231" s="38">
        <v>1.2608058651819578</v>
      </c>
      <c r="N231" s="38">
        <v>11.441566996358446</v>
      </c>
      <c r="O231" s="39">
        <v>78.030890149030512</v>
      </c>
      <c r="P231" s="39">
        <v>20.181018442513047</v>
      </c>
      <c r="Q231" s="39">
        <v>25.862858162926884</v>
      </c>
      <c r="R231" s="44">
        <v>239.43455416925192</v>
      </c>
      <c r="T231" s="35">
        <v>299</v>
      </c>
      <c r="U231" s="44">
        <f t="shared" si="33"/>
        <v>-59.565445830748075</v>
      </c>
      <c r="W231" s="44">
        <f t="shared" si="34"/>
        <v>237.92080659022034</v>
      </c>
      <c r="X231" s="3">
        <v>98.791471085364662</v>
      </c>
      <c r="Y231" s="10">
        <f t="shared" si="35"/>
        <v>2.4083132276128927</v>
      </c>
    </row>
    <row r="232" spans="1:25" x14ac:dyDescent="0.2">
      <c r="A232" s="42" t="str">
        <f t="shared" si="32"/>
        <v>EMEA HY39172</v>
      </c>
      <c r="B232" s="1">
        <v>39172</v>
      </c>
      <c r="C232" s="34">
        <v>14</v>
      </c>
      <c r="D232" s="34">
        <v>14</v>
      </c>
      <c r="E232" s="37">
        <v>13</v>
      </c>
      <c r="F232" s="37">
        <v>25848.007760971785</v>
      </c>
      <c r="G232" s="37">
        <v>6176.3927798271179</v>
      </c>
      <c r="H232" s="37">
        <v>19671.614981144667</v>
      </c>
      <c r="I232" s="37">
        <v>10403.794105529785</v>
      </c>
      <c r="J232" s="37">
        <v>22769.983791351318</v>
      </c>
      <c r="K232" s="37">
        <v>1781.7597689628601</v>
      </c>
      <c r="L232" s="38">
        <v>0.86392749162239191</v>
      </c>
      <c r="M232" s="38">
        <v>1.13517901452304</v>
      </c>
      <c r="N232" s="38">
        <v>11.910289578111282</v>
      </c>
      <c r="O232" s="39">
        <v>59.366734070066464</v>
      </c>
      <c r="P232" s="39">
        <v>23.895043815148213</v>
      </c>
      <c r="Q232" s="39">
        <v>40.249887735017623</v>
      </c>
      <c r="R232" s="44">
        <v>237.46335990772403</v>
      </c>
      <c r="T232" s="35">
        <v>332</v>
      </c>
      <c r="U232" s="44">
        <f t="shared" si="33"/>
        <v>-94.536640092275974</v>
      </c>
      <c r="W232" s="44">
        <f t="shared" si="34"/>
        <v>274.86491888547891</v>
      </c>
      <c r="X232" s="3">
        <v>91.842279068506841</v>
      </c>
      <c r="Y232" s="10">
        <f t="shared" si="35"/>
        <v>2.9927928800683627</v>
      </c>
    </row>
    <row r="233" spans="1:25" x14ac:dyDescent="0.2">
      <c r="A233" s="42" t="str">
        <f t="shared" si="32"/>
        <v>EMEA HY39263</v>
      </c>
      <c r="B233" s="1">
        <v>39263</v>
      </c>
      <c r="C233" s="34">
        <v>14</v>
      </c>
      <c r="D233" s="34">
        <v>14</v>
      </c>
      <c r="E233" s="37">
        <v>13</v>
      </c>
      <c r="F233" s="37">
        <v>26662.652447506785</v>
      </c>
      <c r="G233" s="37">
        <v>6691.9612259864807</v>
      </c>
      <c r="H233" s="37">
        <v>19970.691221520305</v>
      </c>
      <c r="I233" s="37">
        <v>10392.590072631836</v>
      </c>
      <c r="J233" s="37">
        <v>23058.413722991943</v>
      </c>
      <c r="K233" s="37">
        <v>1794.462733745575</v>
      </c>
      <c r="L233" s="38">
        <v>0.8660912871732882</v>
      </c>
      <c r="M233" s="38">
        <v>1.1563090491745749</v>
      </c>
      <c r="N233" s="38">
        <v>11.986710191367319</v>
      </c>
      <c r="O233" s="39">
        <v>64.391659626884504</v>
      </c>
      <c r="P233" s="39">
        <v>25.098632775420825</v>
      </c>
      <c r="Q233" s="39">
        <v>38.978080268242941</v>
      </c>
      <c r="R233" s="44">
        <v>240.79659797908377</v>
      </c>
      <c r="T233" s="35">
        <v>326</v>
      </c>
      <c r="U233" s="44">
        <f t="shared" si="33"/>
        <v>-85.203402020916229</v>
      </c>
      <c r="W233" s="44">
        <f t="shared" si="34"/>
        <v>278.02681027422113</v>
      </c>
      <c r="X233" s="3">
        <v>97.985147116353176</v>
      </c>
      <c r="Y233" s="10">
        <f t="shared" si="35"/>
        <v>2.8374383103602034</v>
      </c>
    </row>
    <row r="234" spans="1:25" x14ac:dyDescent="0.2">
      <c r="A234" s="42" t="str">
        <f t="shared" si="32"/>
        <v>EMEA HY39355</v>
      </c>
      <c r="B234" s="1">
        <v>39355</v>
      </c>
      <c r="C234" s="34">
        <v>14</v>
      </c>
      <c r="D234" s="34">
        <v>14</v>
      </c>
      <c r="E234" s="37">
        <v>13</v>
      </c>
      <c r="F234" s="37">
        <v>29250.547424316406</v>
      </c>
      <c r="G234" s="37">
        <v>6631.841180562973</v>
      </c>
      <c r="H234" s="37">
        <v>22618.706243753433</v>
      </c>
      <c r="I234" s="37">
        <v>10269.603126525879</v>
      </c>
      <c r="J234" s="37">
        <v>23444.765789031982</v>
      </c>
      <c r="K234" s="37">
        <v>1798.2957243919373</v>
      </c>
      <c r="L234" s="38">
        <v>0.96476571560953706</v>
      </c>
      <c r="M234" s="38">
        <v>1.2476365806989851</v>
      </c>
      <c r="N234" s="38">
        <v>12.176004484501989</v>
      </c>
      <c r="O234" s="39">
        <v>64.577385307454122</v>
      </c>
      <c r="P234" s="39">
        <v>22.672536976350148</v>
      </c>
      <c r="Q234" s="39">
        <v>35.109097199283894</v>
      </c>
      <c r="R234" s="44">
        <v>373.93488070261571</v>
      </c>
      <c r="T234" s="35">
        <v>548</v>
      </c>
      <c r="U234" s="44">
        <f t="shared" si="33"/>
        <v>-174.06511929738429</v>
      </c>
      <c r="W234" s="44">
        <f t="shared" si="34"/>
        <v>387.59138581781423</v>
      </c>
      <c r="X234" s="3">
        <v>142.61715042021578</v>
      </c>
      <c r="Y234" s="10">
        <f t="shared" si="35"/>
        <v>2.7177053017522197</v>
      </c>
    </row>
    <row r="235" spans="1:25" x14ac:dyDescent="0.2">
      <c r="A235" s="42" t="str">
        <f t="shared" si="32"/>
        <v>EMEA HY39447</v>
      </c>
      <c r="B235" s="1">
        <v>39447</v>
      </c>
      <c r="C235" s="34">
        <v>14</v>
      </c>
      <c r="D235" s="34">
        <v>14</v>
      </c>
      <c r="E235" s="37">
        <v>12</v>
      </c>
      <c r="F235" s="37">
        <v>29744.149566650391</v>
      </c>
      <c r="G235" s="37">
        <v>6614.4482140541077</v>
      </c>
      <c r="H235" s="37">
        <v>23129.701352596283</v>
      </c>
      <c r="I235" s="37">
        <v>10411.472093582153</v>
      </c>
      <c r="J235" s="37">
        <v>23649.803630828857</v>
      </c>
      <c r="K235" s="37">
        <v>1732.7404608726501</v>
      </c>
      <c r="L235" s="38">
        <v>0.97800817772733672</v>
      </c>
      <c r="M235" s="38">
        <v>1.2576911855571269</v>
      </c>
      <c r="N235" s="38">
        <v>12.637096055841287</v>
      </c>
      <c r="O235" s="39">
        <v>63.53038412436787</v>
      </c>
      <c r="P235" s="39">
        <v>22.23781251244894</v>
      </c>
      <c r="Q235" s="39">
        <v>35.003428389345039</v>
      </c>
      <c r="R235" s="44">
        <v>475.16108140661532</v>
      </c>
      <c r="T235" s="35">
        <v>687</v>
      </c>
      <c r="U235" s="44">
        <f t="shared" si="33"/>
        <v>-211.83891859338468</v>
      </c>
      <c r="W235" s="44">
        <f t="shared" si="34"/>
        <v>485.84571400085736</v>
      </c>
      <c r="X235" s="3">
        <v>186.37349979334107</v>
      </c>
      <c r="Y235" s="10">
        <f t="shared" si="35"/>
        <v>2.6068390331221121</v>
      </c>
    </row>
    <row r="236" spans="1:25" x14ac:dyDescent="0.2">
      <c r="A236" s="42" t="str">
        <f t="shared" si="32"/>
        <v>EMEA HY39538</v>
      </c>
      <c r="B236" s="1">
        <v>39538</v>
      </c>
      <c r="C236" s="34">
        <v>16</v>
      </c>
      <c r="D236" s="34">
        <v>16</v>
      </c>
      <c r="E236" s="37">
        <v>14</v>
      </c>
      <c r="F236" s="37">
        <v>48484.086486816406</v>
      </c>
      <c r="G236" s="37">
        <v>7295.5560474395752</v>
      </c>
      <c r="H236" s="37">
        <v>41188.530439376831</v>
      </c>
      <c r="I236" s="37">
        <v>17352.04362487793</v>
      </c>
      <c r="J236" s="37">
        <v>29906.600234985352</v>
      </c>
      <c r="K236" s="37">
        <v>2289.8816595077515</v>
      </c>
      <c r="L236" s="38">
        <v>1.3772388073450639</v>
      </c>
      <c r="M236" s="38">
        <v>1.6211834881217535</v>
      </c>
      <c r="N236" s="38">
        <v>12.259725792694878</v>
      </c>
      <c r="O236" s="39">
        <v>42.044362065686656</v>
      </c>
      <c r="P236" s="39">
        <v>15.047320834689446</v>
      </c>
      <c r="Q236" s="39">
        <v>35.789152446125236</v>
      </c>
      <c r="R236" s="44">
        <v>582.15795690404934</v>
      </c>
      <c r="T236" s="35">
        <v>836</v>
      </c>
      <c r="U236" s="44">
        <f t="shared" si="33"/>
        <v>-253.84204309595066</v>
      </c>
      <c r="W236" s="44">
        <f t="shared" si="34"/>
        <v>422.69935598626438</v>
      </c>
      <c r="X236" s="3">
        <v>246.57150055453741</v>
      </c>
      <c r="Y236" s="10">
        <f t="shared" si="35"/>
        <v>1.7143074322685987</v>
      </c>
    </row>
    <row r="237" spans="1:25" x14ac:dyDescent="0.2">
      <c r="A237" s="42" t="str">
        <f t="shared" si="32"/>
        <v>EMEA HY39629</v>
      </c>
      <c r="B237" s="1">
        <v>39629</v>
      </c>
      <c r="C237" s="34">
        <v>16</v>
      </c>
      <c r="D237" s="34">
        <v>16</v>
      </c>
      <c r="E237" s="37">
        <v>14</v>
      </c>
      <c r="F237" s="37">
        <v>46798.478851318359</v>
      </c>
      <c r="G237" s="37">
        <v>8691.0072555541992</v>
      </c>
      <c r="H237" s="37">
        <v>38107.47159576416</v>
      </c>
      <c r="I237" s="37">
        <v>17654.846290588379</v>
      </c>
      <c r="J237" s="37">
        <v>31142.875869750977</v>
      </c>
      <c r="K237" s="37">
        <v>2378.9726324081421</v>
      </c>
      <c r="L237" s="38">
        <v>1.2236336732401096</v>
      </c>
      <c r="M237" s="38">
        <v>1.5027025457457397</v>
      </c>
      <c r="N237" s="38">
        <v>12.320274928250345</v>
      </c>
      <c r="O237" s="39">
        <v>49.22731760166775</v>
      </c>
      <c r="P237" s="39">
        <v>18.571131944621669</v>
      </c>
      <c r="Q237" s="39">
        <v>37.725256726140415</v>
      </c>
      <c r="R237" s="44">
        <v>526.8779360711186</v>
      </c>
      <c r="T237" s="35">
        <v>676</v>
      </c>
      <c r="U237" s="44">
        <f t="shared" si="33"/>
        <v>-149.1220639288814</v>
      </c>
      <c r="W237" s="44">
        <f t="shared" si="34"/>
        <v>430.5846983402941</v>
      </c>
      <c r="X237" s="3">
        <v>221.0995364177877</v>
      </c>
      <c r="Y237" s="10">
        <f t="shared" si="35"/>
        <v>1.9474699283252459</v>
      </c>
    </row>
    <row r="238" spans="1:25" x14ac:dyDescent="0.2">
      <c r="A238" s="42" t="str">
        <f t="shared" si="32"/>
        <v>EMEA HY39721</v>
      </c>
      <c r="B238" s="1">
        <v>39721</v>
      </c>
      <c r="C238" s="34">
        <v>16</v>
      </c>
      <c r="D238" s="34">
        <v>16</v>
      </c>
      <c r="E238" s="37">
        <v>14</v>
      </c>
      <c r="F238" s="37">
        <v>48651.440612792969</v>
      </c>
      <c r="G238" s="37">
        <v>7150.4217672348022</v>
      </c>
      <c r="H238" s="37">
        <v>41501.018845558167</v>
      </c>
      <c r="I238" s="37">
        <v>19167.560977935791</v>
      </c>
      <c r="J238" s="37">
        <v>33794.570114135742</v>
      </c>
      <c r="K238" s="37">
        <v>2764.4650096893311</v>
      </c>
      <c r="L238" s="38">
        <v>1.2280380755072524</v>
      </c>
      <c r="M238" s="38">
        <v>1.4396230059586652</v>
      </c>
      <c r="N238" s="38">
        <v>11.561474285409137</v>
      </c>
      <c r="O238" s="39">
        <v>37.304807718967545</v>
      </c>
      <c r="P238" s="39">
        <v>14.697245707775791</v>
      </c>
      <c r="Q238" s="39">
        <v>39.397725404447023</v>
      </c>
      <c r="R238" s="44">
        <v>1248.1934575579701</v>
      </c>
      <c r="T238" s="35">
        <v>1519</v>
      </c>
      <c r="U238" s="44">
        <f t="shared" si="33"/>
        <v>-270.80654244202992</v>
      </c>
      <c r="W238" s="44">
        <f t="shared" si="34"/>
        <v>1016.4126686726649</v>
      </c>
      <c r="X238" s="3">
        <v>300.40167246154607</v>
      </c>
      <c r="Y238" s="10">
        <f t="shared" si="35"/>
        <v>3.3835120169072104</v>
      </c>
    </row>
    <row r="239" spans="1:25" x14ac:dyDescent="0.2">
      <c r="A239" s="42" t="str">
        <f t="shared" si="32"/>
        <v>EMEA HY39813</v>
      </c>
      <c r="B239" s="1">
        <v>39813</v>
      </c>
      <c r="C239" s="34">
        <v>18</v>
      </c>
      <c r="D239" s="34">
        <v>18</v>
      </c>
      <c r="E239" s="37">
        <v>15</v>
      </c>
      <c r="F239" s="37">
        <v>56842.307874679565</v>
      </c>
      <c r="G239" s="37">
        <v>9200.6076563596725</v>
      </c>
      <c r="H239" s="37">
        <v>47641.700218319893</v>
      </c>
      <c r="I239" s="37">
        <v>20631.261233329773</v>
      </c>
      <c r="J239" s="37">
        <v>35792.301116943359</v>
      </c>
      <c r="K239" s="37">
        <v>3193.0007305145264</v>
      </c>
      <c r="L239" s="38">
        <v>1.3310599970273289</v>
      </c>
      <c r="M239" s="38">
        <v>1.5881154913443538</v>
      </c>
      <c r="N239" s="38">
        <v>10.606559732921362</v>
      </c>
      <c r="O239" s="39">
        <v>44.595468751547308</v>
      </c>
      <c r="P239" s="39">
        <v>16.186196515180708</v>
      </c>
      <c r="Q239" s="39">
        <v>36.295607980618215</v>
      </c>
      <c r="R239" s="44">
        <v>2276.3188242266451</v>
      </c>
      <c r="T239" s="35">
        <v>3140</v>
      </c>
      <c r="U239" s="44">
        <f t="shared" si="33"/>
        <v>-863.68117577335488</v>
      </c>
      <c r="W239" s="44">
        <f t="shared" si="34"/>
        <v>1710.1549361489137</v>
      </c>
      <c r="X239" s="3">
        <v>493.0778863135684</v>
      </c>
      <c r="Y239" s="10">
        <f t="shared" si="35"/>
        <v>3.4683261683760773</v>
      </c>
    </row>
    <row r="240" spans="1:25" x14ac:dyDescent="0.2">
      <c r="A240" s="42" t="str">
        <f t="shared" si="32"/>
        <v>EMEA HY39903</v>
      </c>
      <c r="B240" s="1">
        <v>39903</v>
      </c>
      <c r="C240" s="34">
        <v>19</v>
      </c>
      <c r="D240" s="34">
        <v>19</v>
      </c>
      <c r="E240" s="37">
        <v>18</v>
      </c>
      <c r="F240" s="37">
        <v>51559.410588264465</v>
      </c>
      <c r="G240" s="37">
        <v>8175.0345898866653</v>
      </c>
      <c r="H240" s="37">
        <v>43384.3759983778</v>
      </c>
      <c r="I240" s="37">
        <v>20038.455215454102</v>
      </c>
      <c r="J240" s="37">
        <v>25779.028654098511</v>
      </c>
      <c r="K240" s="37">
        <v>4212.5345153808594</v>
      </c>
      <c r="L240" s="38">
        <v>1.6829329211936883</v>
      </c>
      <c r="M240" s="38">
        <v>2.0000524953862926</v>
      </c>
      <c r="N240" s="38">
        <v>6.0989458868440947</v>
      </c>
      <c r="O240" s="39">
        <v>40.796730596188354</v>
      </c>
      <c r="P240" s="39">
        <v>15.855562537690066</v>
      </c>
      <c r="Q240" s="39">
        <v>38.86478721697236</v>
      </c>
      <c r="R240" s="44">
        <v>1851.8080001136839</v>
      </c>
      <c r="T240" s="35">
        <v>3001</v>
      </c>
      <c r="U240" s="44">
        <f t="shared" si="33"/>
        <v>-1149.1919998863161</v>
      </c>
      <c r="W240" s="44">
        <f t="shared" si="34"/>
        <v>1100.3456981518991</v>
      </c>
      <c r="X240" s="3">
        <v>422.71844170115287</v>
      </c>
      <c r="Y240" s="10">
        <f t="shared" si="35"/>
        <v>2.6030226969132446</v>
      </c>
    </row>
    <row r="241" spans="1:25" x14ac:dyDescent="0.2">
      <c r="A241" s="42" t="str">
        <f t="shared" si="32"/>
        <v>EMEA HY39994</v>
      </c>
      <c r="B241" s="1">
        <v>39994</v>
      </c>
      <c r="C241" s="34">
        <v>19</v>
      </c>
      <c r="D241" s="34">
        <v>19</v>
      </c>
      <c r="E241" s="37">
        <v>18</v>
      </c>
      <c r="F241" s="37">
        <v>56024.963136672974</v>
      </c>
      <c r="G241" s="37">
        <v>10990.011617064476</v>
      </c>
      <c r="H241" s="37">
        <v>45034.951519608498</v>
      </c>
      <c r="I241" s="37">
        <v>21586.351640701294</v>
      </c>
      <c r="J241" s="37">
        <v>23302.366125106812</v>
      </c>
      <c r="K241" s="37">
        <v>4263.1757011413574</v>
      </c>
      <c r="L241" s="38">
        <v>1.9326342774730594</v>
      </c>
      <c r="M241" s="38">
        <v>2.4042607019340259</v>
      </c>
      <c r="N241" s="38">
        <v>5.4467888977728691</v>
      </c>
      <c r="O241" s="39">
        <v>50.911853007817655</v>
      </c>
      <c r="P241" s="39">
        <v>19.616276391390617</v>
      </c>
      <c r="Q241" s="39">
        <v>38.529881024716353</v>
      </c>
      <c r="R241" s="44">
        <v>1115.2025591973184</v>
      </c>
      <c r="T241" s="35">
        <v>1663</v>
      </c>
      <c r="U241" s="44">
        <f t="shared" si="33"/>
        <v>-547.79744080268165</v>
      </c>
      <c r="W241" s="44">
        <f t="shared" si="34"/>
        <v>577.0375555252275</v>
      </c>
      <c r="X241" s="3">
        <v>270.26176523634632</v>
      </c>
      <c r="Y241" s="10">
        <f t="shared" si="35"/>
        <v>2.1351061442990393</v>
      </c>
    </row>
    <row r="242" spans="1:25" x14ac:dyDescent="0.2">
      <c r="A242" s="42" t="str">
        <f t="shared" si="32"/>
        <v>EMEA HY40086</v>
      </c>
      <c r="B242" s="1">
        <v>40086</v>
      </c>
      <c r="C242" s="34">
        <v>20</v>
      </c>
      <c r="D242" s="34">
        <v>19</v>
      </c>
      <c r="E242" s="37">
        <v>19</v>
      </c>
      <c r="F242" s="37">
        <v>69377.330574035645</v>
      </c>
      <c r="G242" s="37">
        <v>17343.514268517494</v>
      </c>
      <c r="H242" s="37">
        <v>52033.81630551815</v>
      </c>
      <c r="I242" s="37">
        <v>21667.921567440033</v>
      </c>
      <c r="J242" s="37">
        <v>20524.196620941162</v>
      </c>
      <c r="K242" s="37">
        <v>5075.2966151237488</v>
      </c>
      <c r="L242" s="38">
        <v>2.5352425367250295</v>
      </c>
      <c r="M242" s="38">
        <v>3.3802702174100623</v>
      </c>
      <c r="N242" s="38">
        <v>4.0288697722528752</v>
      </c>
      <c r="O242" s="39">
        <v>79.408351257708205</v>
      </c>
      <c r="P242" s="39">
        <v>24.92885297315614</v>
      </c>
      <c r="Q242" s="39">
        <v>31.393238341208207</v>
      </c>
      <c r="R242" s="44">
        <v>680.89548375645654</v>
      </c>
      <c r="T242" s="35">
        <v>1044</v>
      </c>
      <c r="U242" s="44">
        <f t="shared" si="33"/>
        <v>-363.10451624354346</v>
      </c>
      <c r="W242" s="44">
        <f t="shared" si="34"/>
        <v>268.57212826510175</v>
      </c>
      <c r="X242" s="3">
        <v>201.87308204679005</v>
      </c>
      <c r="Y242" s="10">
        <f t="shared" si="35"/>
        <v>1.3304008912037724</v>
      </c>
    </row>
    <row r="243" spans="1:25" x14ac:dyDescent="0.2">
      <c r="A243" s="42" t="str">
        <f t="shared" si="32"/>
        <v>EMEA HY40178</v>
      </c>
      <c r="B243" s="1">
        <v>40178</v>
      </c>
      <c r="C243" s="34">
        <v>21</v>
      </c>
      <c r="D243" s="34">
        <v>20</v>
      </c>
      <c r="E243" s="37">
        <v>20</v>
      </c>
      <c r="F243" s="37">
        <v>77683.000112533569</v>
      </c>
      <c r="G243" s="37">
        <v>17018.092996478081</v>
      </c>
      <c r="H243" s="37">
        <v>60664.907116055489</v>
      </c>
      <c r="I243" s="37">
        <v>23469.791972160339</v>
      </c>
      <c r="J243" s="37">
        <v>22164.752155303955</v>
      </c>
      <c r="K243" s="37">
        <v>5528.1319270133972</v>
      </c>
      <c r="L243" s="38">
        <v>2.7369991187354001</v>
      </c>
      <c r="M243" s="38">
        <v>3.50479895142632</v>
      </c>
      <c r="N243" s="38">
        <v>3.9965625840083319</v>
      </c>
      <c r="O243" s="39">
        <v>71.925298769166076</v>
      </c>
      <c r="P243" s="39">
        <v>21.830400687919031</v>
      </c>
      <c r="Q243" s="39">
        <v>30.351491146363628</v>
      </c>
      <c r="R243" s="44">
        <v>642.48552475921804</v>
      </c>
      <c r="T243" s="35">
        <v>967</v>
      </c>
      <c r="U243" s="44">
        <f t="shared" si="33"/>
        <v>-324.51447524078196</v>
      </c>
      <c r="W243" s="44">
        <f t="shared" si="34"/>
        <v>234.74085919913313</v>
      </c>
      <c r="X243" s="3">
        <v>170.33310948837416</v>
      </c>
      <c r="Y243" s="10">
        <f t="shared" si="35"/>
        <v>1.378128186024544</v>
      </c>
    </row>
    <row r="244" spans="1:25" x14ac:dyDescent="0.2">
      <c r="A244" s="42" t="str">
        <f t="shared" si="32"/>
        <v>EMEA HY40268</v>
      </c>
      <c r="B244" s="1">
        <v>40268</v>
      </c>
      <c r="C244" s="34">
        <v>22</v>
      </c>
      <c r="D244" s="34">
        <v>23</v>
      </c>
      <c r="E244" s="37">
        <v>21</v>
      </c>
      <c r="F244" s="37">
        <v>76075.173950195313</v>
      </c>
      <c r="G244" s="37">
        <v>15240.535533905029</v>
      </c>
      <c r="H244" s="37">
        <v>60834.638416290283</v>
      </c>
      <c r="I244" s="37">
        <v>23260.557590961456</v>
      </c>
      <c r="J244" s="37">
        <v>22535.389320373535</v>
      </c>
      <c r="K244" s="37">
        <v>5460.5217380523682</v>
      </c>
      <c r="L244" s="38">
        <v>2.699515750601726</v>
      </c>
      <c r="M244" s="38">
        <v>3.3758091714625116</v>
      </c>
      <c r="N244" s="38">
        <v>4.1121799085413189</v>
      </c>
      <c r="O244" s="39">
        <v>72.096898145254656</v>
      </c>
      <c r="P244" s="39">
        <v>20.272567782803264</v>
      </c>
      <c r="Q244" s="39">
        <v>28.11850204978283</v>
      </c>
      <c r="R244" s="44">
        <v>482.83084568752366</v>
      </c>
      <c r="T244" s="35">
        <v>704</v>
      </c>
      <c r="U244" s="44">
        <f t="shared" si="33"/>
        <v>-221.16915431247634</v>
      </c>
      <c r="W244" s="44">
        <f t="shared" si="34"/>
        <v>178.85831767416062</v>
      </c>
      <c r="X244" s="3">
        <v>167.10344187185635</v>
      </c>
      <c r="Y244" s="10">
        <f t="shared" si="35"/>
        <v>1.0703449053510132</v>
      </c>
    </row>
    <row r="245" spans="1:25" x14ac:dyDescent="0.2">
      <c r="A245" s="42" t="str">
        <f t="shared" si="32"/>
        <v>EMEA HY40359</v>
      </c>
      <c r="B245" s="1">
        <v>40359</v>
      </c>
      <c r="C245" s="34">
        <v>24</v>
      </c>
      <c r="D245" s="34">
        <v>24</v>
      </c>
      <c r="E245" s="37">
        <v>22</v>
      </c>
      <c r="F245" s="37">
        <v>88893.039001464844</v>
      </c>
      <c r="G245" s="37">
        <v>18856.957368850708</v>
      </c>
      <c r="H245" s="37">
        <v>70036.081632614136</v>
      </c>
      <c r="I245" s="37">
        <v>19621.61304473877</v>
      </c>
      <c r="J245" s="37">
        <v>30432.399208068848</v>
      </c>
      <c r="K245" s="37">
        <v>6201.3569526672363</v>
      </c>
      <c r="L245" s="38">
        <v>2.301365763302841</v>
      </c>
      <c r="M245" s="38">
        <v>2.9210000300566423</v>
      </c>
      <c r="N245" s="38">
        <v>4.6303209613176177</v>
      </c>
      <c r="O245" s="39">
        <v>96.102992785839831</v>
      </c>
      <c r="P245" s="39">
        <v>21.213086627109202</v>
      </c>
      <c r="Q245" s="39">
        <v>22.073284100924294</v>
      </c>
      <c r="R245" s="44">
        <v>628.04851869708648</v>
      </c>
      <c r="T245" s="35">
        <v>783</v>
      </c>
      <c r="U245" s="44">
        <f t="shared" si="33"/>
        <v>-154.95148130291352</v>
      </c>
      <c r="W245" s="44">
        <f t="shared" si="34"/>
        <v>272.90252106459292</v>
      </c>
      <c r="X245" s="3">
        <v>212.91215473640585</v>
      </c>
      <c r="Y245" s="10">
        <f t="shared" si="35"/>
        <v>1.2817611159985565</v>
      </c>
    </row>
    <row r="246" spans="1:25" x14ac:dyDescent="0.2">
      <c r="A246" s="42" t="str">
        <f t="shared" si="32"/>
        <v>EMEA HY40451</v>
      </c>
      <c r="B246" s="1">
        <v>40451</v>
      </c>
      <c r="C246" s="34">
        <v>25</v>
      </c>
      <c r="D246" s="34">
        <v>25</v>
      </c>
      <c r="E246" s="37">
        <v>23</v>
      </c>
      <c r="F246" s="37">
        <v>96404.981994628906</v>
      </c>
      <c r="G246" s="37">
        <v>21672.483308792114</v>
      </c>
      <c r="H246" s="37">
        <v>74732.498685836792</v>
      </c>
      <c r="I246" s="37">
        <v>21043.088321208954</v>
      </c>
      <c r="J246" s="37">
        <v>32104.41569519043</v>
      </c>
      <c r="K246" s="37">
        <v>6520.6616897583008</v>
      </c>
      <c r="L246" s="38">
        <v>2.3277950109845009</v>
      </c>
      <c r="M246" s="38">
        <v>3.0028573922643096</v>
      </c>
      <c r="N246" s="38">
        <v>4.6659683405774244</v>
      </c>
      <c r="O246" s="39">
        <v>102.99098201735345</v>
      </c>
      <c r="P246" s="39">
        <v>22.480667347668373</v>
      </c>
      <c r="Q246" s="39">
        <v>21.827801723339718</v>
      </c>
      <c r="R246" s="44">
        <v>541.73374640479472</v>
      </c>
      <c r="T246" s="35">
        <v>638</v>
      </c>
      <c r="U246" s="44">
        <f t="shared" si="33"/>
        <v>-96.266253595205285</v>
      </c>
      <c r="W246" s="44">
        <f t="shared" si="34"/>
        <v>232.72399152349661</v>
      </c>
      <c r="X246" s="3">
        <v>192.37675753560131</v>
      </c>
      <c r="Y246" s="10">
        <f t="shared" si="35"/>
        <v>1.209730294370039</v>
      </c>
    </row>
    <row r="247" spans="1:25" x14ac:dyDescent="0.2">
      <c r="A247" s="42" t="str">
        <f t="shared" si="32"/>
        <v>EMEA HY40543</v>
      </c>
      <c r="B247" s="1">
        <v>40543</v>
      </c>
      <c r="C247" s="34">
        <v>25</v>
      </c>
      <c r="D247" s="34">
        <v>25</v>
      </c>
      <c r="E247" s="37">
        <v>23</v>
      </c>
      <c r="F247" s="37">
        <v>85640.858154296875</v>
      </c>
      <c r="G247" s="37">
        <v>14484.375043869019</v>
      </c>
      <c r="H247" s="37">
        <v>71156.483110427856</v>
      </c>
      <c r="I247" s="37">
        <v>17169.003967761993</v>
      </c>
      <c r="J247" s="37">
        <v>29005.739692687988</v>
      </c>
      <c r="K247" s="37">
        <v>5615.5323143005371</v>
      </c>
      <c r="L247" s="38">
        <v>2.4531862956891111</v>
      </c>
      <c r="M247" s="38">
        <v>2.9525486700787686</v>
      </c>
      <c r="N247" s="38">
        <v>4.8731687247982931</v>
      </c>
      <c r="O247" s="39">
        <v>84.363513871079149</v>
      </c>
      <c r="P247" s="39">
        <v>16.912926091624282</v>
      </c>
      <c r="Q247" s="39">
        <v>20.047678570465806</v>
      </c>
      <c r="R247" s="44">
        <v>487.39740519632329</v>
      </c>
      <c r="T247" s="35">
        <v>598</v>
      </c>
      <c r="U247" s="44">
        <f t="shared" si="33"/>
        <v>-110.60259480367671</v>
      </c>
      <c r="W247" s="44">
        <f t="shared" si="34"/>
        <v>198.67932820789346</v>
      </c>
      <c r="X247" s="3">
        <v>159.69982112585555</v>
      </c>
      <c r="Y247" s="10">
        <f t="shared" si="35"/>
        <v>1.2440798418385146</v>
      </c>
    </row>
    <row r="248" spans="1:25" x14ac:dyDescent="0.2">
      <c r="A248" s="42" t="str">
        <f t="shared" si="32"/>
        <v>EMEA HY40633</v>
      </c>
      <c r="B248" s="1">
        <v>40633</v>
      </c>
      <c r="C248" s="34">
        <v>23</v>
      </c>
      <c r="D248" s="34">
        <v>26</v>
      </c>
      <c r="E248" s="37">
        <v>21</v>
      </c>
      <c r="F248" s="37">
        <v>81551.755310058594</v>
      </c>
      <c r="G248" s="37">
        <v>18415.816932678223</v>
      </c>
      <c r="H248" s="37">
        <v>63135.938377380371</v>
      </c>
      <c r="I248" s="37">
        <v>19014.393088817596</v>
      </c>
      <c r="J248" s="37">
        <v>31820.146270751953</v>
      </c>
      <c r="K248" s="37">
        <v>5102.6645555496216</v>
      </c>
      <c r="L248" s="38">
        <v>1.9841498477149642</v>
      </c>
      <c r="M248" s="38">
        <v>2.5628969337899719</v>
      </c>
      <c r="N248" s="38">
        <v>5.8890799233444167</v>
      </c>
      <c r="O248" s="39">
        <v>102.43117836923774</v>
      </c>
      <c r="P248" s="39">
        <v>20.91356198668942</v>
      </c>
      <c r="Q248" s="39">
        <v>20.417183829811535</v>
      </c>
      <c r="R248" s="44">
        <v>400.26832380174687</v>
      </c>
      <c r="T248" s="35">
        <v>496</v>
      </c>
      <c r="U248" s="44">
        <f t="shared" si="33"/>
        <v>-95.731676198253126</v>
      </c>
      <c r="W248" s="44">
        <f t="shared" si="34"/>
        <v>201.73291057765309</v>
      </c>
      <c r="X248" s="3">
        <v>141.00420250114303</v>
      </c>
      <c r="Y248" s="10">
        <f t="shared" si="35"/>
        <v>1.4306872206593826</v>
      </c>
    </row>
    <row r="249" spans="1:25" x14ac:dyDescent="0.2">
      <c r="A249" s="42" t="str">
        <f t="shared" si="32"/>
        <v>EMEA HY40724</v>
      </c>
      <c r="B249" s="1">
        <v>40724</v>
      </c>
      <c r="C249" s="34">
        <v>24</v>
      </c>
      <c r="D249" s="34">
        <v>27</v>
      </c>
      <c r="E249" s="37">
        <v>23</v>
      </c>
      <c r="F249" s="37">
        <v>78518.699432373047</v>
      </c>
      <c r="G249" s="37">
        <v>18483.354679107666</v>
      </c>
      <c r="H249" s="37">
        <v>60035.344753265381</v>
      </c>
      <c r="I249" s="37">
        <v>20079.691983222961</v>
      </c>
      <c r="J249" s="37">
        <v>29601.667182922363</v>
      </c>
      <c r="K249" s="37">
        <v>5093.1694192886353</v>
      </c>
      <c r="L249" s="38">
        <v>2.0281068759499008</v>
      </c>
      <c r="M249" s="38">
        <v>2.6525093653397884</v>
      </c>
      <c r="N249" s="38">
        <v>5.7069922039448358</v>
      </c>
      <c r="O249" s="39">
        <v>96.211902421975623</v>
      </c>
      <c r="P249" s="39">
        <v>21.441332977402784</v>
      </c>
      <c r="Q249" s="39">
        <v>22.285530623189711</v>
      </c>
      <c r="R249" s="44">
        <v>443.33469996874948</v>
      </c>
      <c r="T249" s="35">
        <v>551</v>
      </c>
      <c r="U249" s="44">
        <f t="shared" si="33"/>
        <v>-107.66530003125052</v>
      </c>
      <c r="W249" s="44">
        <f t="shared" si="34"/>
        <v>218.595334016165</v>
      </c>
      <c r="X249" s="3">
        <v>156.55976600385611</v>
      </c>
      <c r="Y249" s="10">
        <f t="shared" si="35"/>
        <v>1.3962420843857222</v>
      </c>
    </row>
    <row r="250" spans="1:25" x14ac:dyDescent="0.2">
      <c r="A250" s="42" t="str">
        <f t="shared" si="32"/>
        <v>EMEA HY40816</v>
      </c>
      <c r="B250" s="1">
        <v>40816</v>
      </c>
      <c r="C250" s="34">
        <v>23</v>
      </c>
      <c r="D250" s="34">
        <v>27</v>
      </c>
      <c r="E250" s="37">
        <v>20</v>
      </c>
      <c r="F250" s="37">
        <v>76713.232086181641</v>
      </c>
      <c r="G250" s="37">
        <v>17595.752410888672</v>
      </c>
      <c r="H250" s="37">
        <v>59117.479675292969</v>
      </c>
      <c r="I250" s="37">
        <v>20983.683915138245</v>
      </c>
      <c r="J250" s="37">
        <v>31885.657592773438</v>
      </c>
      <c r="K250" s="37">
        <v>4310.2726168632507</v>
      </c>
      <c r="L250" s="38">
        <v>1.8540461178599419</v>
      </c>
      <c r="M250" s="38">
        <v>2.4058852122770058</v>
      </c>
      <c r="N250" s="38">
        <v>6.5224766848703775</v>
      </c>
      <c r="O250" s="39">
        <v>91.699929662437384</v>
      </c>
      <c r="P250" s="39">
        <v>21.710890756712168</v>
      </c>
      <c r="Q250" s="39">
        <v>23.676016804629565</v>
      </c>
      <c r="R250" s="44">
        <v>779.14613109916172</v>
      </c>
      <c r="T250" s="35">
        <v>962</v>
      </c>
      <c r="U250" s="44">
        <f t="shared" si="33"/>
        <v>-182.85386890083828</v>
      </c>
      <c r="W250" s="44">
        <f t="shared" si="34"/>
        <v>420.240965741727</v>
      </c>
      <c r="X250" s="3">
        <v>248.56385952467795</v>
      </c>
      <c r="Y250" s="10">
        <f t="shared" si="35"/>
        <v>1.6906760562269294</v>
      </c>
    </row>
    <row r="251" spans="1:25" x14ac:dyDescent="0.2">
      <c r="A251" s="42" t="str">
        <f t="shared" si="32"/>
        <v>EMEA HY40908</v>
      </c>
      <c r="B251" s="1">
        <v>40908</v>
      </c>
      <c r="C251" s="34">
        <v>27</v>
      </c>
      <c r="D251" s="34">
        <v>27</v>
      </c>
      <c r="E251" s="37">
        <v>26</v>
      </c>
      <c r="F251" s="37">
        <v>82148.821556091309</v>
      </c>
      <c r="G251" s="37">
        <v>19492.50824546814</v>
      </c>
      <c r="H251" s="37">
        <v>62656.313310623169</v>
      </c>
      <c r="I251" s="37">
        <v>17662.517905235291</v>
      </c>
      <c r="J251" s="37">
        <v>36867.534763336182</v>
      </c>
      <c r="K251" s="37">
        <v>5739.419825553894</v>
      </c>
      <c r="L251" s="38">
        <v>1.6994983177701717</v>
      </c>
      <c r="M251" s="38">
        <v>2.2282157481759861</v>
      </c>
      <c r="N251" s="38">
        <v>6.3034637411780796</v>
      </c>
      <c r="O251" s="39">
        <v>110.36086898850603</v>
      </c>
      <c r="P251" s="39">
        <v>23.728287121147115</v>
      </c>
      <c r="Q251" s="39">
        <v>21.500634544313339</v>
      </c>
      <c r="R251" s="44">
        <v>752.85312291357161</v>
      </c>
      <c r="T251" s="35">
        <v>923</v>
      </c>
      <c r="U251" s="44">
        <f t="shared" si="33"/>
        <v>-170.14687708642839</v>
      </c>
      <c r="W251" s="44">
        <f t="shared" si="34"/>
        <v>442.98550639423593</v>
      </c>
      <c r="X251" s="3">
        <v>217.01297040439434</v>
      </c>
      <c r="Y251" s="10">
        <f t="shared" si="35"/>
        <v>2.0412858529550171</v>
      </c>
    </row>
    <row r="252" spans="1:25" x14ac:dyDescent="0.2">
      <c r="A252" s="42" t="str">
        <f t="shared" si="32"/>
        <v>EMEA HY40999</v>
      </c>
      <c r="B252" s="1">
        <v>40999</v>
      </c>
      <c r="C252" s="34">
        <v>17</v>
      </c>
      <c r="D252" s="34">
        <v>17</v>
      </c>
      <c r="E252" s="37">
        <v>15</v>
      </c>
      <c r="F252" s="37">
        <v>49806.115814208984</v>
      </c>
      <c r="G252" s="37">
        <v>10526.40209197998</v>
      </c>
      <c r="H252" s="37">
        <v>39279.713722229004</v>
      </c>
      <c r="I252" s="37">
        <v>11795.708516597748</v>
      </c>
      <c r="J252" s="37">
        <v>18419.261901855469</v>
      </c>
      <c r="K252" s="37">
        <v>2817.6395101547241</v>
      </c>
      <c r="L252" s="38">
        <v>2.1325346222625865</v>
      </c>
      <c r="M252" s="38">
        <v>2.7040234337072842</v>
      </c>
      <c r="N252" s="38">
        <v>5.9118009431446117</v>
      </c>
      <c r="O252" s="39">
        <v>89.2392523702012</v>
      </c>
      <c r="P252" s="39">
        <v>21.134758091248194</v>
      </c>
      <c r="Q252" s="39">
        <v>23.683253198460815</v>
      </c>
      <c r="R252" s="44">
        <v>620.75575269806052</v>
      </c>
      <c r="T252" s="35">
        <v>692</v>
      </c>
      <c r="U252" s="44">
        <f t="shared" si="33"/>
        <v>-71.244247301939481</v>
      </c>
      <c r="W252" s="44">
        <f t="shared" si="34"/>
        <v>291.08824129638197</v>
      </c>
      <c r="X252" s="3">
        <v>171.6946323292874</v>
      </c>
      <c r="Y252" s="10">
        <f t="shared" si="35"/>
        <v>1.6953834685880775</v>
      </c>
    </row>
    <row r="253" spans="1:25" x14ac:dyDescent="0.2">
      <c r="A253" s="42" t="str">
        <f t="shared" si="32"/>
        <v>EMEA HY41090</v>
      </c>
      <c r="B253" s="1">
        <v>41090</v>
      </c>
      <c r="C253" s="34">
        <v>13</v>
      </c>
      <c r="D253" s="34">
        <v>13</v>
      </c>
      <c r="E253" s="37">
        <v>11</v>
      </c>
      <c r="F253" s="37">
        <v>37340.285316467285</v>
      </c>
      <c r="G253" s="37">
        <v>8116.5491933822632</v>
      </c>
      <c r="H253" s="37">
        <v>29223.736123085022</v>
      </c>
      <c r="I253" s="37">
        <v>9199.8638381958008</v>
      </c>
      <c r="J253" s="37">
        <v>17334.520542144775</v>
      </c>
      <c r="K253" s="37">
        <v>2133.1199035644531</v>
      </c>
      <c r="L253" s="38">
        <v>1.6858693063955499</v>
      </c>
      <c r="M253" s="38">
        <v>2.1540996894424187</v>
      </c>
      <c r="N253" s="38">
        <v>7.3191757822136241</v>
      </c>
      <c r="O253" s="39">
        <v>88.224666539999703</v>
      </c>
      <c r="P253" s="39">
        <v>21.736709092050823</v>
      </c>
      <c r="Q253" s="39">
        <v>24.637904505080488</v>
      </c>
      <c r="R253" s="44">
        <v>632.58477995349313</v>
      </c>
      <c r="T253" s="35">
        <v>753</v>
      </c>
      <c r="U253" s="44">
        <f t="shared" si="33"/>
        <v>-120.41522004650687</v>
      </c>
      <c r="W253" s="44">
        <f t="shared" si="34"/>
        <v>375.2276511314999</v>
      </c>
      <c r="X253" s="3">
        <v>181.40182273444293</v>
      </c>
      <c r="Y253" s="10">
        <f t="shared" si="35"/>
        <v>2.0684888689393257</v>
      </c>
    </row>
    <row r="255" spans="1:25" x14ac:dyDescent="0.2">
      <c r="A255" s="12" t="s">
        <v>44</v>
      </c>
      <c r="B255" s="40" t="s">
        <v>0</v>
      </c>
      <c r="C255" s="41" t="s">
        <v>180</v>
      </c>
      <c r="D255" s="41" t="s">
        <v>178</v>
      </c>
      <c r="E255" s="41" t="s">
        <v>179</v>
      </c>
      <c r="F255" s="41" t="s">
        <v>2</v>
      </c>
      <c r="G255" s="41" t="s">
        <v>31</v>
      </c>
      <c r="H255" s="41" t="s">
        <v>41</v>
      </c>
      <c r="I255" s="41" t="s">
        <v>20</v>
      </c>
      <c r="J255" s="41" t="s">
        <v>3</v>
      </c>
      <c r="K255" s="41" t="s">
        <v>24</v>
      </c>
      <c r="L255" s="41" t="s">
        <v>5</v>
      </c>
      <c r="M255" s="41" t="s">
        <v>43</v>
      </c>
      <c r="N255" s="41" t="s">
        <v>6</v>
      </c>
      <c r="O255" s="41" t="s">
        <v>176</v>
      </c>
      <c r="P255" s="41" t="s">
        <v>21</v>
      </c>
      <c r="Q255" s="41" t="s">
        <v>177</v>
      </c>
      <c r="R255" s="83" t="s">
        <v>7</v>
      </c>
      <c r="T255" s="43" t="s">
        <v>324</v>
      </c>
      <c r="U255" s="43" t="s">
        <v>325</v>
      </c>
      <c r="W255" s="35" t="str">
        <f>A255&amp;" spread per turn of leverage"</f>
        <v>Asia spread per turn of leverage</v>
      </c>
      <c r="X255" s="3" t="s">
        <v>25</v>
      </c>
      <c r="Y255" t="str">
        <f>A255&amp;" vs. US spread per turn of leverage ratio"</f>
        <v>Asia vs. US spread per turn of leverage ratio</v>
      </c>
    </row>
    <row r="256" spans="1:25" x14ac:dyDescent="0.2">
      <c r="A256" s="42" t="str">
        <f>$A$255&amp;$B256</f>
        <v>Asia38807</v>
      </c>
      <c r="B256" s="1">
        <v>38807</v>
      </c>
      <c r="C256" s="34">
        <v>44</v>
      </c>
      <c r="D256" s="34">
        <v>44</v>
      </c>
      <c r="E256" s="37">
        <v>42</v>
      </c>
      <c r="F256" s="37">
        <v>58594.65465927124</v>
      </c>
      <c r="G256" s="37">
        <v>14602.794533193111</v>
      </c>
      <c r="H256" s="37">
        <v>43991.860126078129</v>
      </c>
      <c r="I256" s="37">
        <v>9354.9777526436374</v>
      </c>
      <c r="J256" s="37">
        <v>33298.995000839233</v>
      </c>
      <c r="K256" s="37">
        <v>3110.6048110798001</v>
      </c>
      <c r="L256" s="38">
        <v>1.3211167521713314</v>
      </c>
      <c r="M256" s="38">
        <v>1.7596523455976518</v>
      </c>
      <c r="N256" s="38">
        <v>10.698586410997292</v>
      </c>
      <c r="O256" s="39">
        <v>156.09651801754939</v>
      </c>
      <c r="P256" s="39">
        <v>24.921717890665235</v>
      </c>
      <c r="Q256" s="39">
        <v>15.965582196947773</v>
      </c>
      <c r="R256" s="44">
        <v>139.40948568665189</v>
      </c>
      <c r="T256" s="35">
        <v>122</v>
      </c>
      <c r="U256" s="44">
        <f>R256-T256</f>
        <v>17.409485686651891</v>
      </c>
      <c r="W256" s="44">
        <f>R256/L256</f>
        <v>105.52397088109312</v>
      </c>
      <c r="X256" s="3">
        <v>74.649498492262481</v>
      </c>
      <c r="Y256" s="10">
        <f>W256/X256</f>
        <v>1.4135924957624575</v>
      </c>
    </row>
    <row r="257" spans="1:25" x14ac:dyDescent="0.2">
      <c r="A257" s="42" t="str">
        <f t="shared" ref="A257:A281" si="36">$A$255&amp;$B257</f>
        <v>Asia38898</v>
      </c>
      <c r="B257" s="1">
        <v>38898</v>
      </c>
      <c r="C257" s="34">
        <v>44</v>
      </c>
      <c r="D257" s="34">
        <v>44</v>
      </c>
      <c r="E257" s="37">
        <v>42</v>
      </c>
      <c r="F257" s="37">
        <v>59438.717514038086</v>
      </c>
      <c r="G257" s="37">
        <v>13935.838093221188</v>
      </c>
      <c r="H257" s="37">
        <v>45502.879420816898</v>
      </c>
      <c r="I257" s="37">
        <v>8643.0659331856295</v>
      </c>
      <c r="J257" s="37">
        <v>33312.625783920288</v>
      </c>
      <c r="K257" s="37">
        <v>3256.6195658519864</v>
      </c>
      <c r="L257" s="38">
        <v>1.3659349375809557</v>
      </c>
      <c r="M257" s="38">
        <v>1.7842699611727586</v>
      </c>
      <c r="N257" s="38">
        <v>10.223086999163279</v>
      </c>
      <c r="O257" s="39">
        <v>161.23720680775563</v>
      </c>
      <c r="P257" s="39">
        <v>23.445724733091449</v>
      </c>
      <c r="Q257" s="39">
        <v>14.541137989971489</v>
      </c>
      <c r="R257" s="44">
        <v>165.37839695876011</v>
      </c>
      <c r="T257" s="35">
        <v>137</v>
      </c>
      <c r="U257" s="44">
        <f t="shared" ref="U257:U281" si="37">R257-T257</f>
        <v>28.378396958760106</v>
      </c>
      <c r="W257" s="44">
        <f t="shared" ref="W257:W281" si="38">R257/L257</f>
        <v>121.07340723829938</v>
      </c>
      <c r="X257" s="3">
        <v>79.101138779969233</v>
      </c>
      <c r="Y257" s="10">
        <f t="shared" ref="Y257:Y281" si="39">W257/X257</f>
        <v>1.5306152238222741</v>
      </c>
    </row>
    <row r="258" spans="1:25" x14ac:dyDescent="0.2">
      <c r="A258" s="42" t="str">
        <f t="shared" si="36"/>
        <v>Asia38990</v>
      </c>
      <c r="B258" s="1">
        <v>38990</v>
      </c>
      <c r="C258" s="34">
        <v>44</v>
      </c>
      <c r="D258" s="34">
        <v>44</v>
      </c>
      <c r="E258" s="37">
        <v>42</v>
      </c>
      <c r="F258" s="37">
        <v>62288.889186859131</v>
      </c>
      <c r="G258" s="37">
        <v>15510.230432450771</v>
      </c>
      <c r="H258" s="37">
        <v>46778.65875440836</v>
      </c>
      <c r="I258" s="37">
        <v>9045.5735530434176</v>
      </c>
      <c r="J258" s="37">
        <v>33680.996632456779</v>
      </c>
      <c r="K258" s="37">
        <v>3418.9283856227994</v>
      </c>
      <c r="L258" s="38">
        <v>1.3888739476708354</v>
      </c>
      <c r="M258" s="38">
        <v>1.849377851450936</v>
      </c>
      <c r="N258" s="38">
        <v>9.845504847357871</v>
      </c>
      <c r="O258" s="39">
        <v>171.46762824378666</v>
      </c>
      <c r="P258" s="39">
        <v>24.90047685056954</v>
      </c>
      <c r="Q258" s="39">
        <v>14.521969601846314</v>
      </c>
      <c r="R258" s="44">
        <v>161.67646096791535</v>
      </c>
      <c r="T258" s="35">
        <v>135</v>
      </c>
      <c r="U258" s="44">
        <f t="shared" si="37"/>
        <v>26.676460967915347</v>
      </c>
      <c r="W258" s="44">
        <f t="shared" si="38"/>
        <v>116.40830417983537</v>
      </c>
      <c r="X258" s="3">
        <v>82.426664650883126</v>
      </c>
      <c r="Y258" s="10">
        <f t="shared" si="39"/>
        <v>1.4122651289225514</v>
      </c>
    </row>
    <row r="259" spans="1:25" x14ac:dyDescent="0.2">
      <c r="A259" s="42" t="str">
        <f t="shared" si="36"/>
        <v>Asia39082</v>
      </c>
      <c r="B259" s="1">
        <v>39082</v>
      </c>
      <c r="C259" s="34">
        <v>44</v>
      </c>
      <c r="D259" s="34">
        <v>44</v>
      </c>
      <c r="E259" s="37">
        <v>42</v>
      </c>
      <c r="F259" s="37">
        <v>62321.683837890625</v>
      </c>
      <c r="G259" s="37">
        <v>17577.340572535992</v>
      </c>
      <c r="H259" s="37">
        <v>44744.343265354633</v>
      </c>
      <c r="I259" s="37">
        <v>8488.5491765765473</v>
      </c>
      <c r="J259" s="37">
        <v>34850.58361518383</v>
      </c>
      <c r="K259" s="37">
        <v>3359.8958374336362</v>
      </c>
      <c r="L259" s="38">
        <v>1.2838907881548431</v>
      </c>
      <c r="M259" s="38">
        <v>1.7882536638708708</v>
      </c>
      <c r="N259" s="38">
        <v>10.366590115112077</v>
      </c>
      <c r="O259" s="39">
        <v>207.07119917546356</v>
      </c>
      <c r="P259" s="39">
        <v>28.204213188876064</v>
      </c>
      <c r="Q259" s="39">
        <v>13.620538878019916</v>
      </c>
      <c r="R259" s="44">
        <v>138.37056876390946</v>
      </c>
      <c r="T259" s="35">
        <v>123</v>
      </c>
      <c r="U259" s="44">
        <f t="shared" si="37"/>
        <v>15.370568763909461</v>
      </c>
      <c r="W259" s="44">
        <f t="shared" si="38"/>
        <v>107.77440732538486</v>
      </c>
      <c r="X259" s="3">
        <v>72.305867651615713</v>
      </c>
      <c r="Y259" s="10">
        <f t="shared" si="39"/>
        <v>1.4905347356408714</v>
      </c>
    </row>
    <row r="260" spans="1:25" x14ac:dyDescent="0.2">
      <c r="A260" s="42" t="str">
        <f t="shared" si="36"/>
        <v>Asia39172</v>
      </c>
      <c r="B260" s="1">
        <v>39172</v>
      </c>
      <c r="C260" s="34">
        <v>47</v>
      </c>
      <c r="D260" s="34">
        <v>45</v>
      </c>
      <c r="E260" s="37">
        <v>47</v>
      </c>
      <c r="F260" s="37">
        <v>80159.983657836914</v>
      </c>
      <c r="G260" s="37">
        <v>25299.171033382416</v>
      </c>
      <c r="H260" s="37">
        <v>54860.812624454498</v>
      </c>
      <c r="I260" s="37">
        <v>15514.602831018157</v>
      </c>
      <c r="J260" s="37">
        <v>40040.002153396606</v>
      </c>
      <c r="K260" s="37">
        <v>4205.2206739634275</v>
      </c>
      <c r="L260" s="38">
        <v>1.3701500917576908</v>
      </c>
      <c r="M260" s="38">
        <v>2.0019974861823755</v>
      </c>
      <c r="N260" s="38">
        <v>9.5214984557894411</v>
      </c>
      <c r="O260" s="39">
        <v>161.12614902702191</v>
      </c>
      <c r="P260" s="39">
        <v>31.406910409825134</v>
      </c>
      <c r="Q260" s="39">
        <v>19.492125020972225</v>
      </c>
      <c r="R260" s="44">
        <v>161.54867842231312</v>
      </c>
      <c r="T260" s="35">
        <v>121</v>
      </c>
      <c r="U260" s="44">
        <f t="shared" si="37"/>
        <v>40.548678422313117</v>
      </c>
      <c r="W260" s="44">
        <f t="shared" si="38"/>
        <v>117.90582608002539</v>
      </c>
      <c r="X260" s="3">
        <v>70.667489236998037</v>
      </c>
      <c r="Y260" s="10">
        <f t="shared" si="39"/>
        <v>1.6684592498341611</v>
      </c>
    </row>
    <row r="261" spans="1:25" x14ac:dyDescent="0.2">
      <c r="A261" s="42" t="str">
        <f t="shared" si="36"/>
        <v>Asia39263</v>
      </c>
      <c r="B261" s="1">
        <v>39263</v>
      </c>
      <c r="C261" s="34">
        <v>47</v>
      </c>
      <c r="D261" s="34">
        <v>45</v>
      </c>
      <c r="E261" s="37">
        <v>47</v>
      </c>
      <c r="F261" s="37">
        <v>82235.18125866726</v>
      </c>
      <c r="G261" s="37">
        <v>25333.204593658447</v>
      </c>
      <c r="H261" s="37">
        <v>56901.976665008813</v>
      </c>
      <c r="I261" s="37">
        <v>15667.132220749743</v>
      </c>
      <c r="J261" s="37">
        <v>40388.136293411255</v>
      </c>
      <c r="K261" s="37">
        <v>4212.7587408274412</v>
      </c>
      <c r="L261" s="38">
        <v>1.408878494705178</v>
      </c>
      <c r="M261" s="38">
        <v>2.0361222082951809</v>
      </c>
      <c r="N261" s="38">
        <v>9.587099280572259</v>
      </c>
      <c r="O261" s="39">
        <v>159.77471362359518</v>
      </c>
      <c r="P261" s="39">
        <v>30.650541638768715</v>
      </c>
      <c r="Q261" s="39">
        <v>19.183599797259976</v>
      </c>
      <c r="R261" s="44">
        <v>177.4540028364915</v>
      </c>
      <c r="T261" s="35">
        <v>132</v>
      </c>
      <c r="U261" s="44">
        <f t="shared" si="37"/>
        <v>45.454002836491497</v>
      </c>
      <c r="W261" s="44">
        <f t="shared" si="38"/>
        <v>125.95408582315363</v>
      </c>
      <c r="X261" s="3">
        <v>73.413395096249914</v>
      </c>
      <c r="Y261" s="10">
        <f t="shared" si="39"/>
        <v>1.7156826170213124</v>
      </c>
    </row>
    <row r="262" spans="1:25" x14ac:dyDescent="0.2">
      <c r="A262" s="42" t="str">
        <f t="shared" si="36"/>
        <v>Asia39355</v>
      </c>
      <c r="B262" s="1">
        <v>39355</v>
      </c>
      <c r="C262" s="34">
        <v>46</v>
      </c>
      <c r="D262" s="34">
        <v>43</v>
      </c>
      <c r="E262" s="37">
        <v>46</v>
      </c>
      <c r="F262" s="37">
        <v>82958.947109222412</v>
      </c>
      <c r="G262" s="37">
        <v>21045.38149356842</v>
      </c>
      <c r="H262" s="37">
        <v>61913.565615653992</v>
      </c>
      <c r="I262" s="37">
        <v>13613.297588785179</v>
      </c>
      <c r="J262" s="37">
        <v>41473.405500411987</v>
      </c>
      <c r="K262" s="37">
        <v>4239.4713787287474</v>
      </c>
      <c r="L262" s="38">
        <v>1.4928498122740115</v>
      </c>
      <c r="M262" s="38">
        <v>2.0002926238694894</v>
      </c>
      <c r="N262" s="38">
        <v>9.7826832157664541</v>
      </c>
      <c r="O262" s="39">
        <v>150.88776812887045</v>
      </c>
      <c r="P262" s="39">
        <v>25.003003364789645</v>
      </c>
      <c r="Q262" s="39">
        <v>16.570596592982305</v>
      </c>
      <c r="R262" s="44">
        <v>249.12553908380985</v>
      </c>
      <c r="T262" s="35">
        <v>189</v>
      </c>
      <c r="U262" s="44">
        <f t="shared" si="37"/>
        <v>60.125539083809855</v>
      </c>
      <c r="W262" s="44">
        <f t="shared" si="38"/>
        <v>166.87917098929375</v>
      </c>
      <c r="X262" s="3">
        <v>105.71931483046447</v>
      </c>
      <c r="Y262" s="10">
        <f t="shared" si="39"/>
        <v>1.5785116585073178</v>
      </c>
    </row>
    <row r="263" spans="1:25" x14ac:dyDescent="0.2">
      <c r="A263" s="42" t="str">
        <f t="shared" si="36"/>
        <v>Asia39447</v>
      </c>
      <c r="B263" s="1">
        <v>39447</v>
      </c>
      <c r="C263" s="34">
        <v>47</v>
      </c>
      <c r="D263" s="34">
        <v>43</v>
      </c>
      <c r="E263" s="37">
        <v>47</v>
      </c>
      <c r="F263" s="37">
        <v>85820.485103607178</v>
      </c>
      <c r="G263" s="37">
        <v>24901.661234855652</v>
      </c>
      <c r="H263" s="37">
        <v>60918.823868751526</v>
      </c>
      <c r="I263" s="37">
        <v>15587.384825468063</v>
      </c>
      <c r="J263" s="37">
        <v>40734.654211044312</v>
      </c>
      <c r="K263" s="37">
        <v>4306.7114196270704</v>
      </c>
      <c r="L263" s="38">
        <v>1.4955036454497439</v>
      </c>
      <c r="M263" s="38">
        <v>2.1068175676409409</v>
      </c>
      <c r="N263" s="38">
        <v>9.4584127521067192</v>
      </c>
      <c r="O263" s="39">
        <v>151.31821731577273</v>
      </c>
      <c r="P263" s="39">
        <v>27.938599528153528</v>
      </c>
      <c r="Q263" s="39">
        <v>18.463473878925569</v>
      </c>
      <c r="R263" s="44">
        <v>336.68051278822008</v>
      </c>
      <c r="T263" s="35">
        <v>258</v>
      </c>
      <c r="U263" s="44">
        <f t="shared" si="37"/>
        <v>78.680512788220085</v>
      </c>
      <c r="W263" s="44">
        <f t="shared" si="38"/>
        <v>225.12851360316805</v>
      </c>
      <c r="X263" s="3">
        <v>141.64643191733737</v>
      </c>
      <c r="Y263" s="10">
        <f t="shared" si="39"/>
        <v>1.5893694642061265</v>
      </c>
    </row>
    <row r="264" spans="1:25" x14ac:dyDescent="0.2">
      <c r="A264" s="42" t="str">
        <f t="shared" si="36"/>
        <v>Asia39538</v>
      </c>
      <c r="B264" s="1">
        <v>39538</v>
      </c>
      <c r="C264" s="34">
        <v>47</v>
      </c>
      <c r="D264" s="34">
        <v>46</v>
      </c>
      <c r="E264" s="37">
        <v>47</v>
      </c>
      <c r="F264" s="37">
        <v>93828.86491394043</v>
      </c>
      <c r="G264" s="37">
        <v>22836.455976419151</v>
      </c>
      <c r="H264" s="37">
        <v>70992.408937521279</v>
      </c>
      <c r="I264" s="37">
        <v>17013.148038029671</v>
      </c>
      <c r="J264" s="37">
        <v>42191.489539146423</v>
      </c>
      <c r="K264" s="37">
        <v>5182.052415907383</v>
      </c>
      <c r="L264" s="38">
        <v>1.682623906218162</v>
      </c>
      <c r="M264" s="38">
        <v>2.223881307316335</v>
      </c>
      <c r="N264" s="38">
        <v>8.1418492429043958</v>
      </c>
      <c r="O264" s="39">
        <v>129.39210260481821</v>
      </c>
      <c r="P264" s="39">
        <v>23.616521155612407</v>
      </c>
      <c r="Q264" s="39">
        <v>18.251903076141058</v>
      </c>
      <c r="R264" s="44">
        <v>524.6987383797134</v>
      </c>
      <c r="T264" s="35">
        <v>385</v>
      </c>
      <c r="U264" s="44">
        <f t="shared" si="37"/>
        <v>139.6987383797134</v>
      </c>
      <c r="W264" s="44">
        <f t="shared" si="38"/>
        <v>311.8336405661903</v>
      </c>
      <c r="X264" s="3">
        <v>190.18118089299128</v>
      </c>
      <c r="Y264" s="10">
        <f t="shared" si="39"/>
        <v>1.6396661283833802</v>
      </c>
    </row>
    <row r="265" spans="1:25" x14ac:dyDescent="0.2">
      <c r="A265" s="42" t="str">
        <f t="shared" si="36"/>
        <v>Asia39629</v>
      </c>
      <c r="B265" s="1">
        <v>39629</v>
      </c>
      <c r="C265" s="34">
        <v>47</v>
      </c>
      <c r="D265" s="34">
        <v>46</v>
      </c>
      <c r="E265" s="37">
        <v>47</v>
      </c>
      <c r="F265" s="37">
        <v>93432.319931030273</v>
      </c>
      <c r="G265" s="37">
        <v>22157.128074578941</v>
      </c>
      <c r="H265" s="37">
        <v>71275.191856451333</v>
      </c>
      <c r="I265" s="37">
        <v>17656.256917119026</v>
      </c>
      <c r="J265" s="37">
        <v>43198.884590148926</v>
      </c>
      <c r="K265" s="37">
        <v>5159.1027351021767</v>
      </c>
      <c r="L265" s="38">
        <v>1.6499313010666237</v>
      </c>
      <c r="M265" s="38">
        <v>2.1628410274356153</v>
      </c>
      <c r="N265" s="38">
        <v>8.3733328852373337</v>
      </c>
      <c r="O265" s="39">
        <v>121.17002594435023</v>
      </c>
      <c r="P265" s="39">
        <v>23.04988811827176</v>
      </c>
      <c r="Q265" s="39">
        <v>19.022764036427528</v>
      </c>
      <c r="R265" s="44">
        <v>481.09527352233272</v>
      </c>
      <c r="T265" s="35">
        <v>344</v>
      </c>
      <c r="U265" s="44">
        <f t="shared" si="37"/>
        <v>137.09527352233272</v>
      </c>
      <c r="W265" s="44">
        <f t="shared" si="38"/>
        <v>291.58503339582757</v>
      </c>
      <c r="X265" s="3">
        <v>173.16421780962932</v>
      </c>
      <c r="Y265" s="10">
        <f t="shared" si="39"/>
        <v>1.6838642364116236</v>
      </c>
    </row>
    <row r="266" spans="1:25" x14ac:dyDescent="0.2">
      <c r="A266" s="42" t="str">
        <f t="shared" si="36"/>
        <v>Asia39721</v>
      </c>
      <c r="B266" s="1">
        <v>39721</v>
      </c>
      <c r="C266" s="34">
        <v>48</v>
      </c>
      <c r="D266" s="34">
        <v>46</v>
      </c>
      <c r="E266" s="37">
        <v>47</v>
      </c>
      <c r="F266" s="37">
        <v>96631.478313446045</v>
      </c>
      <c r="G266" s="37">
        <v>21984.58788292855</v>
      </c>
      <c r="H266" s="37">
        <v>74646.890430517495</v>
      </c>
      <c r="I266" s="37">
        <v>17951.308285444975</v>
      </c>
      <c r="J266" s="37">
        <v>42755.679887294769</v>
      </c>
      <c r="K266" s="37">
        <v>5312.549645781517</v>
      </c>
      <c r="L266" s="38">
        <v>1.7458941274536832</v>
      </c>
      <c r="M266" s="38">
        <v>2.2600851762425358</v>
      </c>
      <c r="N266" s="38">
        <v>8.0310199491043761</v>
      </c>
      <c r="O266" s="39">
        <v>115.94046542267616</v>
      </c>
      <c r="P266" s="39">
        <v>21.904420869794105</v>
      </c>
      <c r="Q266" s="39">
        <v>18.892817783625993</v>
      </c>
      <c r="R266" s="44">
        <v>680.85055471145654</v>
      </c>
      <c r="T266" s="35">
        <v>515</v>
      </c>
      <c r="U266" s="44">
        <f t="shared" si="37"/>
        <v>165.85055471145654</v>
      </c>
      <c r="W266" s="44">
        <f t="shared" si="38"/>
        <v>389.9724181468265</v>
      </c>
      <c r="X266" s="3">
        <v>268.56652368612174</v>
      </c>
      <c r="Y266" s="10">
        <f t="shared" si="39"/>
        <v>1.4520514798135968</v>
      </c>
    </row>
    <row r="267" spans="1:25" x14ac:dyDescent="0.2">
      <c r="A267" s="42" t="str">
        <f t="shared" si="36"/>
        <v>Asia39813</v>
      </c>
      <c r="B267" s="1">
        <v>39813</v>
      </c>
      <c r="C267" s="34">
        <v>48</v>
      </c>
      <c r="D267" s="34">
        <v>46</v>
      </c>
      <c r="E267" s="37">
        <v>47</v>
      </c>
      <c r="F267" s="37">
        <v>98551.007720947266</v>
      </c>
      <c r="G267" s="37">
        <v>23250.767700128257</v>
      </c>
      <c r="H267" s="37">
        <v>75300.240020819008</v>
      </c>
      <c r="I267" s="37">
        <v>18087.097181081772</v>
      </c>
      <c r="J267" s="37">
        <v>39080.185948848724</v>
      </c>
      <c r="K267" s="37">
        <v>5487.2913347482681</v>
      </c>
      <c r="L267" s="38">
        <v>1.9268137597752986</v>
      </c>
      <c r="M267" s="38">
        <v>2.5217640430354837</v>
      </c>
      <c r="N267" s="38">
        <v>7.105454379746611</v>
      </c>
      <c r="O267" s="39">
        <v>121.58658740080793</v>
      </c>
      <c r="P267" s="39">
        <v>22.787553920434664</v>
      </c>
      <c r="Q267" s="39">
        <v>18.74183197963762</v>
      </c>
      <c r="R267" s="44">
        <v>1341.296922440732</v>
      </c>
      <c r="T267" s="35">
        <v>941</v>
      </c>
      <c r="U267" s="44">
        <f t="shared" si="37"/>
        <v>400.29692244073203</v>
      </c>
      <c r="W267" s="44">
        <f t="shared" si="38"/>
        <v>696.12172719648402</v>
      </c>
      <c r="X267" s="3">
        <v>375.24267309373568</v>
      </c>
      <c r="Y267" s="10">
        <f t="shared" si="39"/>
        <v>1.8551241026432852</v>
      </c>
    </row>
    <row r="268" spans="1:25" x14ac:dyDescent="0.2">
      <c r="A268" s="42" t="str">
        <f t="shared" si="36"/>
        <v>Asia39903</v>
      </c>
      <c r="B268" s="1">
        <v>39903</v>
      </c>
      <c r="C268" s="34">
        <v>48</v>
      </c>
      <c r="D268" s="34">
        <v>48</v>
      </c>
      <c r="E268" s="37">
        <v>47</v>
      </c>
      <c r="F268" s="37">
        <v>103250.02942657471</v>
      </c>
      <c r="G268" s="37">
        <v>27479.460694789886</v>
      </c>
      <c r="H268" s="37">
        <v>75770.568731784821</v>
      </c>
      <c r="I268" s="37">
        <v>17798.117065250874</v>
      </c>
      <c r="J268" s="37">
        <v>37673.610795974731</v>
      </c>
      <c r="K268" s="37">
        <v>5249.2229937314987</v>
      </c>
      <c r="L268" s="38">
        <v>2.0112372329301813</v>
      </c>
      <c r="M268" s="38">
        <v>2.7406459653080701</v>
      </c>
      <c r="N268" s="38">
        <v>7.1037595154813511</v>
      </c>
      <c r="O268" s="39">
        <v>154.39532504503475</v>
      </c>
      <c r="P268" s="39">
        <v>26.614482191825083</v>
      </c>
      <c r="Q268" s="39">
        <v>17.23788086463243</v>
      </c>
      <c r="R268" s="44">
        <v>1121.6212919518662</v>
      </c>
      <c r="T268" s="35">
        <v>816</v>
      </c>
      <c r="U268" s="44">
        <f t="shared" si="37"/>
        <v>305.62129195186617</v>
      </c>
      <c r="W268" s="44">
        <f t="shared" si="38"/>
        <v>557.67727127732746</v>
      </c>
      <c r="X268" s="3">
        <v>382.70274484058507</v>
      </c>
      <c r="Y268" s="10">
        <f t="shared" si="39"/>
        <v>1.4572073986812613</v>
      </c>
    </row>
    <row r="269" spans="1:25" x14ac:dyDescent="0.2">
      <c r="A269" s="42" t="str">
        <f t="shared" si="36"/>
        <v>Asia39994</v>
      </c>
      <c r="B269" s="1">
        <v>39994</v>
      </c>
      <c r="C269" s="34">
        <v>48</v>
      </c>
      <c r="D269" s="34">
        <v>47</v>
      </c>
      <c r="E269" s="37">
        <v>47</v>
      </c>
      <c r="F269" s="37">
        <v>110049.19155502319</v>
      </c>
      <c r="G269" s="37">
        <v>28142.886241912842</v>
      </c>
      <c r="H269" s="37">
        <v>81906.305313110352</v>
      </c>
      <c r="I269" s="37">
        <v>18987.092620134354</v>
      </c>
      <c r="J269" s="37">
        <v>33687.728120088577</v>
      </c>
      <c r="K269" s="37">
        <v>5177.7544449567795</v>
      </c>
      <c r="L269" s="38">
        <v>2.4313395376837001</v>
      </c>
      <c r="M269" s="38">
        <v>3.2667442328768663</v>
      </c>
      <c r="N269" s="38">
        <v>6.4437266144093739</v>
      </c>
      <c r="O269" s="39">
        <v>148.01609910996544</v>
      </c>
      <c r="P269" s="39">
        <v>25.63546572959406</v>
      </c>
      <c r="Q269" s="39">
        <v>17.319376664932058</v>
      </c>
      <c r="R269" s="44">
        <v>737.80005739065859</v>
      </c>
      <c r="T269" s="35">
        <v>487</v>
      </c>
      <c r="U269" s="44">
        <f t="shared" si="37"/>
        <v>250.80005739065859</v>
      </c>
      <c r="W269" s="44">
        <f t="shared" si="38"/>
        <v>303.45414367486876</v>
      </c>
      <c r="X269" s="3">
        <v>236.86459324791133</v>
      </c>
      <c r="Y269" s="10">
        <f t="shared" si="39"/>
        <v>1.2811291865697392</v>
      </c>
    </row>
    <row r="270" spans="1:25" x14ac:dyDescent="0.2">
      <c r="A270" s="42" t="str">
        <f t="shared" si="36"/>
        <v>Asia40086</v>
      </c>
      <c r="B270" s="1">
        <v>40086</v>
      </c>
      <c r="C270" s="34">
        <v>48</v>
      </c>
      <c r="D270" s="34">
        <v>47</v>
      </c>
      <c r="E270" s="37">
        <v>47</v>
      </c>
      <c r="F270" s="37">
        <v>117062.02471923828</v>
      </c>
      <c r="G270" s="37">
        <v>29006.267156600952</v>
      </c>
      <c r="H270" s="37">
        <v>88055.757562637329</v>
      </c>
      <c r="I270" s="37">
        <v>19166.178008556366</v>
      </c>
      <c r="J270" s="37">
        <v>33422.931707382202</v>
      </c>
      <c r="K270" s="37">
        <v>5160.2377473562956</v>
      </c>
      <c r="L270" s="38">
        <v>2.6345910745821333</v>
      </c>
      <c r="M270" s="38">
        <v>3.5024463366683811</v>
      </c>
      <c r="N270" s="38">
        <v>6.4156560852542182</v>
      </c>
      <c r="O270" s="39">
        <v>150.98176660923164</v>
      </c>
      <c r="P270" s="39">
        <v>24.811967065036963</v>
      </c>
      <c r="Q270" s="39">
        <v>16.433750658948682</v>
      </c>
      <c r="R270" s="44">
        <v>478.38834029475754</v>
      </c>
      <c r="T270" s="35">
        <v>353</v>
      </c>
      <c r="U270" s="44">
        <f t="shared" si="37"/>
        <v>125.38834029475754</v>
      </c>
      <c r="W270" s="44">
        <f t="shared" si="38"/>
        <v>181.57973163658184</v>
      </c>
      <c r="X270" s="3">
        <v>169.85935116272969</v>
      </c>
      <c r="Y270" s="10">
        <f t="shared" si="39"/>
        <v>1.0690005018482833</v>
      </c>
    </row>
    <row r="271" spans="1:25" x14ac:dyDescent="0.2">
      <c r="A271" s="42" t="str">
        <f t="shared" si="36"/>
        <v>Asia40178</v>
      </c>
      <c r="B271" s="1">
        <v>40178</v>
      </c>
      <c r="C271" s="34">
        <v>50</v>
      </c>
      <c r="D271" s="34">
        <v>49</v>
      </c>
      <c r="E271" s="37">
        <v>50</v>
      </c>
      <c r="F271" s="37">
        <v>123383.59367752075</v>
      </c>
      <c r="G271" s="37">
        <v>29919.856497764587</v>
      </c>
      <c r="H271" s="37">
        <v>93463.737179756165</v>
      </c>
      <c r="I271" s="37">
        <v>18975.016557216644</v>
      </c>
      <c r="J271" s="37">
        <v>38078.459478378296</v>
      </c>
      <c r="K271" s="37">
        <v>5585.742897734046</v>
      </c>
      <c r="L271" s="38">
        <v>2.454504159571548</v>
      </c>
      <c r="M271" s="38">
        <v>3.2402464639511059</v>
      </c>
      <c r="N271" s="38">
        <v>6.8170805881211409</v>
      </c>
      <c r="O271" s="39">
        <v>157.22693851176965</v>
      </c>
      <c r="P271" s="39">
        <v>24.265313648123872</v>
      </c>
      <c r="Q271" s="39">
        <v>15.43330543595583</v>
      </c>
      <c r="R271" s="44">
        <v>443.02026268601503</v>
      </c>
      <c r="T271" s="35">
        <v>291</v>
      </c>
      <c r="U271" s="44">
        <f t="shared" si="37"/>
        <v>152.02026268601503</v>
      </c>
      <c r="W271" s="44">
        <f t="shared" si="38"/>
        <v>180.49277323830142</v>
      </c>
      <c r="X271" s="3">
        <v>142.79511564870424</v>
      </c>
      <c r="Y271" s="10">
        <f t="shared" si="39"/>
        <v>1.263998228639267</v>
      </c>
    </row>
    <row r="272" spans="1:25" x14ac:dyDescent="0.2">
      <c r="A272" s="42" t="str">
        <f t="shared" si="36"/>
        <v>Asia40268</v>
      </c>
      <c r="B272" s="1">
        <v>40268</v>
      </c>
      <c r="C272" s="34">
        <v>52</v>
      </c>
      <c r="D272" s="34">
        <v>53</v>
      </c>
      <c r="E272" s="37">
        <v>51</v>
      </c>
      <c r="F272" s="37">
        <v>151565.00645446777</v>
      </c>
      <c r="G272" s="37">
        <v>33427.464365005493</v>
      </c>
      <c r="H272" s="37">
        <v>118137.54208946228</v>
      </c>
      <c r="I272" s="37">
        <v>35416.085389137268</v>
      </c>
      <c r="J272" s="37">
        <v>47469.080017089844</v>
      </c>
      <c r="K272" s="37">
        <v>6313.5745730400085</v>
      </c>
      <c r="L272" s="38">
        <v>2.4887261781127914</v>
      </c>
      <c r="M272" s="38">
        <v>3.1929206633012743</v>
      </c>
      <c r="N272" s="38">
        <v>7.4181784111981299</v>
      </c>
      <c r="O272" s="39">
        <v>100.48543933056749</v>
      </c>
      <c r="P272" s="39">
        <v>22.29761120737443</v>
      </c>
      <c r="Q272" s="39">
        <v>22.189892740600818</v>
      </c>
      <c r="R272" s="44">
        <v>398.62561833182127</v>
      </c>
      <c r="T272" s="35">
        <v>247</v>
      </c>
      <c r="U272" s="44">
        <f t="shared" si="37"/>
        <v>151.62561833182127</v>
      </c>
      <c r="W272" s="44">
        <f t="shared" si="38"/>
        <v>160.17255005293524</v>
      </c>
      <c r="X272" s="3">
        <v>127.26845922794003</v>
      </c>
      <c r="Y272" s="10">
        <f t="shared" si="39"/>
        <v>1.2585408122688388</v>
      </c>
    </row>
    <row r="273" spans="1:25" x14ac:dyDescent="0.2">
      <c r="A273" s="42" t="str">
        <f t="shared" si="36"/>
        <v>Asia40359</v>
      </c>
      <c r="B273" s="1">
        <v>40359</v>
      </c>
      <c r="C273" s="34">
        <v>56</v>
      </c>
      <c r="D273" s="34">
        <v>55</v>
      </c>
      <c r="E273" s="37">
        <v>55</v>
      </c>
      <c r="F273" s="37">
        <v>163477.69004821777</v>
      </c>
      <c r="G273" s="37">
        <v>36714.856371879578</v>
      </c>
      <c r="H273" s="37">
        <v>126762.8336763382</v>
      </c>
      <c r="I273" s="37">
        <v>38735.595010757446</v>
      </c>
      <c r="J273" s="37">
        <v>56494.324512481689</v>
      </c>
      <c r="K273" s="37">
        <v>7297.2823808193207</v>
      </c>
      <c r="L273" s="38">
        <v>2.2438153703091288</v>
      </c>
      <c r="M273" s="38">
        <v>2.8937011188106072</v>
      </c>
      <c r="N273" s="38">
        <v>7.6549685451989893</v>
      </c>
      <c r="O273" s="39">
        <v>93.724002835241734</v>
      </c>
      <c r="P273" s="39">
        <v>21.7288308600858</v>
      </c>
      <c r="Q273" s="39">
        <v>23.183848536946407</v>
      </c>
      <c r="R273" s="44">
        <v>567.68482326725382</v>
      </c>
      <c r="T273" s="35">
        <v>323</v>
      </c>
      <c r="U273" s="44">
        <f t="shared" si="37"/>
        <v>244.68482326725382</v>
      </c>
      <c r="W273" s="44">
        <f t="shared" si="38"/>
        <v>252.99979257609073</v>
      </c>
      <c r="X273" s="3">
        <v>150.59831028304566</v>
      </c>
      <c r="Y273" s="10">
        <f t="shared" si="39"/>
        <v>1.679964350865452</v>
      </c>
    </row>
    <row r="274" spans="1:25" x14ac:dyDescent="0.2">
      <c r="A274" s="42" t="str">
        <f t="shared" si="36"/>
        <v>Asia40451</v>
      </c>
      <c r="B274" s="1">
        <v>40451</v>
      </c>
      <c r="C274" s="34">
        <v>58</v>
      </c>
      <c r="D274" s="34">
        <v>57</v>
      </c>
      <c r="E274" s="37">
        <v>57</v>
      </c>
      <c r="F274" s="37">
        <v>177749.78216552734</v>
      </c>
      <c r="G274" s="37">
        <v>41520.943773269653</v>
      </c>
      <c r="H274" s="37">
        <v>136228.83839225769</v>
      </c>
      <c r="I274" s="37">
        <v>36429.916575431824</v>
      </c>
      <c r="J274" s="37">
        <v>63401.44614982605</v>
      </c>
      <c r="K274" s="37">
        <v>7745.9490900635719</v>
      </c>
      <c r="L274" s="38">
        <v>2.1486708374179799</v>
      </c>
      <c r="M274" s="38">
        <v>2.8035603753498139</v>
      </c>
      <c r="N274" s="38">
        <v>7.9850789619693954</v>
      </c>
      <c r="O274" s="39">
        <v>112.82170232898103</v>
      </c>
      <c r="P274" s="39">
        <v>22.736452047247894</v>
      </c>
      <c r="Q274" s="39">
        <v>20.152551838785261</v>
      </c>
      <c r="R274" s="44">
        <v>502.99020861263836</v>
      </c>
      <c r="T274" s="35">
        <v>285</v>
      </c>
      <c r="U274" s="44">
        <f t="shared" si="37"/>
        <v>217.99020861263836</v>
      </c>
      <c r="W274" s="44">
        <f t="shared" si="38"/>
        <v>234.09365448319338</v>
      </c>
      <c r="X274" s="3">
        <v>138.34216078085001</v>
      </c>
      <c r="Y274" s="10">
        <f t="shared" si="39"/>
        <v>1.6921353054042925</v>
      </c>
    </row>
    <row r="275" spans="1:25" x14ac:dyDescent="0.2">
      <c r="A275" s="42" t="str">
        <f t="shared" si="36"/>
        <v>Asia40543</v>
      </c>
      <c r="B275" s="1">
        <v>40543</v>
      </c>
      <c r="C275" s="34">
        <v>60</v>
      </c>
      <c r="D275" s="34">
        <v>59</v>
      </c>
      <c r="E275" s="37">
        <v>59</v>
      </c>
      <c r="F275" s="37">
        <v>211032.65166473389</v>
      </c>
      <c r="G275" s="37">
        <v>49605.752763748169</v>
      </c>
      <c r="H275" s="37">
        <v>161426.89890098572</v>
      </c>
      <c r="I275" s="37">
        <v>44983.450577735901</v>
      </c>
      <c r="J275" s="37">
        <v>76413.162761688232</v>
      </c>
      <c r="K275" s="37">
        <v>8501.4532586932182</v>
      </c>
      <c r="L275" s="38">
        <v>2.1125535584023933</v>
      </c>
      <c r="M275" s="38">
        <v>2.7617316707971771</v>
      </c>
      <c r="N275" s="38">
        <v>8.7029572246322093</v>
      </c>
      <c r="O275" s="39">
        <v>109.21167868237802</v>
      </c>
      <c r="P275" s="39">
        <v>22.952867357238929</v>
      </c>
      <c r="Q275" s="39">
        <v>21.016861597735442</v>
      </c>
      <c r="R275" s="44">
        <v>428.49151214374075</v>
      </c>
      <c r="T275" s="35">
        <v>273</v>
      </c>
      <c r="U275" s="44">
        <f t="shared" si="37"/>
        <v>155.49151214374075</v>
      </c>
      <c r="W275" s="44">
        <f t="shared" si="38"/>
        <v>202.83107637175601</v>
      </c>
      <c r="X275" s="3">
        <v>139.99744208364336</v>
      </c>
      <c r="Y275" s="10">
        <f t="shared" si="39"/>
        <v>1.448819873798636</v>
      </c>
    </row>
    <row r="276" spans="1:25" x14ac:dyDescent="0.2">
      <c r="A276" s="42" t="str">
        <f t="shared" si="36"/>
        <v>Asia40633</v>
      </c>
      <c r="B276" s="1">
        <v>40633</v>
      </c>
      <c r="C276" s="34">
        <v>56</v>
      </c>
      <c r="D276" s="34">
        <v>59</v>
      </c>
      <c r="E276" s="37">
        <v>52</v>
      </c>
      <c r="F276" s="37">
        <v>191005.79609680176</v>
      </c>
      <c r="G276" s="37">
        <v>43075.705359458923</v>
      </c>
      <c r="H276" s="37">
        <v>147930.09073734283</v>
      </c>
      <c r="I276" s="37">
        <v>47870.3422979936</v>
      </c>
      <c r="J276" s="37">
        <v>74080.2906665802</v>
      </c>
      <c r="K276" s="37">
        <v>7700.5190085172653</v>
      </c>
      <c r="L276" s="38">
        <v>1.9968886380743975</v>
      </c>
      <c r="M276" s="38">
        <v>2.578361860869022</v>
      </c>
      <c r="N276" s="38">
        <v>9.128051777480815</v>
      </c>
      <c r="O276" s="39">
        <v>98.150221461993169</v>
      </c>
      <c r="P276" s="39">
        <v>23.269286331933078</v>
      </c>
      <c r="Q276" s="39">
        <v>23.7078286582814</v>
      </c>
      <c r="R276" s="44">
        <v>489.67444900894628</v>
      </c>
      <c r="T276" s="35">
        <v>257</v>
      </c>
      <c r="U276" s="44">
        <f t="shared" si="37"/>
        <v>232.67444900894628</v>
      </c>
      <c r="W276" s="44">
        <f t="shared" si="38"/>
        <v>245.21870657801929</v>
      </c>
      <c r="X276" s="3">
        <v>123.844985158784</v>
      </c>
      <c r="Y276" s="10">
        <f t="shared" si="39"/>
        <v>1.9800455082102819</v>
      </c>
    </row>
    <row r="277" spans="1:25" x14ac:dyDescent="0.2">
      <c r="A277" s="42" t="str">
        <f t="shared" si="36"/>
        <v>Asia40724</v>
      </c>
      <c r="B277" s="1">
        <v>40724</v>
      </c>
      <c r="C277" s="34">
        <v>55</v>
      </c>
      <c r="D277" s="34">
        <v>57</v>
      </c>
      <c r="E277" s="37">
        <v>52</v>
      </c>
      <c r="F277" s="37">
        <v>190738.09346008301</v>
      </c>
      <c r="G277" s="37">
        <v>38978.664080619812</v>
      </c>
      <c r="H277" s="37">
        <v>151759.4293794632</v>
      </c>
      <c r="I277" s="37">
        <v>48788.359269797802</v>
      </c>
      <c r="J277" s="37">
        <v>72006.363233566284</v>
      </c>
      <c r="K277" s="37">
        <v>7725.4983457326889</v>
      </c>
      <c r="L277" s="38">
        <v>2.1075835879560079</v>
      </c>
      <c r="M277" s="38">
        <v>2.6489060812776763</v>
      </c>
      <c r="N277" s="38">
        <v>8.9251034470680395</v>
      </c>
      <c r="O277" s="39">
        <v>84.986170895292688</v>
      </c>
      <c r="P277" s="39">
        <v>20.801870309245132</v>
      </c>
      <c r="Q277" s="39">
        <v>24.476770855900899</v>
      </c>
      <c r="R277" s="44">
        <v>573.78406374939311</v>
      </c>
      <c r="T277" s="35">
        <v>304</v>
      </c>
      <c r="U277" s="44">
        <f t="shared" si="37"/>
        <v>269.78406374939311</v>
      </c>
      <c r="W277" s="44">
        <f t="shared" si="38"/>
        <v>272.24735807791359</v>
      </c>
      <c r="X277" s="3">
        <v>139.75819972169947</v>
      </c>
      <c r="Y277" s="10">
        <f t="shared" si="39"/>
        <v>1.947988444470806</v>
      </c>
    </row>
    <row r="278" spans="1:25" x14ac:dyDescent="0.2">
      <c r="A278" s="42" t="str">
        <f t="shared" si="36"/>
        <v>Asia40816</v>
      </c>
      <c r="B278" s="1">
        <v>40816</v>
      </c>
      <c r="C278" s="34">
        <v>55</v>
      </c>
      <c r="D278" s="34">
        <v>56</v>
      </c>
      <c r="E278" s="37">
        <v>54</v>
      </c>
      <c r="F278" s="37">
        <v>197479.36040496826</v>
      </c>
      <c r="G278" s="37">
        <v>37747.403456687927</v>
      </c>
      <c r="H278" s="37">
        <v>159731.95694828033</v>
      </c>
      <c r="I278" s="37">
        <v>54624.241888821125</v>
      </c>
      <c r="J278" s="37">
        <v>73393.70219039917</v>
      </c>
      <c r="K278" s="37">
        <v>9058.3621530532837</v>
      </c>
      <c r="L278" s="38">
        <v>2.1763714348937055</v>
      </c>
      <c r="M278" s="38">
        <v>2.6906853655190197</v>
      </c>
      <c r="N278" s="38">
        <v>8.0251494649616735</v>
      </c>
      <c r="O278" s="39">
        <v>70.642306176300224</v>
      </c>
      <c r="P278" s="39">
        <v>19.088239400632609</v>
      </c>
      <c r="Q278" s="39">
        <v>27.020974305389416</v>
      </c>
      <c r="R278" s="44">
        <v>945.4299905114899</v>
      </c>
      <c r="T278" s="35">
        <v>499</v>
      </c>
      <c r="U278" s="44">
        <f t="shared" si="37"/>
        <v>446.4299905114899</v>
      </c>
      <c r="W278" s="44">
        <f t="shared" si="38"/>
        <v>434.40654263028631</v>
      </c>
      <c r="X278" s="3">
        <v>215.36745735886177</v>
      </c>
      <c r="Y278" s="10">
        <f t="shared" si="39"/>
        <v>2.0170482019780955</v>
      </c>
    </row>
    <row r="279" spans="1:25" x14ac:dyDescent="0.2">
      <c r="A279" s="42" t="str">
        <f t="shared" si="36"/>
        <v>Asia40908</v>
      </c>
      <c r="B279" s="1">
        <v>40908</v>
      </c>
      <c r="C279" s="34">
        <v>52</v>
      </c>
      <c r="D279" s="34">
        <v>53</v>
      </c>
      <c r="E279" s="37">
        <v>51</v>
      </c>
      <c r="F279" s="37">
        <v>186811.20014953613</v>
      </c>
      <c r="G279" s="37">
        <v>38372.89980173111</v>
      </c>
      <c r="H279" s="37">
        <v>148438.30034780502</v>
      </c>
      <c r="I279" s="37">
        <v>48412.559588935401</v>
      </c>
      <c r="J279" s="37">
        <v>70649.55810546875</v>
      </c>
      <c r="K279" s="37">
        <v>7969.8231115341187</v>
      </c>
      <c r="L279" s="38">
        <v>2.1010506552101833</v>
      </c>
      <c r="M279" s="38">
        <v>2.6441948847104775</v>
      </c>
      <c r="N279" s="38">
        <v>8.7646312996707678</v>
      </c>
      <c r="O279" s="39">
        <v>79.597085830985861</v>
      </c>
      <c r="P279" s="39">
        <v>20.367749016665311</v>
      </c>
      <c r="Q279" s="39">
        <v>25.588561194204516</v>
      </c>
      <c r="R279" s="44">
        <v>864.93078350751125</v>
      </c>
      <c r="T279" s="35">
        <v>452</v>
      </c>
      <c r="U279" s="44">
        <f t="shared" si="37"/>
        <v>412.93078350751125</v>
      </c>
      <c r="W279" s="44">
        <f t="shared" si="38"/>
        <v>411.66584030835088</v>
      </c>
      <c r="X279" s="3">
        <v>203.76275473722424</v>
      </c>
      <c r="Y279" s="10">
        <f t="shared" si="39"/>
        <v>2.0203193701382856</v>
      </c>
    </row>
    <row r="280" spans="1:25" x14ac:dyDescent="0.2">
      <c r="A280" s="42" t="str">
        <f t="shared" si="36"/>
        <v>Asia40999</v>
      </c>
      <c r="B280" s="1">
        <v>40999</v>
      </c>
      <c r="C280" s="34">
        <v>25</v>
      </c>
      <c r="D280" s="34">
        <v>25</v>
      </c>
      <c r="E280" s="37">
        <v>25</v>
      </c>
      <c r="F280" s="37">
        <v>92849.177642822266</v>
      </c>
      <c r="G280" s="37">
        <v>21986.597414016724</v>
      </c>
      <c r="H280" s="37">
        <v>70862.580228805542</v>
      </c>
      <c r="I280" s="37">
        <v>17065.391348347068</v>
      </c>
      <c r="J280" s="37">
        <v>37993.694046020508</v>
      </c>
      <c r="K280" s="37">
        <v>6115.6137390136719</v>
      </c>
      <c r="L280" s="38">
        <v>1.8651142514063528</v>
      </c>
      <c r="M280" s="38">
        <v>2.4438049516942764</v>
      </c>
      <c r="N280" s="38">
        <v>6.2436265070010153</v>
      </c>
      <c r="O280" s="39">
        <v>128.83734668145371</v>
      </c>
      <c r="P280" s="39">
        <v>23.679905382249128</v>
      </c>
      <c r="Q280" s="39">
        <v>18.379690355465751</v>
      </c>
      <c r="R280" s="44">
        <v>500.70825212286479</v>
      </c>
      <c r="T280" s="35">
        <v>364</v>
      </c>
      <c r="U280" s="44">
        <f t="shared" si="37"/>
        <v>136.70825212286479</v>
      </c>
      <c r="W280" s="44">
        <f t="shared" si="38"/>
        <v>268.45982853078067</v>
      </c>
      <c r="X280" s="3">
        <v>157.47841164148528</v>
      </c>
      <c r="Y280" s="10">
        <f t="shared" si="39"/>
        <v>1.7047405147948484</v>
      </c>
    </row>
    <row r="281" spans="1:25" x14ac:dyDescent="0.2">
      <c r="A281" s="42" t="str">
        <f t="shared" si="36"/>
        <v>Asia41090</v>
      </c>
      <c r="B281" s="1">
        <v>41090</v>
      </c>
      <c r="C281" s="34">
        <v>31</v>
      </c>
      <c r="D281" s="34">
        <v>31</v>
      </c>
      <c r="E281" s="37">
        <v>30</v>
      </c>
      <c r="F281" s="37">
        <v>96317.65510559082</v>
      </c>
      <c r="G281" s="37">
        <v>20525.088022708893</v>
      </c>
      <c r="H281" s="37">
        <v>75792.567082881927</v>
      </c>
      <c r="I281" s="37">
        <v>18198.972418501973</v>
      </c>
      <c r="J281" s="37">
        <v>38924.044807434082</v>
      </c>
      <c r="K281" s="37">
        <v>6489.814658164978</v>
      </c>
      <c r="L281" s="38">
        <v>1.9471914457463153</v>
      </c>
      <c r="M281" s="38">
        <v>2.4745027291509838</v>
      </c>
      <c r="N281" s="38">
        <v>5.998110037730954</v>
      </c>
      <c r="O281" s="39">
        <v>112.7815766226563</v>
      </c>
      <c r="P281" s="39">
        <v>21.309787909815405</v>
      </c>
      <c r="Q281" s="39">
        <v>18.894741985309818</v>
      </c>
      <c r="R281" s="44">
        <v>565.74274990121285</v>
      </c>
      <c r="T281" s="35">
        <v>363</v>
      </c>
      <c r="U281" s="44">
        <f t="shared" si="37"/>
        <v>202.74274990121285</v>
      </c>
      <c r="W281" s="44">
        <f t="shared" si="38"/>
        <v>290.54295156087039</v>
      </c>
      <c r="X281" s="3">
        <v>163.12056484989071</v>
      </c>
      <c r="Y281" s="10">
        <f t="shared" si="39"/>
        <v>1.7811546436725392</v>
      </c>
    </row>
    <row r="283" spans="1:25" x14ac:dyDescent="0.2">
      <c r="A283" s="12" t="s">
        <v>282</v>
      </c>
      <c r="B283" s="40" t="s">
        <v>0</v>
      </c>
      <c r="C283" s="41" t="s">
        <v>180</v>
      </c>
      <c r="D283" s="41" t="s">
        <v>178</v>
      </c>
      <c r="E283" s="41" t="s">
        <v>179</v>
      </c>
      <c r="F283" s="41" t="s">
        <v>2</v>
      </c>
      <c r="G283" s="41" t="s">
        <v>31</v>
      </c>
      <c r="H283" s="41" t="s">
        <v>41</v>
      </c>
      <c r="I283" s="41" t="s">
        <v>20</v>
      </c>
      <c r="J283" s="41" t="s">
        <v>3</v>
      </c>
      <c r="K283" s="41" t="s">
        <v>24</v>
      </c>
      <c r="L283" s="41" t="s">
        <v>5</v>
      </c>
      <c r="M283" s="41" t="s">
        <v>43</v>
      </c>
      <c r="N283" s="41" t="s">
        <v>6</v>
      </c>
      <c r="O283" s="41" t="s">
        <v>176</v>
      </c>
      <c r="P283" s="41" t="s">
        <v>21</v>
      </c>
      <c r="Q283" s="41" t="s">
        <v>177</v>
      </c>
      <c r="R283" s="83" t="s">
        <v>7</v>
      </c>
      <c r="T283" s="43" t="s">
        <v>324</v>
      </c>
      <c r="U283" s="43" t="s">
        <v>325</v>
      </c>
      <c r="W283" s="35" t="str">
        <f>A283&amp;" spread per turn of leverage"</f>
        <v>Asia IG spread per turn of leverage</v>
      </c>
      <c r="X283" s="3" t="s">
        <v>26</v>
      </c>
      <c r="Y283" t="str">
        <f>A283&amp;" vs. US spread per turn of leverage ratio"</f>
        <v>Asia IG vs. US spread per turn of leverage ratio</v>
      </c>
    </row>
    <row r="284" spans="1:25" x14ac:dyDescent="0.2">
      <c r="A284" s="42" t="str">
        <f>$A$283&amp;$B284</f>
        <v>Asia IG38807</v>
      </c>
      <c r="B284" s="1">
        <v>38807</v>
      </c>
      <c r="C284" s="34">
        <v>14</v>
      </c>
      <c r="D284" s="34">
        <v>14</v>
      </c>
      <c r="E284" s="37">
        <v>14</v>
      </c>
      <c r="F284" s="37">
        <v>43642.675827026367</v>
      </c>
      <c r="G284" s="37">
        <v>9792.4720916748047</v>
      </c>
      <c r="H284" s="37">
        <v>33850.203735351563</v>
      </c>
      <c r="I284" s="37">
        <v>6500.1735038757324</v>
      </c>
      <c r="J284" s="37">
        <v>25864.957977294922</v>
      </c>
      <c r="K284" s="37">
        <v>2144.4736967086792</v>
      </c>
      <c r="L284" s="38">
        <v>1.3087283484112497</v>
      </c>
      <c r="M284" s="38">
        <v>1.6873283098057723</v>
      </c>
      <c r="N284" s="38">
        <v>12.061214841194952</v>
      </c>
      <c r="O284" s="39">
        <v>150.64939552515077</v>
      </c>
      <c r="P284" s="39">
        <v>22.437836145717426</v>
      </c>
      <c r="Q284" s="39">
        <v>14.894076453145445</v>
      </c>
      <c r="R284" s="44">
        <v>109.15402880693655</v>
      </c>
      <c r="T284" s="35">
        <v>92</v>
      </c>
      <c r="U284" s="44">
        <f>R284-T284</f>
        <v>17.154028806936552</v>
      </c>
      <c r="W284" s="44">
        <f>R284/L284</f>
        <v>83.40464920733605</v>
      </c>
      <c r="X284" s="3">
        <v>52.365855337024819</v>
      </c>
      <c r="Y284" s="10">
        <f>W284/X284</f>
        <v>1.5927296264053483</v>
      </c>
    </row>
    <row r="285" spans="1:25" x14ac:dyDescent="0.2">
      <c r="A285" s="42" t="str">
        <f t="shared" ref="A285:A309" si="40">$A$283&amp;$B285</f>
        <v>Asia IG38898</v>
      </c>
      <c r="B285" s="1">
        <v>38898</v>
      </c>
      <c r="C285" s="34">
        <v>14</v>
      </c>
      <c r="D285" s="34">
        <v>14</v>
      </c>
      <c r="E285" s="37">
        <v>14</v>
      </c>
      <c r="F285" s="37">
        <v>44833.142440795898</v>
      </c>
      <c r="G285" s="37">
        <v>9569.6534118652344</v>
      </c>
      <c r="H285" s="37">
        <v>35263.489028930664</v>
      </c>
      <c r="I285" s="37">
        <v>5994.8968086242676</v>
      </c>
      <c r="J285" s="37">
        <v>25859.4638671875</v>
      </c>
      <c r="K285" s="37">
        <v>2192.4205589294434</v>
      </c>
      <c r="L285" s="38">
        <v>1.3636589377893376</v>
      </c>
      <c r="M285" s="38">
        <v>1.7337228130890865</v>
      </c>
      <c r="N285" s="38">
        <v>11.794937682857093</v>
      </c>
      <c r="O285" s="39">
        <v>159.62999393247799</v>
      </c>
      <c r="P285" s="39">
        <v>21.34504273150689</v>
      </c>
      <c r="Q285" s="39">
        <v>13.37157397909546</v>
      </c>
      <c r="R285" s="44">
        <v>121.79693469768546</v>
      </c>
      <c r="T285" s="35">
        <v>100</v>
      </c>
      <c r="U285" s="44">
        <f t="shared" ref="U285:U309" si="41">R285-T285</f>
        <v>21.796934697685458</v>
      </c>
      <c r="W285" s="44">
        <f t="shared" ref="W285:W309" si="42">R285/L285</f>
        <v>89.316273536206637</v>
      </c>
      <c r="X285" s="3">
        <v>56.118666413933049</v>
      </c>
      <c r="Y285" s="10">
        <f t="shared" ref="Y285:Y309" si="43">W285/X285</f>
        <v>1.591560869914602</v>
      </c>
    </row>
    <row r="286" spans="1:25" x14ac:dyDescent="0.2">
      <c r="A286" s="42" t="str">
        <f t="shared" si="40"/>
        <v>Asia IG38990</v>
      </c>
      <c r="B286" s="1">
        <v>38990</v>
      </c>
      <c r="C286" s="34">
        <v>14</v>
      </c>
      <c r="D286" s="34">
        <v>14</v>
      </c>
      <c r="E286" s="37">
        <v>14</v>
      </c>
      <c r="F286" s="37">
        <v>45471.564605712891</v>
      </c>
      <c r="G286" s="37">
        <v>9692.7338256835937</v>
      </c>
      <c r="H286" s="37">
        <v>35778.830780029297</v>
      </c>
      <c r="I286" s="37">
        <v>6229.2856674194336</v>
      </c>
      <c r="J286" s="37">
        <v>26217.184661865234</v>
      </c>
      <c r="K286" s="37">
        <v>2302.2801685333252</v>
      </c>
      <c r="L286" s="38">
        <v>1.3647091112751004</v>
      </c>
      <c r="M286" s="38">
        <v>1.7344182906051895</v>
      </c>
      <c r="N286" s="38">
        <v>11.387486640501697</v>
      </c>
      <c r="O286" s="39">
        <v>155.59944339009485</v>
      </c>
      <c r="P286" s="39">
        <v>21.316033239080216</v>
      </c>
      <c r="Q286" s="39">
        <v>13.699299158570867</v>
      </c>
      <c r="R286" s="44">
        <v>109.563329655365</v>
      </c>
      <c r="T286" s="35">
        <v>95</v>
      </c>
      <c r="U286" s="44">
        <f t="shared" si="41"/>
        <v>14.563329655364996</v>
      </c>
      <c r="W286" s="44">
        <f t="shared" si="42"/>
        <v>80.2832843645308</v>
      </c>
      <c r="X286" s="3">
        <v>59.109252362488796</v>
      </c>
      <c r="Y286" s="10">
        <f t="shared" si="43"/>
        <v>1.3582185724866183</v>
      </c>
    </row>
    <row r="287" spans="1:25" x14ac:dyDescent="0.2">
      <c r="A287" s="42" t="str">
        <f t="shared" si="40"/>
        <v>Asia IG39082</v>
      </c>
      <c r="B287" s="1">
        <v>39082</v>
      </c>
      <c r="C287" s="34">
        <v>14</v>
      </c>
      <c r="D287" s="34">
        <v>14</v>
      </c>
      <c r="E287" s="37">
        <v>14</v>
      </c>
      <c r="F287" s="37">
        <v>45302.652740478516</v>
      </c>
      <c r="G287" s="37">
        <v>11136.554290771484</v>
      </c>
      <c r="H287" s="37">
        <v>34166.098449707031</v>
      </c>
      <c r="I287" s="37">
        <v>5742.1321249008179</v>
      </c>
      <c r="J287" s="37">
        <v>26624.000671386719</v>
      </c>
      <c r="K287" s="37">
        <v>2316.2552127838135</v>
      </c>
      <c r="L287" s="38">
        <v>1.2832819106118014</v>
      </c>
      <c r="M287" s="38">
        <v>1.7015719500475401</v>
      </c>
      <c r="N287" s="38">
        <v>11.494415867666158</v>
      </c>
      <c r="O287" s="39">
        <v>193.94458449462869</v>
      </c>
      <c r="P287" s="39">
        <v>24.582565516788883</v>
      </c>
      <c r="Q287" s="39">
        <v>12.675046112189689</v>
      </c>
      <c r="R287" s="44">
        <v>90.047303181116888</v>
      </c>
      <c r="T287" s="35">
        <v>79</v>
      </c>
      <c r="U287" s="44">
        <f t="shared" si="41"/>
        <v>11.047303181116888</v>
      </c>
      <c r="W287" s="44">
        <f t="shared" si="42"/>
        <v>70.169541420705499</v>
      </c>
      <c r="X287" s="3">
        <v>54.029478780440542</v>
      </c>
      <c r="Y287" s="10">
        <f t="shared" si="43"/>
        <v>1.2987269728411279</v>
      </c>
    </row>
    <row r="288" spans="1:25" x14ac:dyDescent="0.2">
      <c r="A288" s="42" t="str">
        <f t="shared" si="40"/>
        <v>Asia IG39172</v>
      </c>
      <c r="B288" s="1">
        <v>39172</v>
      </c>
      <c r="C288" s="34">
        <v>16</v>
      </c>
      <c r="D288" s="34">
        <v>16</v>
      </c>
      <c r="E288" s="37">
        <v>16</v>
      </c>
      <c r="F288" s="37">
        <v>54878.63916015625</v>
      </c>
      <c r="G288" s="37">
        <v>15922.853820800781</v>
      </c>
      <c r="H288" s="37">
        <v>38955.785339355469</v>
      </c>
      <c r="I288" s="37">
        <v>11976.455442428589</v>
      </c>
      <c r="J288" s="37">
        <v>29699.934417724609</v>
      </c>
      <c r="K288" s="37">
        <v>2556.2110214233398</v>
      </c>
      <c r="L288" s="38">
        <v>1.3116455003384473</v>
      </c>
      <c r="M288" s="38">
        <v>1.8477697084544824</v>
      </c>
      <c r="N288" s="38">
        <v>11.618733417864384</v>
      </c>
      <c r="O288" s="39">
        <v>132.95130514485462</v>
      </c>
      <c r="P288" s="39">
        <v>29.014665932826762</v>
      </c>
      <c r="Q288" s="39">
        <v>21.823528472484245</v>
      </c>
      <c r="R288" s="44">
        <v>91.257050864644441</v>
      </c>
      <c r="T288" s="35">
        <v>77</v>
      </c>
      <c r="U288" s="44">
        <f t="shared" si="41"/>
        <v>14.257050864644441</v>
      </c>
      <c r="W288" s="44">
        <f t="shared" si="42"/>
        <v>69.574477891394551</v>
      </c>
      <c r="X288" s="3">
        <v>55.850401091700363</v>
      </c>
      <c r="Y288" s="10">
        <f t="shared" si="43"/>
        <v>1.2457292433255891</v>
      </c>
    </row>
    <row r="289" spans="1:25" x14ac:dyDescent="0.2">
      <c r="A289" s="42" t="str">
        <f t="shared" si="40"/>
        <v>Asia IG39263</v>
      </c>
      <c r="B289" s="1">
        <v>39263</v>
      </c>
      <c r="C289" s="34">
        <v>16</v>
      </c>
      <c r="D289" s="34">
        <v>16</v>
      </c>
      <c r="E289" s="37">
        <v>16</v>
      </c>
      <c r="F289" s="37">
        <v>55756.323791503906</v>
      </c>
      <c r="G289" s="37">
        <v>15354.542510986328</v>
      </c>
      <c r="H289" s="37">
        <v>40401.781280517578</v>
      </c>
      <c r="I289" s="37">
        <v>11619.118827819824</v>
      </c>
      <c r="J289" s="37">
        <v>29778.9423828125</v>
      </c>
      <c r="K289" s="37">
        <v>2534.4304809570312</v>
      </c>
      <c r="L289" s="38">
        <v>1.3567231757645046</v>
      </c>
      <c r="M289" s="38">
        <v>1.8723406316701416</v>
      </c>
      <c r="N289" s="38">
        <v>11.74975703873622</v>
      </c>
      <c r="O289" s="39">
        <v>132.14894122799333</v>
      </c>
      <c r="P289" s="39">
        <v>27.53865654486718</v>
      </c>
      <c r="Q289" s="39">
        <v>20.839104943985447</v>
      </c>
      <c r="R289" s="44">
        <v>97.272690697595962</v>
      </c>
      <c r="T289" s="35">
        <v>87</v>
      </c>
      <c r="U289" s="44">
        <f t="shared" si="41"/>
        <v>10.272690697595962</v>
      </c>
      <c r="W289" s="44">
        <f t="shared" si="42"/>
        <v>71.696785634094766</v>
      </c>
      <c r="X289" s="3">
        <v>58.330807203472979</v>
      </c>
      <c r="Y289" s="10">
        <f t="shared" si="43"/>
        <v>1.2291409817799672</v>
      </c>
    </row>
    <row r="290" spans="1:25" x14ac:dyDescent="0.2">
      <c r="A290" s="42" t="str">
        <f t="shared" si="40"/>
        <v>Asia IG39355</v>
      </c>
      <c r="B290" s="1">
        <v>39355</v>
      </c>
      <c r="C290" s="34">
        <v>15</v>
      </c>
      <c r="D290" s="34">
        <v>15</v>
      </c>
      <c r="E290" s="37">
        <v>15</v>
      </c>
      <c r="F290" s="37">
        <v>53623.111389160156</v>
      </c>
      <c r="G290" s="37">
        <v>13239.162582397461</v>
      </c>
      <c r="H290" s="37">
        <v>40383.948806762695</v>
      </c>
      <c r="I290" s="37">
        <v>9601.9497489929199</v>
      </c>
      <c r="J290" s="37">
        <v>29702.589141845703</v>
      </c>
      <c r="K290" s="37">
        <v>2455.5289096832275</v>
      </c>
      <c r="L290" s="38">
        <v>1.3596103899868057</v>
      </c>
      <c r="M290" s="38">
        <v>1.8053345832271122</v>
      </c>
      <c r="N290" s="38">
        <v>12.096208285194837</v>
      </c>
      <c r="O290" s="39">
        <v>137.87994030885261</v>
      </c>
      <c r="P290" s="39">
        <v>24.689284600284758</v>
      </c>
      <c r="Q290" s="39">
        <v>17.906364439221896</v>
      </c>
      <c r="R290" s="44">
        <v>135.2629378962055</v>
      </c>
      <c r="T290" s="35">
        <v>128</v>
      </c>
      <c r="U290" s="44">
        <f t="shared" si="41"/>
        <v>7.2629378962055</v>
      </c>
      <c r="W290" s="44">
        <f t="shared" si="42"/>
        <v>99.486543271795796</v>
      </c>
      <c r="X290" s="3">
        <v>86.586343590452074</v>
      </c>
      <c r="Y290" s="10">
        <f t="shared" si="43"/>
        <v>1.1489865392903165</v>
      </c>
    </row>
    <row r="291" spans="1:25" x14ac:dyDescent="0.2">
      <c r="A291" s="42" t="str">
        <f t="shared" si="40"/>
        <v>Asia IG39447</v>
      </c>
      <c r="B291" s="1">
        <v>39447</v>
      </c>
      <c r="C291" s="34">
        <v>16</v>
      </c>
      <c r="D291" s="34">
        <v>16</v>
      </c>
      <c r="E291" s="37">
        <v>16</v>
      </c>
      <c r="F291" s="37">
        <v>55072.9072265625</v>
      </c>
      <c r="G291" s="37">
        <v>15098.256629943848</v>
      </c>
      <c r="H291" s="37">
        <v>39974.650596618652</v>
      </c>
      <c r="I291" s="37">
        <v>11096.880615234375</v>
      </c>
      <c r="J291" s="37">
        <v>30137.406127929688</v>
      </c>
      <c r="K291" s="37">
        <v>2505.315372467041</v>
      </c>
      <c r="L291" s="38">
        <v>1.326413110236861</v>
      </c>
      <c r="M291" s="38">
        <v>1.8273937376290643</v>
      </c>
      <c r="N291" s="38">
        <v>12.029386183924899</v>
      </c>
      <c r="O291" s="39">
        <v>136.05856594704798</v>
      </c>
      <c r="P291" s="39">
        <v>27.415034706324221</v>
      </c>
      <c r="Q291" s="39">
        <v>20.149436763131657</v>
      </c>
      <c r="R291" s="44">
        <v>176.88490397843333</v>
      </c>
      <c r="T291" s="35">
        <v>187</v>
      </c>
      <c r="U291" s="44">
        <f t="shared" si="41"/>
        <v>-10.115096021566671</v>
      </c>
      <c r="W291" s="44">
        <f t="shared" si="42"/>
        <v>133.35581698739884</v>
      </c>
      <c r="X291" s="3">
        <v>116.21456815653275</v>
      </c>
      <c r="Y291" s="10">
        <f t="shared" si="43"/>
        <v>1.1474965583297445</v>
      </c>
    </row>
    <row r="292" spans="1:25" x14ac:dyDescent="0.2">
      <c r="A292" s="42" t="str">
        <f t="shared" si="40"/>
        <v>Asia IG39538</v>
      </c>
      <c r="B292" s="1">
        <v>39538</v>
      </c>
      <c r="C292" s="34">
        <v>16</v>
      </c>
      <c r="D292" s="34">
        <v>16</v>
      </c>
      <c r="E292" s="37">
        <v>16</v>
      </c>
      <c r="F292" s="37">
        <v>58732.421478271484</v>
      </c>
      <c r="G292" s="37">
        <v>14476.782285690308</v>
      </c>
      <c r="H292" s="37">
        <v>44255.639192581177</v>
      </c>
      <c r="I292" s="37">
        <v>10964.336917877197</v>
      </c>
      <c r="J292" s="37">
        <v>31153.720779418945</v>
      </c>
      <c r="K292" s="37">
        <v>3007.0271873474121</v>
      </c>
      <c r="L292" s="38">
        <v>1.4205570983295754</v>
      </c>
      <c r="M292" s="38">
        <v>1.885245807206176</v>
      </c>
      <c r="N292" s="38">
        <v>10.360305656863902</v>
      </c>
      <c r="O292" s="39">
        <v>132.0351827394698</v>
      </c>
      <c r="P292" s="39">
        <v>24.648706662036922</v>
      </c>
      <c r="Q292" s="39">
        <v>18.668286854022423</v>
      </c>
      <c r="R292" s="44">
        <v>296.60016453959673</v>
      </c>
      <c r="T292" s="35">
        <v>285</v>
      </c>
      <c r="U292" s="44">
        <f t="shared" si="41"/>
        <v>11.600164539596733</v>
      </c>
      <c r="W292" s="44">
        <f t="shared" si="42"/>
        <v>208.79144167338791</v>
      </c>
      <c r="X292" s="3">
        <v>165.29427002345625</v>
      </c>
      <c r="Y292" s="10">
        <f t="shared" si="43"/>
        <v>1.2631499061870635</v>
      </c>
    </row>
    <row r="293" spans="1:25" x14ac:dyDescent="0.2">
      <c r="A293" s="42" t="str">
        <f t="shared" si="40"/>
        <v>Asia IG39629</v>
      </c>
      <c r="B293" s="1">
        <v>39629</v>
      </c>
      <c r="C293" s="34">
        <v>16</v>
      </c>
      <c r="D293" s="34">
        <v>16</v>
      </c>
      <c r="E293" s="37">
        <v>16</v>
      </c>
      <c r="F293" s="37">
        <v>57286.254516601563</v>
      </c>
      <c r="G293" s="37">
        <v>12542.511594772339</v>
      </c>
      <c r="H293" s="37">
        <v>44743.742921829224</v>
      </c>
      <c r="I293" s="37">
        <v>10840.296502113342</v>
      </c>
      <c r="J293" s="37">
        <v>32153.108016967773</v>
      </c>
      <c r="K293" s="37">
        <v>2915.8070945739746</v>
      </c>
      <c r="L293" s="38">
        <v>1.3915837591257787</v>
      </c>
      <c r="M293" s="38">
        <v>1.7816708259235958</v>
      </c>
      <c r="N293" s="38">
        <v>11.027172571464515</v>
      </c>
      <c r="O293" s="39">
        <v>115.70266175216837</v>
      </c>
      <c r="P293" s="39">
        <v>21.894452169389986</v>
      </c>
      <c r="Q293" s="39">
        <v>18.923032398586688</v>
      </c>
      <c r="R293" s="44">
        <v>264.72950224894043</v>
      </c>
      <c r="T293" s="35">
        <v>255</v>
      </c>
      <c r="U293" s="44">
        <f t="shared" si="41"/>
        <v>9.7295022489404346</v>
      </c>
      <c r="W293" s="44">
        <f t="shared" si="42"/>
        <v>190.23612521552343</v>
      </c>
      <c r="X293" s="3">
        <v>149.99528727700684</v>
      </c>
      <c r="Y293" s="10">
        <f t="shared" si="43"/>
        <v>1.2682806818070291</v>
      </c>
    </row>
    <row r="294" spans="1:25" x14ac:dyDescent="0.2">
      <c r="A294" s="42" t="str">
        <f t="shared" si="40"/>
        <v>Asia IG39721</v>
      </c>
      <c r="B294" s="1">
        <v>39721</v>
      </c>
      <c r="C294" s="34">
        <v>15</v>
      </c>
      <c r="D294" s="34">
        <v>15</v>
      </c>
      <c r="E294" s="37">
        <v>15</v>
      </c>
      <c r="F294" s="37">
        <v>56469.638305664063</v>
      </c>
      <c r="G294" s="37">
        <v>12611.296430587769</v>
      </c>
      <c r="H294" s="37">
        <v>43858.341875076294</v>
      </c>
      <c r="I294" s="37">
        <v>10837.828043937683</v>
      </c>
      <c r="J294" s="37">
        <v>31579.56282043457</v>
      </c>
      <c r="K294" s="37">
        <v>2897.9025478363037</v>
      </c>
      <c r="L294" s="38">
        <v>1.3888204255537175</v>
      </c>
      <c r="M294" s="38">
        <v>1.7881703627994359</v>
      </c>
      <c r="N294" s="38">
        <v>10.897386057379054</v>
      </c>
      <c r="O294" s="39">
        <v>116.36368818051237</v>
      </c>
      <c r="P294" s="39">
        <v>22.332879772178071</v>
      </c>
      <c r="Q294" s="39">
        <v>19.192310007855351</v>
      </c>
      <c r="R294" s="44">
        <v>339.08719601024723</v>
      </c>
      <c r="T294" s="35">
        <v>382</v>
      </c>
      <c r="U294" s="44">
        <f t="shared" si="41"/>
        <v>-42.912803989752774</v>
      </c>
      <c r="W294" s="44">
        <f t="shared" si="42"/>
        <v>244.15481639755868</v>
      </c>
      <c r="X294" s="3">
        <v>253.25172981643445</v>
      </c>
      <c r="Y294" s="10">
        <f t="shared" si="43"/>
        <v>0.96407956058002242</v>
      </c>
    </row>
    <row r="295" spans="1:25" x14ac:dyDescent="0.2">
      <c r="A295" s="42" t="str">
        <f t="shared" si="40"/>
        <v>Asia IG39813</v>
      </c>
      <c r="B295" s="1">
        <v>39813</v>
      </c>
      <c r="C295" s="34">
        <v>14</v>
      </c>
      <c r="D295" s="34">
        <v>14</v>
      </c>
      <c r="E295" s="37">
        <v>14</v>
      </c>
      <c r="F295" s="37">
        <v>56319.178588867188</v>
      </c>
      <c r="G295" s="37">
        <v>14959.487043380737</v>
      </c>
      <c r="H295" s="37">
        <v>41359.69154548645</v>
      </c>
      <c r="I295" s="37">
        <v>10639.619234085083</v>
      </c>
      <c r="J295" s="37">
        <v>27844.600509643555</v>
      </c>
      <c r="K295" s="37">
        <v>2848.177698135376</v>
      </c>
      <c r="L295" s="38">
        <v>1.485375648724504</v>
      </c>
      <c r="M295" s="38">
        <v>2.0226247659528065</v>
      </c>
      <c r="N295" s="38">
        <v>9.7762862646781663</v>
      </c>
      <c r="O295" s="39">
        <v>140.60171434948091</v>
      </c>
      <c r="P295" s="39">
        <v>26.561976609399331</v>
      </c>
      <c r="Q295" s="39">
        <v>18.891644907953708</v>
      </c>
      <c r="R295" s="44">
        <v>621.44320163354223</v>
      </c>
      <c r="T295" s="35">
        <v>666</v>
      </c>
      <c r="U295" s="44">
        <f t="shared" si="41"/>
        <v>-44.55679836645777</v>
      </c>
      <c r="W295" s="44">
        <f t="shared" si="42"/>
        <v>418.37443758228915</v>
      </c>
      <c r="X295" s="3">
        <v>333.7263516235501</v>
      </c>
      <c r="Y295" s="10">
        <f t="shared" si="43"/>
        <v>1.2536451962721353</v>
      </c>
    </row>
    <row r="296" spans="1:25" x14ac:dyDescent="0.2">
      <c r="A296" s="42" t="str">
        <f t="shared" si="40"/>
        <v>Asia IG39903</v>
      </c>
      <c r="B296" s="1">
        <v>39903</v>
      </c>
      <c r="C296" s="34">
        <v>14</v>
      </c>
      <c r="D296" s="34">
        <v>14</v>
      </c>
      <c r="E296" s="37">
        <v>14</v>
      </c>
      <c r="F296" s="37">
        <v>58387.536193847656</v>
      </c>
      <c r="G296" s="37">
        <v>15970.741622924805</v>
      </c>
      <c r="H296" s="37">
        <v>42416.794570922852</v>
      </c>
      <c r="I296" s="37">
        <v>9546.6473512649536</v>
      </c>
      <c r="J296" s="37">
        <v>25053.836761474609</v>
      </c>
      <c r="K296" s="37">
        <v>2753.180513381958</v>
      </c>
      <c r="L296" s="38">
        <v>1.6930259015715843</v>
      </c>
      <c r="M296" s="38">
        <v>2.3304828218418994</v>
      </c>
      <c r="N296" s="38">
        <v>9.0999615316537756</v>
      </c>
      <c r="O296" s="39">
        <v>167.29162642431371</v>
      </c>
      <c r="P296" s="39">
        <v>27.352998026670726</v>
      </c>
      <c r="Q296" s="39">
        <v>16.350488432274169</v>
      </c>
      <c r="R296" s="44">
        <v>550.46772368441714</v>
      </c>
      <c r="T296" s="35">
        <v>596</v>
      </c>
      <c r="U296" s="44">
        <f t="shared" si="41"/>
        <v>-45.532276315582862</v>
      </c>
      <c r="W296" s="44">
        <f t="shared" si="42"/>
        <v>325.13839461843719</v>
      </c>
      <c r="X296" s="3">
        <v>376.37090280999524</v>
      </c>
      <c r="Y296" s="10">
        <f t="shared" si="43"/>
        <v>0.86387760634774158</v>
      </c>
    </row>
    <row r="297" spans="1:25" x14ac:dyDescent="0.2">
      <c r="A297" s="42" t="str">
        <f t="shared" si="40"/>
        <v>Asia IG39994</v>
      </c>
      <c r="B297" s="1">
        <v>39994</v>
      </c>
      <c r="C297" s="34">
        <v>14</v>
      </c>
      <c r="D297" s="34">
        <v>14</v>
      </c>
      <c r="E297" s="37">
        <v>14</v>
      </c>
      <c r="F297" s="37">
        <v>63188.9140625</v>
      </c>
      <c r="G297" s="37">
        <v>15901.454330444336</v>
      </c>
      <c r="H297" s="37">
        <v>47287.459732055664</v>
      </c>
      <c r="I297" s="37">
        <v>10115.982395172119</v>
      </c>
      <c r="J297" s="37">
        <v>21837.300712585449</v>
      </c>
      <c r="K297" s="37">
        <v>2732.0068035125732</v>
      </c>
      <c r="L297" s="38">
        <v>2.1654443630389983</v>
      </c>
      <c r="M297" s="38">
        <v>2.8936229295996485</v>
      </c>
      <c r="N297" s="38">
        <v>7.9931355531431967</v>
      </c>
      <c r="O297" s="39">
        <v>157.19139979952269</v>
      </c>
      <c r="P297" s="39">
        <v>25.16494319670733</v>
      </c>
      <c r="Q297" s="39">
        <v>16.009109422526908</v>
      </c>
      <c r="R297" s="44">
        <v>325.65228065653116</v>
      </c>
      <c r="T297" s="35">
        <v>345</v>
      </c>
      <c r="U297" s="44">
        <f t="shared" si="41"/>
        <v>-19.347719343468839</v>
      </c>
      <c r="W297" s="44">
        <f t="shared" si="42"/>
        <v>150.38589132786984</v>
      </c>
      <c r="X297" s="3">
        <v>214.99974301240138</v>
      </c>
      <c r="Y297" s="10">
        <f t="shared" si="43"/>
        <v>0.69947009806051463</v>
      </c>
    </row>
    <row r="298" spans="1:25" x14ac:dyDescent="0.2">
      <c r="A298" s="42" t="str">
        <f t="shared" si="40"/>
        <v>Asia IG40086</v>
      </c>
      <c r="B298" s="1">
        <v>40086</v>
      </c>
      <c r="C298" s="34">
        <v>14</v>
      </c>
      <c r="D298" s="34">
        <v>14</v>
      </c>
      <c r="E298" s="37">
        <v>14</v>
      </c>
      <c r="F298" s="37">
        <v>66237.27490234375</v>
      </c>
      <c r="G298" s="37">
        <v>15696.7578125</v>
      </c>
      <c r="H298" s="37">
        <v>50540.51708984375</v>
      </c>
      <c r="I298" s="37">
        <v>9313.3726391792297</v>
      </c>
      <c r="J298" s="37">
        <v>20616.498153686523</v>
      </c>
      <c r="K298" s="37">
        <v>2734.5878314971924</v>
      </c>
      <c r="L298" s="38">
        <v>2.4514598314945348</v>
      </c>
      <c r="M298" s="38">
        <v>3.212828600113137</v>
      </c>
      <c r="N298" s="38">
        <v>7.539161081689941</v>
      </c>
      <c r="O298" s="39">
        <v>168.5399953446223</v>
      </c>
      <c r="P298" s="39">
        <v>23.697771135123471</v>
      </c>
      <c r="Q298" s="39">
        <v>14.060621686067709</v>
      </c>
      <c r="R298" s="44">
        <v>238.90263519183321</v>
      </c>
      <c r="T298" s="35">
        <v>256</v>
      </c>
      <c r="U298" s="44">
        <f t="shared" si="41"/>
        <v>-17.097364808166787</v>
      </c>
      <c r="W298" s="44">
        <f t="shared" si="42"/>
        <v>97.453212213632725</v>
      </c>
      <c r="X298" s="3">
        <v>150.78370507926257</v>
      </c>
      <c r="Y298" s="10">
        <f t="shared" si="43"/>
        <v>0.64631129844172763</v>
      </c>
    </row>
    <row r="299" spans="1:25" x14ac:dyDescent="0.2">
      <c r="A299" s="42" t="str">
        <f t="shared" si="40"/>
        <v>Asia IG40178</v>
      </c>
      <c r="B299" s="1">
        <v>40178</v>
      </c>
      <c r="C299" s="34">
        <v>15</v>
      </c>
      <c r="D299" s="34">
        <v>15</v>
      </c>
      <c r="E299" s="37">
        <v>15</v>
      </c>
      <c r="F299" s="37">
        <v>66968.309936523438</v>
      </c>
      <c r="G299" s="37">
        <v>15934.094345092773</v>
      </c>
      <c r="H299" s="37">
        <v>51034.215591430664</v>
      </c>
      <c r="I299" s="37">
        <v>9182.0358700752258</v>
      </c>
      <c r="J299" s="37">
        <v>22908.144714355469</v>
      </c>
      <c r="K299" s="37">
        <v>3012.5889225006104</v>
      </c>
      <c r="L299" s="38">
        <v>2.2277760258538044</v>
      </c>
      <c r="M299" s="38">
        <v>2.9233406184376647</v>
      </c>
      <c r="N299" s="38">
        <v>7.6041389328818481</v>
      </c>
      <c r="O299" s="39">
        <v>173.53552709397366</v>
      </c>
      <c r="P299" s="39">
        <v>23.793484351323873</v>
      </c>
      <c r="Q299" s="39">
        <v>13.711016268408905</v>
      </c>
      <c r="R299" s="44">
        <v>207.3428378964629</v>
      </c>
      <c r="T299" s="35">
        <v>202</v>
      </c>
      <c r="U299" s="44">
        <f t="shared" si="41"/>
        <v>5.3428378964628962</v>
      </c>
      <c r="W299" s="44">
        <f t="shared" si="42"/>
        <v>93.071671249805235</v>
      </c>
      <c r="X299" s="3">
        <v>124.9338562658512</v>
      </c>
      <c r="Y299" s="10">
        <f t="shared" si="43"/>
        <v>0.74496756949337017</v>
      </c>
    </row>
    <row r="300" spans="1:25" x14ac:dyDescent="0.2">
      <c r="A300" s="42" t="str">
        <f t="shared" si="40"/>
        <v>Asia IG40268</v>
      </c>
      <c r="B300" s="1">
        <v>40268</v>
      </c>
      <c r="C300" s="34">
        <v>15</v>
      </c>
      <c r="D300" s="34">
        <v>17</v>
      </c>
      <c r="E300" s="37">
        <v>15</v>
      </c>
      <c r="F300" s="37">
        <v>78659.330200195313</v>
      </c>
      <c r="G300" s="37">
        <v>16495.425765991211</v>
      </c>
      <c r="H300" s="37">
        <v>62163.904434204102</v>
      </c>
      <c r="I300" s="37">
        <v>20327.151531219482</v>
      </c>
      <c r="J300" s="37">
        <v>28144.098449707031</v>
      </c>
      <c r="K300" s="37">
        <v>3281.4472885131836</v>
      </c>
      <c r="L300" s="38">
        <v>2.2087722776158496</v>
      </c>
      <c r="M300" s="38">
        <v>2.7948783060419591</v>
      </c>
      <c r="N300" s="38">
        <v>8.5767333664710677</v>
      </c>
      <c r="O300" s="39">
        <v>92.219809634303388</v>
      </c>
      <c r="P300" s="39">
        <v>21.513599019253764</v>
      </c>
      <c r="Q300" s="39">
        <v>23.32860922676559</v>
      </c>
      <c r="R300" s="44">
        <v>170.74698282179682</v>
      </c>
      <c r="T300" s="35">
        <v>170</v>
      </c>
      <c r="U300" s="44">
        <f t="shared" si="41"/>
        <v>0.74698282179681996</v>
      </c>
      <c r="W300" s="44">
        <f t="shared" si="42"/>
        <v>77.304022941695578</v>
      </c>
      <c r="X300" s="3">
        <v>106.42294796763866</v>
      </c>
      <c r="Y300" s="10">
        <f t="shared" si="43"/>
        <v>0.72638490492860963</v>
      </c>
    </row>
    <row r="301" spans="1:25" x14ac:dyDescent="0.2">
      <c r="A301" s="42" t="str">
        <f t="shared" si="40"/>
        <v>Asia IG40359</v>
      </c>
      <c r="B301" s="1">
        <v>40359</v>
      </c>
      <c r="C301" s="34">
        <v>17</v>
      </c>
      <c r="D301" s="34">
        <v>18</v>
      </c>
      <c r="E301" s="37">
        <v>17</v>
      </c>
      <c r="F301" s="37">
        <v>87376.003784179688</v>
      </c>
      <c r="G301" s="37">
        <v>18503.671569824219</v>
      </c>
      <c r="H301" s="37">
        <v>68872.332214355469</v>
      </c>
      <c r="I301" s="37">
        <v>23614.502910614014</v>
      </c>
      <c r="J301" s="37">
        <v>33480.080596923828</v>
      </c>
      <c r="K301" s="37">
        <v>3789.2980537414551</v>
      </c>
      <c r="L301" s="38">
        <v>2.0571136922735933</v>
      </c>
      <c r="M301" s="38">
        <v>2.6097907241061975</v>
      </c>
      <c r="N301" s="38">
        <v>8.8354307637179552</v>
      </c>
      <c r="O301" s="39">
        <v>81.311702053302341</v>
      </c>
      <c r="P301" s="39">
        <v>20.936234530120583</v>
      </c>
      <c r="Q301" s="39">
        <v>25.74811989102901</v>
      </c>
      <c r="R301" s="44">
        <v>234.18475137904733</v>
      </c>
      <c r="T301" s="35">
        <v>220</v>
      </c>
      <c r="U301" s="44">
        <f t="shared" si="41"/>
        <v>14.184751379047327</v>
      </c>
      <c r="W301" s="44">
        <f t="shared" si="42"/>
        <v>113.84142366979155</v>
      </c>
      <c r="X301" s="3">
        <v>121.74346129230921</v>
      </c>
      <c r="Y301" s="10">
        <f t="shared" si="43"/>
        <v>0.93509271431387464</v>
      </c>
    </row>
    <row r="302" spans="1:25" x14ac:dyDescent="0.2">
      <c r="A302" s="42" t="str">
        <f t="shared" si="40"/>
        <v>Asia IG40451</v>
      </c>
      <c r="B302" s="1">
        <v>40451</v>
      </c>
      <c r="C302" s="34">
        <v>17</v>
      </c>
      <c r="D302" s="34">
        <v>18</v>
      </c>
      <c r="E302" s="37">
        <v>17</v>
      </c>
      <c r="F302" s="37">
        <v>90327.586364746094</v>
      </c>
      <c r="G302" s="37">
        <v>21271.035995483398</v>
      </c>
      <c r="H302" s="37">
        <v>69056.550369262695</v>
      </c>
      <c r="I302" s="37">
        <v>22444.872108459473</v>
      </c>
      <c r="J302" s="37">
        <v>34817.502349853516</v>
      </c>
      <c r="K302" s="37">
        <v>3906.4372520446777</v>
      </c>
      <c r="L302" s="38">
        <v>1.9833861049356181</v>
      </c>
      <c r="M302" s="38">
        <v>2.5943155099729927</v>
      </c>
      <c r="N302" s="38">
        <v>8.9128533503589757</v>
      </c>
      <c r="O302" s="39">
        <v>97.878564723146908</v>
      </c>
      <c r="P302" s="39">
        <v>23.20678036362871</v>
      </c>
      <c r="Q302" s="39">
        <v>23.709767740536382</v>
      </c>
      <c r="R302" s="44">
        <v>214.79258913562026</v>
      </c>
      <c r="T302" s="35">
        <v>197</v>
      </c>
      <c r="U302" s="44">
        <f t="shared" si="41"/>
        <v>17.792589135620261</v>
      </c>
      <c r="W302" s="44">
        <f t="shared" si="42"/>
        <v>108.29590295158015</v>
      </c>
      <c r="X302" s="3">
        <v>112.8669491979097</v>
      </c>
      <c r="Y302" s="10">
        <f t="shared" si="43"/>
        <v>0.95950057763753027</v>
      </c>
    </row>
    <row r="303" spans="1:25" x14ac:dyDescent="0.2">
      <c r="A303" s="42" t="str">
        <f t="shared" si="40"/>
        <v>Asia IG40543</v>
      </c>
      <c r="B303" s="1">
        <v>40543</v>
      </c>
      <c r="C303" s="34">
        <v>19</v>
      </c>
      <c r="D303" s="34">
        <v>20</v>
      </c>
      <c r="E303" s="37">
        <v>19</v>
      </c>
      <c r="F303" s="37">
        <v>118650.73486328125</v>
      </c>
      <c r="G303" s="37">
        <v>26730.970611572266</v>
      </c>
      <c r="H303" s="37">
        <v>91919.764251708984</v>
      </c>
      <c r="I303" s="37">
        <v>28233.472424507141</v>
      </c>
      <c r="J303" s="37">
        <v>46200.768249511719</v>
      </c>
      <c r="K303" s="37">
        <v>4515.1150131225586</v>
      </c>
      <c r="L303" s="38">
        <v>1.9895722026804274</v>
      </c>
      <c r="M303" s="38">
        <v>2.568155019035538</v>
      </c>
      <c r="N303" s="38">
        <v>10.232467637089103</v>
      </c>
      <c r="O303" s="39">
        <v>97.149414982998621</v>
      </c>
      <c r="P303" s="39">
        <v>22.301851327719056</v>
      </c>
      <c r="Q303" s="39">
        <v>22.95623842060391</v>
      </c>
      <c r="R303" s="44">
        <v>193.25747753508324</v>
      </c>
      <c r="T303" s="35">
        <v>191</v>
      </c>
      <c r="U303" s="44">
        <f t="shared" si="41"/>
        <v>2.2574775350832397</v>
      </c>
      <c r="W303" s="44">
        <f t="shared" si="42"/>
        <v>97.1351918139585</v>
      </c>
      <c r="X303" s="3">
        <v>121.01309651215067</v>
      </c>
      <c r="Y303" s="10">
        <f t="shared" si="43"/>
        <v>0.80268330134173005</v>
      </c>
    </row>
    <row r="304" spans="1:25" x14ac:dyDescent="0.2">
      <c r="A304" s="42" t="str">
        <f t="shared" si="40"/>
        <v>Asia IG40633</v>
      </c>
      <c r="B304" s="1">
        <v>40633</v>
      </c>
      <c r="C304" s="34">
        <v>16</v>
      </c>
      <c r="D304" s="34">
        <v>17</v>
      </c>
      <c r="E304" s="37">
        <v>16</v>
      </c>
      <c r="F304" s="37">
        <v>101785.14923095703</v>
      </c>
      <c r="G304" s="37">
        <v>19165.393325805664</v>
      </c>
      <c r="H304" s="37">
        <v>82619.755905151367</v>
      </c>
      <c r="I304" s="37">
        <v>25542.406393527985</v>
      </c>
      <c r="J304" s="37">
        <v>43999.622924804688</v>
      </c>
      <c r="K304" s="37">
        <v>4246.3349533081055</v>
      </c>
      <c r="L304" s="38">
        <v>1.8777378171251251</v>
      </c>
      <c r="M304" s="38">
        <v>2.3133186710465168</v>
      </c>
      <c r="N304" s="38">
        <v>10.361788085164314</v>
      </c>
      <c r="O304" s="39">
        <v>86.456330773142255</v>
      </c>
      <c r="P304" s="39">
        <v>20.353279582548151</v>
      </c>
      <c r="Q304" s="39">
        <v>23.541687925612173</v>
      </c>
      <c r="R304" s="44">
        <v>192.32896938214367</v>
      </c>
      <c r="T304" s="35">
        <v>167</v>
      </c>
      <c r="U304" s="44">
        <f t="shared" si="41"/>
        <v>25.328969382143669</v>
      </c>
      <c r="W304" s="44">
        <f t="shared" si="42"/>
        <v>102.42589121233405</v>
      </c>
      <c r="X304" s="3">
        <v>107.30194647284836</v>
      </c>
      <c r="Y304" s="10">
        <f t="shared" si="43"/>
        <v>0.9545576252733855</v>
      </c>
    </row>
    <row r="305" spans="1:25" x14ac:dyDescent="0.2">
      <c r="A305" s="42" t="str">
        <f t="shared" si="40"/>
        <v>Asia IG40724</v>
      </c>
      <c r="B305" s="1">
        <v>40724</v>
      </c>
      <c r="C305" s="34">
        <v>15</v>
      </c>
      <c r="D305" s="34">
        <v>16</v>
      </c>
      <c r="E305" s="37">
        <v>15</v>
      </c>
      <c r="F305" s="37">
        <v>93036.291381835938</v>
      </c>
      <c r="G305" s="37">
        <v>16851.579727172852</v>
      </c>
      <c r="H305" s="37">
        <v>76184.711654663086</v>
      </c>
      <c r="I305" s="37">
        <v>25429.565201759338</v>
      </c>
      <c r="J305" s="37">
        <v>42401.670837402344</v>
      </c>
      <c r="K305" s="37">
        <v>3909.6484603881836</v>
      </c>
      <c r="L305" s="38">
        <v>1.7967384338888093</v>
      </c>
      <c r="M305" s="38">
        <v>2.1941656907484175</v>
      </c>
      <c r="N305" s="38">
        <v>10.845392179631501</v>
      </c>
      <c r="O305" s="39">
        <v>77.364239733070633</v>
      </c>
      <c r="P305" s="39">
        <v>19.705302489472249</v>
      </c>
      <c r="Q305" s="39">
        <v>25.470815143354773</v>
      </c>
      <c r="R305" s="44">
        <v>217.43742940231985</v>
      </c>
      <c r="T305" s="35">
        <v>195</v>
      </c>
      <c r="U305" s="44">
        <f t="shared" si="41"/>
        <v>22.43742940231985</v>
      </c>
      <c r="W305" s="44">
        <f t="shared" si="42"/>
        <v>121.0178539631417</v>
      </c>
      <c r="X305" s="3">
        <v>120.45643531081808</v>
      </c>
      <c r="Y305" s="10">
        <f t="shared" si="43"/>
        <v>1.0046607609703457</v>
      </c>
    </row>
    <row r="306" spans="1:25" x14ac:dyDescent="0.2">
      <c r="A306" s="42" t="str">
        <f t="shared" si="40"/>
        <v>Asia IG40816</v>
      </c>
      <c r="B306" s="1">
        <v>40816</v>
      </c>
      <c r="C306" s="34">
        <v>16</v>
      </c>
      <c r="D306" s="34">
        <v>17</v>
      </c>
      <c r="E306" s="37">
        <v>16</v>
      </c>
      <c r="F306" s="37">
        <v>102834.80200195312</v>
      </c>
      <c r="G306" s="37">
        <v>17765.400527954102</v>
      </c>
      <c r="H306" s="37">
        <v>85069.401473999023</v>
      </c>
      <c r="I306" s="37">
        <v>30105.729657292366</v>
      </c>
      <c r="J306" s="37">
        <v>45471.371459960938</v>
      </c>
      <c r="K306" s="37">
        <v>4876.3941421508789</v>
      </c>
      <c r="L306" s="38">
        <v>1.8708343017299462</v>
      </c>
      <c r="M306" s="38">
        <v>2.2615284892496064</v>
      </c>
      <c r="N306" s="38">
        <v>9.32479412747068</v>
      </c>
      <c r="O306" s="39">
        <v>65.919676182823792</v>
      </c>
      <c r="P306" s="39">
        <v>18.169403820499202</v>
      </c>
      <c r="Q306" s="39">
        <v>27.562944590485515</v>
      </c>
      <c r="R306" s="44">
        <v>364.61674169355183</v>
      </c>
      <c r="T306" s="35">
        <v>311</v>
      </c>
      <c r="U306" s="44">
        <f t="shared" si="41"/>
        <v>53.61674169355183</v>
      </c>
      <c r="W306" s="44">
        <f t="shared" si="42"/>
        <v>194.89526215998578</v>
      </c>
      <c r="X306" s="3">
        <v>192.22718757278759</v>
      </c>
      <c r="Y306" s="10">
        <f t="shared" si="43"/>
        <v>1.0138797982787315</v>
      </c>
    </row>
    <row r="307" spans="1:25" x14ac:dyDescent="0.2">
      <c r="A307" s="42" t="str">
        <f t="shared" si="40"/>
        <v>Asia IG40908</v>
      </c>
      <c r="B307" s="1">
        <v>40908</v>
      </c>
      <c r="C307" s="34">
        <v>15</v>
      </c>
      <c r="D307" s="34">
        <v>15</v>
      </c>
      <c r="E307" s="37">
        <v>15</v>
      </c>
      <c r="F307" s="37">
        <v>95354.65380859375</v>
      </c>
      <c r="G307" s="37">
        <v>16077.341651916504</v>
      </c>
      <c r="H307" s="37">
        <v>79277.312156677246</v>
      </c>
      <c r="I307" s="37">
        <v>22855.102857112885</v>
      </c>
      <c r="J307" s="37">
        <v>42861.336181640625</v>
      </c>
      <c r="K307" s="37">
        <v>4589.451976776123</v>
      </c>
      <c r="L307" s="38">
        <v>1.8496229753713365</v>
      </c>
      <c r="M307" s="38">
        <v>2.2247242457513097</v>
      </c>
      <c r="N307" s="38">
        <v>9.339096780733442</v>
      </c>
      <c r="O307" s="39">
        <v>70.344647987059801</v>
      </c>
      <c r="P307" s="39">
        <v>16.860573668683958</v>
      </c>
      <c r="Q307" s="39">
        <v>23.968523762867555</v>
      </c>
      <c r="R307" s="44">
        <v>376.38058558433045</v>
      </c>
      <c r="T307" s="35">
        <v>305</v>
      </c>
      <c r="U307" s="44">
        <f t="shared" si="41"/>
        <v>71.380585584330447</v>
      </c>
      <c r="W307" s="44">
        <f t="shared" si="42"/>
        <v>203.49043594074465</v>
      </c>
      <c r="X307" s="3">
        <v>194.86698227275534</v>
      </c>
      <c r="Y307" s="10">
        <f t="shared" si="43"/>
        <v>1.0442530261792584</v>
      </c>
    </row>
    <row r="308" spans="1:25" x14ac:dyDescent="0.2">
      <c r="A308" s="42" t="str">
        <f t="shared" si="40"/>
        <v>Asia IG40999</v>
      </c>
      <c r="B308" s="1">
        <v>40999</v>
      </c>
      <c r="C308" s="34">
        <v>10</v>
      </c>
      <c r="D308" s="34">
        <v>10</v>
      </c>
      <c r="E308" s="37">
        <v>10</v>
      </c>
      <c r="F308" s="37">
        <v>54343.260620117188</v>
      </c>
      <c r="G308" s="37">
        <v>13906.771667480469</v>
      </c>
      <c r="H308" s="37">
        <v>40436.488952636719</v>
      </c>
      <c r="I308" s="37">
        <v>9280.2663650512695</v>
      </c>
      <c r="J308" s="37">
        <v>25850.249694824219</v>
      </c>
      <c r="K308" s="37">
        <v>3086.9490585327148</v>
      </c>
      <c r="L308" s="38">
        <v>1.5642591243802562</v>
      </c>
      <c r="M308" s="38">
        <v>2.1022334894891901</v>
      </c>
      <c r="N308" s="38">
        <v>8.3740447946074408</v>
      </c>
      <c r="O308" s="39">
        <v>149.85315205878405</v>
      </c>
      <c r="P308" s="39">
        <v>25.590609596827097</v>
      </c>
      <c r="Q308" s="39">
        <v>17.077124668547828</v>
      </c>
      <c r="R308" s="44">
        <v>292.60011533738805</v>
      </c>
      <c r="T308" s="35">
        <v>246</v>
      </c>
      <c r="U308" s="44">
        <f t="shared" si="41"/>
        <v>46.600115337388047</v>
      </c>
      <c r="W308" s="44">
        <f t="shared" si="42"/>
        <v>187.05348159839775</v>
      </c>
      <c r="X308" s="3">
        <v>140.73485509079555</v>
      </c>
      <c r="Y308" s="10">
        <f t="shared" si="43"/>
        <v>1.3291197939396007</v>
      </c>
    </row>
    <row r="309" spans="1:25" x14ac:dyDescent="0.2">
      <c r="A309" s="42" t="str">
        <f t="shared" si="40"/>
        <v>Asia IG41090</v>
      </c>
      <c r="B309" s="1">
        <v>41090</v>
      </c>
      <c r="C309" s="34">
        <v>10</v>
      </c>
      <c r="D309" s="34">
        <v>10</v>
      </c>
      <c r="E309" s="37">
        <v>10</v>
      </c>
      <c r="F309" s="37">
        <v>51776.474365234375</v>
      </c>
      <c r="G309" s="37">
        <v>11761.257995605469</v>
      </c>
      <c r="H309" s="37">
        <v>40015.216369628906</v>
      </c>
      <c r="I309" s="37">
        <v>8319.7575263977051</v>
      </c>
      <c r="J309" s="37">
        <v>24220.438720703125</v>
      </c>
      <c r="K309" s="37">
        <v>3240.3589057922363</v>
      </c>
      <c r="L309" s="38">
        <v>1.6521259928881773</v>
      </c>
      <c r="M309" s="38">
        <v>2.1377182701887611</v>
      </c>
      <c r="N309" s="38">
        <v>7.4746160610197787</v>
      </c>
      <c r="O309" s="39">
        <v>141.36539386260054</v>
      </c>
      <c r="P309" s="39">
        <v>22.715447777770354</v>
      </c>
      <c r="Q309" s="39">
        <v>16.068605729524251</v>
      </c>
      <c r="R309" s="44">
        <v>312.05945851814869</v>
      </c>
      <c r="T309" s="35">
        <v>249</v>
      </c>
      <c r="U309" s="44">
        <f t="shared" si="41"/>
        <v>63.059458518148688</v>
      </c>
      <c r="W309" s="44">
        <f t="shared" si="42"/>
        <v>188.88357175025098</v>
      </c>
      <c r="X309" s="3">
        <v>143.31110989301686</v>
      </c>
      <c r="Y309" s="10">
        <f t="shared" si="43"/>
        <v>1.3179967128246679</v>
      </c>
    </row>
    <row r="311" spans="1:25" x14ac:dyDescent="0.2">
      <c r="A311" s="12" t="s">
        <v>283</v>
      </c>
      <c r="B311" s="40" t="s">
        <v>0</v>
      </c>
      <c r="C311" s="41" t="s">
        <v>180</v>
      </c>
      <c r="D311" s="41" t="s">
        <v>178</v>
      </c>
      <c r="E311" s="41" t="s">
        <v>179</v>
      </c>
      <c r="F311" s="41" t="s">
        <v>2</v>
      </c>
      <c r="G311" s="41" t="s">
        <v>31</v>
      </c>
      <c r="H311" s="41" t="s">
        <v>41</v>
      </c>
      <c r="I311" s="41" t="s">
        <v>20</v>
      </c>
      <c r="J311" s="41" t="s">
        <v>3</v>
      </c>
      <c r="K311" s="41" t="s">
        <v>24</v>
      </c>
      <c r="L311" s="41" t="s">
        <v>5</v>
      </c>
      <c r="M311" s="41" t="s">
        <v>43</v>
      </c>
      <c r="N311" s="41" t="s">
        <v>6</v>
      </c>
      <c r="O311" s="41" t="s">
        <v>176</v>
      </c>
      <c r="P311" s="41" t="s">
        <v>21</v>
      </c>
      <c r="Q311" s="41" t="s">
        <v>177</v>
      </c>
      <c r="R311" s="83" t="s">
        <v>7</v>
      </c>
      <c r="T311" s="43" t="s">
        <v>324</v>
      </c>
      <c r="U311" s="43" t="s">
        <v>325</v>
      </c>
      <c r="W311" s="35" t="str">
        <f>A311&amp;" spread per turn of leverage"</f>
        <v>Asia HY spread per turn of leverage</v>
      </c>
      <c r="X311" s="3" t="s">
        <v>27</v>
      </c>
      <c r="Y311" t="str">
        <f>A311&amp;" vs. US spread per turn of leverage ratio"</f>
        <v>Asia HY vs. US spread per turn of leverage ratio</v>
      </c>
    </row>
    <row r="312" spans="1:25" x14ac:dyDescent="0.2">
      <c r="A312" s="42" t="str">
        <f>$A$311&amp;$B312</f>
        <v>Asia HY38807</v>
      </c>
      <c r="B312" s="1">
        <v>38807</v>
      </c>
      <c r="C312" s="34">
        <v>30</v>
      </c>
      <c r="D312" s="34">
        <v>30</v>
      </c>
      <c r="E312" s="37">
        <v>28</v>
      </c>
      <c r="F312" s="37">
        <v>14951.978832244873</v>
      </c>
      <c r="G312" s="37">
        <v>4810.3224415183067</v>
      </c>
      <c r="H312" s="37">
        <v>10141.656390726566</v>
      </c>
      <c r="I312" s="37">
        <v>2854.8042487679049</v>
      </c>
      <c r="J312" s="37">
        <v>7434.0370235443115</v>
      </c>
      <c r="K312" s="37">
        <v>966.13111437112093</v>
      </c>
      <c r="L312" s="38">
        <v>1.3642192470399277</v>
      </c>
      <c r="M312" s="38">
        <v>2.0112865707946459</v>
      </c>
      <c r="N312" s="38">
        <v>7.6740271317441842</v>
      </c>
      <c r="O312" s="39">
        <v>168.49920423070608</v>
      </c>
      <c r="P312" s="39">
        <v>32.171811473840151</v>
      </c>
      <c r="Q312" s="39">
        <v>19.093153359817109</v>
      </c>
      <c r="R312" s="44">
        <v>213.62610319058274</v>
      </c>
      <c r="T312" s="35">
        <v>259</v>
      </c>
      <c r="U312" s="44">
        <f>R312-T312</f>
        <v>-45.373896809417261</v>
      </c>
      <c r="W312" s="44">
        <f>R312/L312</f>
        <v>156.5922073406507</v>
      </c>
      <c r="X312" s="3">
        <v>111.26280390871405</v>
      </c>
      <c r="Y312" s="10">
        <f>W312/X312</f>
        <v>1.4074084225769405</v>
      </c>
    </row>
    <row r="313" spans="1:25" x14ac:dyDescent="0.2">
      <c r="A313" s="42" t="str">
        <f t="shared" ref="A313:A337" si="44">$A$311&amp;$B313</f>
        <v>Asia HY38898</v>
      </c>
      <c r="B313" s="1">
        <v>38898</v>
      </c>
      <c r="C313" s="34">
        <v>30</v>
      </c>
      <c r="D313" s="34">
        <v>30</v>
      </c>
      <c r="E313" s="37">
        <v>28</v>
      </c>
      <c r="F313" s="37">
        <v>14605.575073242188</v>
      </c>
      <c r="G313" s="37">
        <v>4366.1846813559532</v>
      </c>
      <c r="H313" s="37">
        <v>10239.390391886234</v>
      </c>
      <c r="I313" s="37">
        <v>2648.169124561362</v>
      </c>
      <c r="J313" s="37">
        <v>7453.1619167327881</v>
      </c>
      <c r="K313" s="37">
        <v>1064.199006922543</v>
      </c>
      <c r="L313" s="38">
        <v>1.3738317382986407</v>
      </c>
      <c r="M313" s="38">
        <v>1.9596481649555755</v>
      </c>
      <c r="N313" s="38">
        <v>6.9848226030488352</v>
      </c>
      <c r="O313" s="39">
        <v>164.87559804471175</v>
      </c>
      <c r="P313" s="39">
        <v>29.893959391951107</v>
      </c>
      <c r="Q313" s="39">
        <v>18.131221203421699</v>
      </c>
      <c r="R313" s="44">
        <v>272.52262656065255</v>
      </c>
      <c r="T313" s="35">
        <v>325</v>
      </c>
      <c r="U313" s="44">
        <f t="shared" ref="U313:U337" si="45">R313-T313</f>
        <v>-52.477373439347446</v>
      </c>
      <c r="W313" s="44">
        <f t="shared" ref="W313:W337" si="46">R313/L313</f>
        <v>198.36681520995126</v>
      </c>
      <c r="X313" s="3">
        <v>115.35026520347849</v>
      </c>
      <c r="Y313" s="10">
        <f t="shared" ref="Y313:Y337" si="47">W313/X313</f>
        <v>1.7196910198691882</v>
      </c>
    </row>
    <row r="314" spans="1:25" x14ac:dyDescent="0.2">
      <c r="A314" s="42" t="str">
        <f t="shared" si="44"/>
        <v>Asia HY38990</v>
      </c>
      <c r="B314" s="1">
        <v>38990</v>
      </c>
      <c r="C314" s="34">
        <v>30</v>
      </c>
      <c r="D314" s="34">
        <v>30</v>
      </c>
      <c r="E314" s="37">
        <v>28</v>
      </c>
      <c r="F314" s="37">
        <v>16817.32458114624</v>
      </c>
      <c r="G314" s="37">
        <v>5817.4966067671776</v>
      </c>
      <c r="H314" s="37">
        <v>10999.827974379063</v>
      </c>
      <c r="I314" s="37">
        <v>2816.287885623984</v>
      </c>
      <c r="J314" s="37">
        <v>7463.8119705915451</v>
      </c>
      <c r="K314" s="37">
        <v>1116.6482170894742</v>
      </c>
      <c r="L314" s="38">
        <v>1.473754700375614</v>
      </c>
      <c r="M314" s="38">
        <v>2.2531817049262273</v>
      </c>
      <c r="N314" s="38">
        <v>6.6662814820551484</v>
      </c>
      <c r="O314" s="39">
        <v>206.56611976577949</v>
      </c>
      <c r="P314" s="39">
        <v>34.592283562684663</v>
      </c>
      <c r="Q314" s="39">
        <v>16.74634911180403</v>
      </c>
      <c r="R314" s="44">
        <v>276.57969397814054</v>
      </c>
      <c r="T314" s="35">
        <v>341</v>
      </c>
      <c r="U314" s="44">
        <f t="shared" si="45"/>
        <v>-64.42030602185946</v>
      </c>
      <c r="W314" s="44">
        <f t="shared" si="46"/>
        <v>187.67010134566425</v>
      </c>
      <c r="X314" s="3">
        <v>117.38668651492007</v>
      </c>
      <c r="Y314" s="10">
        <f t="shared" si="47"/>
        <v>1.5987341232415742</v>
      </c>
    </row>
    <row r="315" spans="1:25" x14ac:dyDescent="0.2">
      <c r="A315" s="42" t="str">
        <f t="shared" si="44"/>
        <v>Asia HY39082</v>
      </c>
      <c r="B315" s="1">
        <v>39082</v>
      </c>
      <c r="C315" s="34">
        <v>30</v>
      </c>
      <c r="D315" s="34">
        <v>30</v>
      </c>
      <c r="E315" s="37">
        <v>28</v>
      </c>
      <c r="F315" s="37">
        <v>17019.031097412109</v>
      </c>
      <c r="G315" s="37">
        <v>6440.7862817645073</v>
      </c>
      <c r="H315" s="37">
        <v>10578.244815647602</v>
      </c>
      <c r="I315" s="37">
        <v>2746.4170516757295</v>
      </c>
      <c r="J315" s="37">
        <v>8226.5829437971115</v>
      </c>
      <c r="K315" s="37">
        <v>1043.6406246498227</v>
      </c>
      <c r="L315" s="38">
        <v>1.2858613215130417</v>
      </c>
      <c r="M315" s="38">
        <v>2.0687849637794695</v>
      </c>
      <c r="N315" s="38">
        <v>7.8634944931476225</v>
      </c>
      <c r="O315" s="39">
        <v>234.51595881385364</v>
      </c>
      <c r="P315" s="39">
        <v>37.844611981136133</v>
      </c>
      <c r="Q315" s="39">
        <v>16.13732906389334</v>
      </c>
      <c r="R315" s="44">
        <v>223.65607269280682</v>
      </c>
      <c r="T315" s="35">
        <v>291</v>
      </c>
      <c r="U315" s="44">
        <f t="shared" si="45"/>
        <v>-67.343927307193184</v>
      </c>
      <c r="W315" s="44">
        <f t="shared" si="46"/>
        <v>173.93483181346195</v>
      </c>
      <c r="X315" s="3">
        <v>98.791471085364662</v>
      </c>
      <c r="Y315" s="10">
        <f t="shared" si="47"/>
        <v>1.7606259923305192</v>
      </c>
    </row>
    <row r="316" spans="1:25" x14ac:dyDescent="0.2">
      <c r="A316" s="42" t="str">
        <f t="shared" si="44"/>
        <v>Asia HY39172</v>
      </c>
      <c r="B316" s="1">
        <v>39172</v>
      </c>
      <c r="C316" s="34">
        <v>31</v>
      </c>
      <c r="D316" s="34">
        <v>29</v>
      </c>
      <c r="E316" s="37">
        <v>31</v>
      </c>
      <c r="F316" s="37">
        <v>25281.344497680664</v>
      </c>
      <c r="G316" s="37">
        <v>9376.3172125816345</v>
      </c>
      <c r="H316" s="37">
        <v>15905.02728509903</v>
      </c>
      <c r="I316" s="37">
        <v>3538.1473885895684</v>
      </c>
      <c r="J316" s="37">
        <v>10340.067735671997</v>
      </c>
      <c r="K316" s="37">
        <v>1649.0096525400877</v>
      </c>
      <c r="L316" s="38">
        <v>1.5381937228736509</v>
      </c>
      <c r="M316" s="38">
        <v>2.4449882867268897</v>
      </c>
      <c r="N316" s="38">
        <v>6.2704713218291053</v>
      </c>
      <c r="O316" s="39">
        <v>256.4966142146443</v>
      </c>
      <c r="P316" s="39">
        <v>36.718668118516661</v>
      </c>
      <c r="Q316" s="39">
        <v>14.315459184887855</v>
      </c>
      <c r="R316" s="44">
        <v>251.1386914482525</v>
      </c>
      <c r="T316" s="35">
        <v>286</v>
      </c>
      <c r="U316" s="44">
        <f t="shared" si="45"/>
        <v>-34.861308551747499</v>
      </c>
      <c r="W316" s="44">
        <f t="shared" si="46"/>
        <v>163.26857125582052</v>
      </c>
      <c r="X316" s="3">
        <v>91.842279068506841</v>
      </c>
      <c r="Y316" s="10">
        <f t="shared" si="47"/>
        <v>1.7777060076442082</v>
      </c>
    </row>
    <row r="317" spans="1:25" x14ac:dyDescent="0.2">
      <c r="A317" s="42" t="str">
        <f t="shared" si="44"/>
        <v>Asia HY39263</v>
      </c>
      <c r="B317" s="1">
        <v>39263</v>
      </c>
      <c r="C317" s="34">
        <v>31</v>
      </c>
      <c r="D317" s="34">
        <v>29</v>
      </c>
      <c r="E317" s="37">
        <v>31</v>
      </c>
      <c r="F317" s="37">
        <v>26478.857467163354</v>
      </c>
      <c r="G317" s="37">
        <v>9978.6620826721191</v>
      </c>
      <c r="H317" s="37">
        <v>16500.195384491235</v>
      </c>
      <c r="I317" s="37">
        <v>4048.0133929299191</v>
      </c>
      <c r="J317" s="37">
        <v>10609.193910598755</v>
      </c>
      <c r="K317" s="37">
        <v>1678.32825987041</v>
      </c>
      <c r="L317" s="38">
        <v>1.5552732397517284</v>
      </c>
      <c r="M317" s="38">
        <v>2.4958406538983655</v>
      </c>
      <c r="N317" s="38">
        <v>6.3212865827677422</v>
      </c>
      <c r="O317" s="39">
        <v>239.06969143553235</v>
      </c>
      <c r="P317" s="39">
        <v>37.346281803160274</v>
      </c>
      <c r="Q317" s="39">
        <v>15.621504164291391</v>
      </c>
      <c r="R317" s="44">
        <v>256.05437741964408</v>
      </c>
      <c r="T317" s="35">
        <v>285</v>
      </c>
      <c r="U317" s="44">
        <f t="shared" si="45"/>
        <v>-28.945622580355916</v>
      </c>
      <c r="W317" s="44">
        <f t="shared" si="46"/>
        <v>164.6362651108937</v>
      </c>
      <c r="X317" s="3">
        <v>97.985147116353176</v>
      </c>
      <c r="Y317" s="10">
        <f t="shared" si="47"/>
        <v>1.6802165425683873</v>
      </c>
    </row>
    <row r="318" spans="1:25" x14ac:dyDescent="0.2">
      <c r="A318" s="42" t="str">
        <f t="shared" si="44"/>
        <v>Asia HY39355</v>
      </c>
      <c r="B318" s="1">
        <v>39355</v>
      </c>
      <c r="C318" s="34">
        <v>31</v>
      </c>
      <c r="D318" s="34">
        <v>28</v>
      </c>
      <c r="E318" s="37">
        <v>31</v>
      </c>
      <c r="F318" s="37">
        <v>29335.835720062256</v>
      </c>
      <c r="G318" s="37">
        <v>7806.2189111709595</v>
      </c>
      <c r="H318" s="37">
        <v>21529.616808891296</v>
      </c>
      <c r="I318" s="37">
        <v>4011.347839792259</v>
      </c>
      <c r="J318" s="37">
        <v>11770.816358566284</v>
      </c>
      <c r="K318" s="37">
        <v>1783.9424690455198</v>
      </c>
      <c r="L318" s="38">
        <v>1.8290674285495063</v>
      </c>
      <c r="M318" s="38">
        <v>2.4922515844632067</v>
      </c>
      <c r="N318" s="38">
        <v>6.5982040131956383</v>
      </c>
      <c r="O318" s="39">
        <v>182.02456156083358</v>
      </c>
      <c r="P318" s="39">
        <v>25.592643915377781</v>
      </c>
      <c r="Q318" s="39">
        <v>14.059994813845265</v>
      </c>
      <c r="R318" s="44">
        <v>362.37043910421062</v>
      </c>
      <c r="T318" s="35">
        <v>400</v>
      </c>
      <c r="U318" s="44">
        <f t="shared" si="45"/>
        <v>-37.629560895789382</v>
      </c>
      <c r="W318" s="44">
        <f t="shared" si="46"/>
        <v>198.11759448998495</v>
      </c>
      <c r="X318" s="3">
        <v>142.61715042021578</v>
      </c>
      <c r="Y318" s="10">
        <f t="shared" si="47"/>
        <v>1.3891568714298337</v>
      </c>
    </row>
    <row r="319" spans="1:25" x14ac:dyDescent="0.2">
      <c r="A319" s="42" t="str">
        <f t="shared" si="44"/>
        <v>Asia HY39447</v>
      </c>
      <c r="B319" s="1">
        <v>39447</v>
      </c>
      <c r="C319" s="34">
        <v>31</v>
      </c>
      <c r="D319" s="34">
        <v>27</v>
      </c>
      <c r="E319" s="37">
        <v>31</v>
      </c>
      <c r="F319" s="37">
        <v>30747.577877044678</v>
      </c>
      <c r="G319" s="37">
        <v>9803.4046049118042</v>
      </c>
      <c r="H319" s="37">
        <v>20944.173272132874</v>
      </c>
      <c r="I319" s="37">
        <v>4490.5042102336884</v>
      </c>
      <c r="J319" s="37">
        <v>10597.248083114624</v>
      </c>
      <c r="K319" s="37">
        <v>1801.3960471600294</v>
      </c>
      <c r="L319" s="38">
        <v>1.976378500141444</v>
      </c>
      <c r="M319" s="38">
        <v>2.9014681581378716</v>
      </c>
      <c r="N319" s="38">
        <v>5.8827974557963509</v>
      </c>
      <c r="O319" s="39">
        <v>189.02768635110493</v>
      </c>
      <c r="P319" s="39">
        <v>28.921029687518928</v>
      </c>
      <c r="Q319" s="39">
        <v>15.299890849745815</v>
      </c>
      <c r="R319" s="44">
        <v>501.31402117976069</v>
      </c>
      <c r="T319" s="35">
        <v>512</v>
      </c>
      <c r="U319" s="44">
        <f t="shared" si="45"/>
        <v>-10.685978820239313</v>
      </c>
      <c r="W319" s="44">
        <f t="shared" si="46"/>
        <v>253.65284086215419</v>
      </c>
      <c r="X319" s="3">
        <v>186.37349979334107</v>
      </c>
      <c r="Y319" s="10">
        <f t="shared" si="47"/>
        <v>1.3609919926567637</v>
      </c>
    </row>
    <row r="320" spans="1:25" x14ac:dyDescent="0.2">
      <c r="A320" s="42" t="str">
        <f t="shared" si="44"/>
        <v>Asia HY39538</v>
      </c>
      <c r="B320" s="1">
        <v>39538</v>
      </c>
      <c r="C320" s="34">
        <v>31</v>
      </c>
      <c r="D320" s="34">
        <v>30</v>
      </c>
      <c r="E320" s="37">
        <v>31</v>
      </c>
      <c r="F320" s="37">
        <v>35096.443435668945</v>
      </c>
      <c r="G320" s="37">
        <v>8359.6736907288432</v>
      </c>
      <c r="H320" s="37">
        <v>26736.769744940102</v>
      </c>
      <c r="I320" s="37">
        <v>6048.8111201524734</v>
      </c>
      <c r="J320" s="37">
        <v>11037.768759727478</v>
      </c>
      <c r="K320" s="37">
        <v>2175.0252285599709</v>
      </c>
      <c r="L320" s="38">
        <v>2.422298412564337</v>
      </c>
      <c r="M320" s="38">
        <v>3.1796683006915498</v>
      </c>
      <c r="N320" s="38">
        <v>5.0747773473116471</v>
      </c>
      <c r="O320" s="39">
        <v>124.60114112137579</v>
      </c>
      <c r="P320" s="39">
        <v>21.858350580590837</v>
      </c>
      <c r="Q320" s="39">
        <v>17.542656819890837</v>
      </c>
      <c r="R320" s="44">
        <v>770.4132503059592</v>
      </c>
      <c r="T320" s="35">
        <v>773</v>
      </c>
      <c r="U320" s="44">
        <f t="shared" si="45"/>
        <v>-2.5867496940408046</v>
      </c>
      <c r="W320" s="44">
        <f t="shared" si="46"/>
        <v>318.0505119888885</v>
      </c>
      <c r="X320" s="3">
        <v>246.57150055453741</v>
      </c>
      <c r="Y320" s="10">
        <f t="shared" si="47"/>
        <v>1.2898916187539733</v>
      </c>
    </row>
    <row r="321" spans="1:25" x14ac:dyDescent="0.2">
      <c r="A321" s="42" t="str">
        <f t="shared" si="44"/>
        <v>Asia HY39629</v>
      </c>
      <c r="B321" s="1">
        <v>39629</v>
      </c>
      <c r="C321" s="34">
        <v>31</v>
      </c>
      <c r="D321" s="34">
        <v>30</v>
      </c>
      <c r="E321" s="37">
        <v>31</v>
      </c>
      <c r="F321" s="37">
        <v>36146.065414428711</v>
      </c>
      <c r="G321" s="37">
        <v>9614.616479806602</v>
      </c>
      <c r="H321" s="37">
        <v>26531.448934622109</v>
      </c>
      <c r="I321" s="37">
        <v>6815.9604150056839</v>
      </c>
      <c r="J321" s="37">
        <v>11045.776573181152</v>
      </c>
      <c r="K321" s="37">
        <v>2243.2956405282021</v>
      </c>
      <c r="L321" s="38">
        <v>2.4019541549518348</v>
      </c>
      <c r="M321" s="38">
        <v>3.2723878828212389</v>
      </c>
      <c r="N321" s="38">
        <v>4.9239058702848171</v>
      </c>
      <c r="O321" s="39">
        <v>129.86547681548606</v>
      </c>
      <c r="P321" s="39">
        <v>24.912826698421224</v>
      </c>
      <c r="Q321" s="39">
        <v>19.183563876500891</v>
      </c>
      <c r="R321" s="44">
        <v>719.71179030045005</v>
      </c>
      <c r="T321" s="35">
        <v>689</v>
      </c>
      <c r="U321" s="44">
        <f t="shared" si="45"/>
        <v>30.711790300450048</v>
      </c>
      <c r="W321" s="44">
        <f t="shared" si="46"/>
        <v>299.63593968548582</v>
      </c>
      <c r="X321" s="3">
        <v>221.0995364177877</v>
      </c>
      <c r="Y321" s="10">
        <f t="shared" si="47"/>
        <v>1.3552083579193781</v>
      </c>
    </row>
    <row r="322" spans="1:25" x14ac:dyDescent="0.2">
      <c r="A322" s="42" t="str">
        <f t="shared" si="44"/>
        <v>Asia HY39721</v>
      </c>
      <c r="B322" s="1">
        <v>39721</v>
      </c>
      <c r="C322" s="34">
        <v>33</v>
      </c>
      <c r="D322" s="34">
        <v>31</v>
      </c>
      <c r="E322" s="37">
        <v>32</v>
      </c>
      <c r="F322" s="37">
        <v>40161.840007781982</v>
      </c>
      <c r="G322" s="37">
        <v>9373.2914523407817</v>
      </c>
      <c r="H322" s="37">
        <v>30788.548555441201</v>
      </c>
      <c r="I322" s="37">
        <v>7113.4802415072918</v>
      </c>
      <c r="J322" s="37">
        <v>11176.117066860199</v>
      </c>
      <c r="K322" s="37">
        <v>2414.6470979452133</v>
      </c>
      <c r="L322" s="38">
        <v>2.7548520090878834</v>
      </c>
      <c r="M322" s="38">
        <v>3.5935414569762543</v>
      </c>
      <c r="N322" s="38">
        <v>4.5909935969018809</v>
      </c>
      <c r="O322" s="39">
        <v>115.29565931961767</v>
      </c>
      <c r="P322" s="39">
        <v>21.276746620368964</v>
      </c>
      <c r="Q322" s="39">
        <v>18.45407428686147</v>
      </c>
      <c r="R322" s="44">
        <v>1023.2807338531776</v>
      </c>
      <c r="T322" s="35">
        <v>1019</v>
      </c>
      <c r="U322" s="44">
        <f t="shared" si="45"/>
        <v>4.280733853177594</v>
      </c>
      <c r="W322" s="44">
        <f t="shared" si="46"/>
        <v>371.44671673015944</v>
      </c>
      <c r="X322" s="3">
        <v>300.40167246154607</v>
      </c>
      <c r="Y322" s="10">
        <f t="shared" si="47"/>
        <v>1.2365001622209935</v>
      </c>
    </row>
    <row r="323" spans="1:25" x14ac:dyDescent="0.2">
      <c r="A323" s="42" t="str">
        <f t="shared" si="44"/>
        <v>Asia HY39813</v>
      </c>
      <c r="B323" s="1">
        <v>39813</v>
      </c>
      <c r="C323" s="34">
        <v>34</v>
      </c>
      <c r="D323" s="34">
        <v>32</v>
      </c>
      <c r="E323" s="37">
        <v>33</v>
      </c>
      <c r="F323" s="37">
        <v>42231.829132080078</v>
      </c>
      <c r="G323" s="37">
        <v>8291.28065674752</v>
      </c>
      <c r="H323" s="37">
        <v>33940.548475332558</v>
      </c>
      <c r="I323" s="37">
        <v>7447.4779469966888</v>
      </c>
      <c r="J323" s="37">
        <v>11235.58543920517</v>
      </c>
      <c r="K323" s="37">
        <v>2639.1136366128922</v>
      </c>
      <c r="L323" s="38">
        <v>3.0208081865410645</v>
      </c>
      <c r="M323" s="38">
        <v>3.7587564404714859</v>
      </c>
      <c r="N323" s="38">
        <v>4.223045792030792</v>
      </c>
      <c r="O323" s="39">
        <v>94.421188340679535</v>
      </c>
      <c r="P323" s="39">
        <v>17.498023175361247</v>
      </c>
      <c r="Q323" s="39">
        <v>18.531881967241208</v>
      </c>
      <c r="R323" s="44">
        <v>2295.6266496796502</v>
      </c>
      <c r="T323" s="35">
        <v>2331</v>
      </c>
      <c r="U323" s="44">
        <f t="shared" si="45"/>
        <v>-35.3733503203498</v>
      </c>
      <c r="W323" s="44">
        <f t="shared" si="46"/>
        <v>759.93790665279755</v>
      </c>
      <c r="X323" s="3">
        <v>493.0778863135684</v>
      </c>
      <c r="Y323" s="10">
        <f t="shared" si="47"/>
        <v>1.5412127125277768</v>
      </c>
    </row>
    <row r="324" spans="1:25" x14ac:dyDescent="0.2">
      <c r="A324" s="42" t="str">
        <f t="shared" si="44"/>
        <v>Asia HY39903</v>
      </c>
      <c r="B324" s="1">
        <v>39903</v>
      </c>
      <c r="C324" s="34">
        <v>34</v>
      </c>
      <c r="D324" s="34">
        <v>34</v>
      </c>
      <c r="E324" s="37">
        <v>33</v>
      </c>
      <c r="F324" s="37">
        <v>44862.493232727051</v>
      </c>
      <c r="G324" s="37">
        <v>11508.719071865082</v>
      </c>
      <c r="H324" s="37">
        <v>33353.774160861969</v>
      </c>
      <c r="I324" s="37">
        <v>8251.46971398592</v>
      </c>
      <c r="J324" s="37">
        <v>12619.774034500122</v>
      </c>
      <c r="K324" s="37">
        <v>2496.0424803495407</v>
      </c>
      <c r="L324" s="38">
        <v>2.6429771301513747</v>
      </c>
      <c r="M324" s="38">
        <v>3.5549363332561512</v>
      </c>
      <c r="N324" s="38">
        <v>4.9019121771579828</v>
      </c>
      <c r="O324" s="39">
        <v>139.47477807933112</v>
      </c>
      <c r="P324" s="39">
        <v>25.653320273937663</v>
      </c>
      <c r="Q324" s="39">
        <v>18.392802359826266</v>
      </c>
      <c r="R324" s="44">
        <v>1773.9022844246253</v>
      </c>
      <c r="T324" s="35">
        <v>1940</v>
      </c>
      <c r="U324" s="44">
        <f t="shared" si="45"/>
        <v>-166.09771557537465</v>
      </c>
      <c r="W324" s="44">
        <f t="shared" si="46"/>
        <v>671.17579799982093</v>
      </c>
      <c r="X324" s="3">
        <v>422.71844170115287</v>
      </c>
      <c r="Y324" s="10">
        <f t="shared" si="47"/>
        <v>1.5877608634693035</v>
      </c>
    </row>
    <row r="325" spans="1:25" x14ac:dyDescent="0.2">
      <c r="A325" s="42" t="str">
        <f t="shared" si="44"/>
        <v>Asia HY39994</v>
      </c>
      <c r="B325" s="1">
        <v>39994</v>
      </c>
      <c r="C325" s="34">
        <v>34</v>
      </c>
      <c r="D325" s="34">
        <v>33</v>
      </c>
      <c r="E325" s="37">
        <v>33</v>
      </c>
      <c r="F325" s="37">
        <v>46860.277492523193</v>
      </c>
      <c r="G325" s="37">
        <v>12241.431911468506</v>
      </c>
      <c r="H325" s="37">
        <v>34618.845581054687</v>
      </c>
      <c r="I325" s="37">
        <v>8871.1102249622345</v>
      </c>
      <c r="J325" s="37">
        <v>11850.427407503128</v>
      </c>
      <c r="K325" s="37">
        <v>2445.7476414442062</v>
      </c>
      <c r="L325" s="38">
        <v>2.9213162015688714</v>
      </c>
      <c r="M325" s="38">
        <v>3.9543111721737132</v>
      </c>
      <c r="N325" s="38">
        <v>4.7129692417703763</v>
      </c>
      <c r="O325" s="39">
        <v>137.55323957015321</v>
      </c>
      <c r="P325" s="39">
        <v>26.275681712365394</v>
      </c>
      <c r="Q325" s="39">
        <v>19.10219039149899</v>
      </c>
      <c r="R325" s="44">
        <v>1145.9610552649706</v>
      </c>
      <c r="T325" s="35">
        <v>1135</v>
      </c>
      <c r="U325" s="44">
        <f t="shared" si="45"/>
        <v>10.961055264970582</v>
      </c>
      <c r="W325" s="44">
        <f t="shared" si="46"/>
        <v>392.27559640737985</v>
      </c>
      <c r="X325" s="3">
        <v>270.26176523634632</v>
      </c>
      <c r="Y325" s="10">
        <f t="shared" si="47"/>
        <v>1.4514653823278751</v>
      </c>
    </row>
    <row r="326" spans="1:25" x14ac:dyDescent="0.2">
      <c r="A326" s="42" t="str">
        <f t="shared" si="44"/>
        <v>Asia HY40086</v>
      </c>
      <c r="B326" s="1">
        <v>40086</v>
      </c>
      <c r="C326" s="34">
        <v>34</v>
      </c>
      <c r="D326" s="34">
        <v>33</v>
      </c>
      <c r="E326" s="37">
        <v>33</v>
      </c>
      <c r="F326" s="37">
        <v>50824.749816894531</v>
      </c>
      <c r="G326" s="37">
        <v>13309.509344100952</v>
      </c>
      <c r="H326" s="37">
        <v>37515.240472793579</v>
      </c>
      <c r="I326" s="37">
        <v>9852.8053693771362</v>
      </c>
      <c r="J326" s="37">
        <v>12806.433553695679</v>
      </c>
      <c r="K326" s="37">
        <v>2425.6499158591032</v>
      </c>
      <c r="L326" s="38">
        <v>2.9294057799540481</v>
      </c>
      <c r="M326" s="38">
        <v>3.9686888315777451</v>
      </c>
      <c r="N326" s="38">
        <v>5.1490581842989656</v>
      </c>
      <c r="O326" s="39">
        <v>134.38483599240615</v>
      </c>
      <c r="P326" s="39">
        <v>26.27657938883501</v>
      </c>
      <c r="Q326" s="39">
        <v>19.553232472092201</v>
      </c>
      <c r="R326" s="44">
        <v>727.19293847360132</v>
      </c>
      <c r="T326" s="35">
        <v>848</v>
      </c>
      <c r="U326" s="44">
        <f t="shared" si="45"/>
        <v>-120.80706152639868</v>
      </c>
      <c r="W326" s="44">
        <f t="shared" si="46"/>
        <v>248.2390604435171</v>
      </c>
      <c r="X326" s="3">
        <v>201.87308204679005</v>
      </c>
      <c r="Y326" s="10">
        <f t="shared" si="47"/>
        <v>1.2296788552818567</v>
      </c>
    </row>
    <row r="327" spans="1:25" x14ac:dyDescent="0.2">
      <c r="A327" s="42" t="str">
        <f t="shared" si="44"/>
        <v>Asia HY40178</v>
      </c>
      <c r="B327" s="1">
        <v>40178</v>
      </c>
      <c r="C327" s="34">
        <v>35</v>
      </c>
      <c r="D327" s="34">
        <v>34</v>
      </c>
      <c r="E327" s="37">
        <v>35</v>
      </c>
      <c r="F327" s="37">
        <v>56415.283740997314</v>
      </c>
      <c r="G327" s="37">
        <v>13985.762152671814</v>
      </c>
      <c r="H327" s="37">
        <v>42429.5215883255</v>
      </c>
      <c r="I327" s="37">
        <v>9792.9806871414185</v>
      </c>
      <c r="J327" s="37">
        <v>15170.314764022827</v>
      </c>
      <c r="K327" s="37">
        <v>2573.1539752334356</v>
      </c>
      <c r="L327" s="38">
        <v>2.796878129974552</v>
      </c>
      <c r="M327" s="38">
        <v>3.7187945417447126</v>
      </c>
      <c r="N327" s="38">
        <v>5.8956109545083022</v>
      </c>
      <c r="O327" s="39">
        <v>141.93577741015335</v>
      </c>
      <c r="P327" s="39">
        <v>24.829756429070642</v>
      </c>
      <c r="Q327" s="39">
        <v>17.493655850645624</v>
      </c>
      <c r="R327" s="44">
        <v>684.92899975835462</v>
      </c>
      <c r="T327" s="35">
        <v>700</v>
      </c>
      <c r="U327" s="44">
        <f t="shared" si="45"/>
        <v>-15.071000241645379</v>
      </c>
      <c r="W327" s="44">
        <f t="shared" si="46"/>
        <v>244.89054149977804</v>
      </c>
      <c r="X327" s="3">
        <v>170.33310948837416</v>
      </c>
      <c r="Y327" s="10">
        <f t="shared" si="47"/>
        <v>1.4377154402649632</v>
      </c>
    </row>
    <row r="328" spans="1:25" x14ac:dyDescent="0.2">
      <c r="A328" s="42" t="str">
        <f t="shared" si="44"/>
        <v>Asia HY40268</v>
      </c>
      <c r="B328" s="1">
        <v>40268</v>
      </c>
      <c r="C328" s="34">
        <v>37</v>
      </c>
      <c r="D328" s="34">
        <v>36</v>
      </c>
      <c r="E328" s="37">
        <v>36</v>
      </c>
      <c r="F328" s="37">
        <v>72905.676254272461</v>
      </c>
      <c r="G328" s="37">
        <v>16932.038599014282</v>
      </c>
      <c r="H328" s="37">
        <v>55973.637655258179</v>
      </c>
      <c r="I328" s="37">
        <v>15088.933857917786</v>
      </c>
      <c r="J328" s="37">
        <v>19324.981567382813</v>
      </c>
      <c r="K328" s="37">
        <v>3032.127284526825</v>
      </c>
      <c r="L328" s="38">
        <v>2.8964393813307376</v>
      </c>
      <c r="M328" s="38">
        <v>3.7726129776664048</v>
      </c>
      <c r="N328" s="38">
        <v>6.1643599992948959</v>
      </c>
      <c r="O328" s="39">
        <v>111.62053402440115</v>
      </c>
      <c r="P328" s="39">
        <v>23.240257526201262</v>
      </c>
      <c r="Q328" s="39">
        <v>20.820772566023336</v>
      </c>
      <c r="R328" s="44">
        <v>570.4848427762704</v>
      </c>
      <c r="T328" s="35">
        <v>560</v>
      </c>
      <c r="U328" s="44">
        <f t="shared" si="45"/>
        <v>10.484842776270398</v>
      </c>
      <c r="W328" s="44">
        <f t="shared" si="46"/>
        <v>196.96073960787237</v>
      </c>
      <c r="X328" s="3">
        <v>167.10344187185635</v>
      </c>
      <c r="Y328" s="10">
        <f t="shared" si="47"/>
        <v>1.1786755401418492</v>
      </c>
    </row>
    <row r="329" spans="1:25" x14ac:dyDescent="0.2">
      <c r="A329" s="42" t="str">
        <f t="shared" si="44"/>
        <v>Asia HY40359</v>
      </c>
      <c r="B329" s="1">
        <v>40359</v>
      </c>
      <c r="C329" s="34">
        <v>39</v>
      </c>
      <c r="D329" s="34">
        <v>37</v>
      </c>
      <c r="E329" s="37">
        <v>38</v>
      </c>
      <c r="F329" s="37">
        <v>76101.686264038086</v>
      </c>
      <c r="G329" s="37">
        <v>18211.184802055359</v>
      </c>
      <c r="H329" s="37">
        <v>57890.501461982727</v>
      </c>
      <c r="I329" s="37">
        <v>15121.092100143433</v>
      </c>
      <c r="J329" s="37">
        <v>23014.243915557861</v>
      </c>
      <c r="K329" s="37">
        <v>3507.9843270778656</v>
      </c>
      <c r="L329" s="38">
        <v>2.5154205228027573</v>
      </c>
      <c r="M329" s="38">
        <v>3.3067211133793788</v>
      </c>
      <c r="N329" s="38">
        <v>6.3798422133560724</v>
      </c>
      <c r="O329" s="39">
        <v>113.10820544450593</v>
      </c>
      <c r="P329" s="39">
        <v>22.693340334600297</v>
      </c>
      <c r="Q329" s="39">
        <v>20.063389959567775</v>
      </c>
      <c r="R329" s="44">
        <v>794.51070547688391</v>
      </c>
      <c r="T329" s="35">
        <v>735</v>
      </c>
      <c r="U329" s="44">
        <f t="shared" si="45"/>
        <v>59.510705476883913</v>
      </c>
      <c r="W329" s="44">
        <f t="shared" si="46"/>
        <v>315.85601623048547</v>
      </c>
      <c r="X329" s="3">
        <v>212.91215473640585</v>
      </c>
      <c r="Y329" s="10">
        <f t="shared" si="47"/>
        <v>1.4835039202976852</v>
      </c>
    </row>
    <row r="330" spans="1:25" x14ac:dyDescent="0.2">
      <c r="A330" s="42" t="str">
        <f t="shared" si="44"/>
        <v>Asia HY40451</v>
      </c>
      <c r="B330" s="1">
        <v>40451</v>
      </c>
      <c r="C330" s="34">
        <v>41</v>
      </c>
      <c r="D330" s="34">
        <v>39</v>
      </c>
      <c r="E330" s="37">
        <v>40</v>
      </c>
      <c r="F330" s="37">
        <v>87422.19580078125</v>
      </c>
      <c r="G330" s="37">
        <v>20249.907777786255</v>
      </c>
      <c r="H330" s="37">
        <v>67172.288022994995</v>
      </c>
      <c r="I330" s="37">
        <v>13985.044466972351</v>
      </c>
      <c r="J330" s="37">
        <v>28583.943799972534</v>
      </c>
      <c r="K330" s="37">
        <v>3839.5118380188942</v>
      </c>
      <c r="L330" s="38">
        <v>2.3500007029491687</v>
      </c>
      <c r="M330" s="38">
        <v>3.0584371566272548</v>
      </c>
      <c r="N330" s="38">
        <v>7.0411328080833124</v>
      </c>
      <c r="O330" s="39">
        <v>136.80423690397967</v>
      </c>
      <c r="P330" s="39">
        <v>22.219370181829678</v>
      </c>
      <c r="Q330" s="39">
        <v>16.241726634113707</v>
      </c>
      <c r="R330" s="44">
        <v>681.81565317375191</v>
      </c>
      <c r="T330" s="35">
        <v>606</v>
      </c>
      <c r="U330" s="44">
        <f t="shared" si="45"/>
        <v>75.815653173751912</v>
      </c>
      <c r="W330" s="44">
        <f t="shared" si="46"/>
        <v>290.13423371239725</v>
      </c>
      <c r="X330" s="3">
        <v>192.37675753560131</v>
      </c>
      <c r="Y330" s="10">
        <f t="shared" si="47"/>
        <v>1.5081563772520956</v>
      </c>
    </row>
    <row r="331" spans="1:25" x14ac:dyDescent="0.2">
      <c r="A331" s="42" t="str">
        <f t="shared" si="44"/>
        <v>Asia HY40543</v>
      </c>
      <c r="B331" s="1">
        <v>40543</v>
      </c>
      <c r="C331" s="34">
        <v>41</v>
      </c>
      <c r="D331" s="34">
        <v>39</v>
      </c>
      <c r="E331" s="37">
        <v>40</v>
      </c>
      <c r="F331" s="37">
        <v>92381.916801452637</v>
      </c>
      <c r="G331" s="37">
        <v>22874.782152175903</v>
      </c>
      <c r="H331" s="37">
        <v>69507.134649276733</v>
      </c>
      <c r="I331" s="37">
        <v>16749.97815322876</v>
      </c>
      <c r="J331" s="37">
        <v>30212.394512176514</v>
      </c>
      <c r="K331" s="37">
        <v>3986.3382455706596</v>
      </c>
      <c r="L331" s="38">
        <v>2.3006165440234549</v>
      </c>
      <c r="M331" s="38">
        <v>3.057748923681634</v>
      </c>
      <c r="N331" s="38">
        <v>6.9705614768090634</v>
      </c>
      <c r="O331" s="39">
        <v>129.54362099407081</v>
      </c>
      <c r="P331" s="39">
        <v>23.832275503031902</v>
      </c>
      <c r="Q331" s="39">
        <v>18.397104635605874</v>
      </c>
      <c r="R331" s="44">
        <v>598.75454569197609</v>
      </c>
      <c r="T331" s="35">
        <v>543</v>
      </c>
      <c r="U331" s="44">
        <f t="shared" si="45"/>
        <v>55.754545691976091</v>
      </c>
      <c r="W331" s="44">
        <f t="shared" si="46"/>
        <v>260.25829782343413</v>
      </c>
      <c r="X331" s="3">
        <v>159.69982112585555</v>
      </c>
      <c r="Y331" s="10">
        <f t="shared" si="47"/>
        <v>1.6296718179686056</v>
      </c>
    </row>
    <row r="332" spans="1:25" x14ac:dyDescent="0.2">
      <c r="A332" s="42" t="str">
        <f t="shared" si="44"/>
        <v>Asia HY40633</v>
      </c>
      <c r="B332" s="1">
        <v>40633</v>
      </c>
      <c r="C332" s="34">
        <v>40</v>
      </c>
      <c r="D332" s="34">
        <v>42</v>
      </c>
      <c r="E332" s="37">
        <v>36</v>
      </c>
      <c r="F332" s="37">
        <v>89220.646865844727</v>
      </c>
      <c r="G332" s="37">
        <v>23910.312033653259</v>
      </c>
      <c r="H332" s="37">
        <v>65310.334832191467</v>
      </c>
      <c r="I332" s="37">
        <v>22327.935904465616</v>
      </c>
      <c r="J332" s="37">
        <v>30080.667741775513</v>
      </c>
      <c r="K332" s="37">
        <v>3454.1840552091599</v>
      </c>
      <c r="L332" s="38">
        <v>2.1711730402011522</v>
      </c>
      <c r="M332" s="38">
        <v>2.9660460875320473</v>
      </c>
      <c r="N332" s="38">
        <v>7.6113816977318374</v>
      </c>
      <c r="O332" s="39">
        <v>111.52763841509292</v>
      </c>
      <c r="P332" s="39">
        <v>26.655983503610141</v>
      </c>
      <c r="Q332" s="39">
        <v>23.900787179227866</v>
      </c>
      <c r="R332" s="44">
        <v>704.76765174464083</v>
      </c>
      <c r="T332" s="35">
        <v>549</v>
      </c>
      <c r="U332" s="44">
        <f t="shared" si="45"/>
        <v>155.76765174464083</v>
      </c>
      <c r="W332" s="44">
        <f t="shared" si="46"/>
        <v>324.60224896646025</v>
      </c>
      <c r="X332" s="3">
        <v>141.00420250114303</v>
      </c>
      <c r="Y332" s="10">
        <f t="shared" si="47"/>
        <v>2.3020749964089116</v>
      </c>
    </row>
    <row r="333" spans="1:25" x14ac:dyDescent="0.2">
      <c r="A333" s="42" t="str">
        <f t="shared" si="44"/>
        <v>Asia HY40724</v>
      </c>
      <c r="B333" s="1">
        <v>40724</v>
      </c>
      <c r="C333" s="34">
        <v>40</v>
      </c>
      <c r="D333" s="34">
        <v>41</v>
      </c>
      <c r="E333" s="37">
        <v>37</v>
      </c>
      <c r="F333" s="37">
        <v>97701.80207824707</v>
      </c>
      <c r="G333" s="37">
        <v>22127.08435344696</v>
      </c>
      <c r="H333" s="37">
        <v>75574.71772480011</v>
      </c>
      <c r="I333" s="37">
        <v>23358.794068038464</v>
      </c>
      <c r="J333" s="37">
        <v>29604.69239616394</v>
      </c>
      <c r="K333" s="37">
        <v>3815.8498853445053</v>
      </c>
      <c r="L333" s="38">
        <v>2.5527952364265332</v>
      </c>
      <c r="M333" s="38">
        <v>3.3002133841088952</v>
      </c>
      <c r="N333" s="38">
        <v>6.9576115088756909</v>
      </c>
      <c r="O333" s="39">
        <v>93.283790836137655</v>
      </c>
      <c r="P333" s="39">
        <v>21.902306420890206</v>
      </c>
      <c r="Q333" s="39">
        <v>23.479219942255352</v>
      </c>
      <c r="R333" s="44">
        <v>798.34992447053446</v>
      </c>
      <c r="T333" s="35">
        <v>635</v>
      </c>
      <c r="U333" s="44">
        <f t="shared" si="45"/>
        <v>163.34992447053446</v>
      </c>
      <c r="W333" s="44">
        <f t="shared" si="46"/>
        <v>312.73559002252165</v>
      </c>
      <c r="X333" s="3">
        <v>156.55976600385611</v>
      </c>
      <c r="Y333" s="10">
        <f t="shared" si="47"/>
        <v>1.9975476331180699</v>
      </c>
    </row>
    <row r="334" spans="1:25" x14ac:dyDescent="0.2">
      <c r="A334" s="42" t="str">
        <f t="shared" si="44"/>
        <v>Asia HY40816</v>
      </c>
      <c r="B334" s="1">
        <v>40816</v>
      </c>
      <c r="C334" s="34">
        <v>39</v>
      </c>
      <c r="D334" s="34">
        <v>39</v>
      </c>
      <c r="E334" s="37">
        <v>38</v>
      </c>
      <c r="F334" s="37">
        <v>94644.558403015137</v>
      </c>
      <c r="G334" s="37">
        <v>19982.002928733826</v>
      </c>
      <c r="H334" s="37">
        <v>74662.555474281311</v>
      </c>
      <c r="I334" s="37">
        <v>24518.512231528759</v>
      </c>
      <c r="J334" s="37">
        <v>27922.330730438232</v>
      </c>
      <c r="K334" s="37">
        <v>4181.9680109024048</v>
      </c>
      <c r="L334" s="38">
        <v>2.6739370790738248</v>
      </c>
      <c r="M334" s="38">
        <v>3.3895651232238562</v>
      </c>
      <c r="N334" s="38">
        <v>6.5096955919013162</v>
      </c>
      <c r="O334" s="39">
        <v>76.441117315917111</v>
      </c>
      <c r="P334" s="39">
        <v>20.16819852169834</v>
      </c>
      <c r="Q334" s="39">
        <v>26.383966155736417</v>
      </c>
      <c r="R334" s="44">
        <v>1465.734198636271</v>
      </c>
      <c r="T334" s="35">
        <v>1180</v>
      </c>
      <c r="U334" s="44">
        <f t="shared" si="45"/>
        <v>285.734198636271</v>
      </c>
      <c r="W334" s="44">
        <f t="shared" si="46"/>
        <v>548.15582988361086</v>
      </c>
      <c r="X334" s="3">
        <v>248.56385952467795</v>
      </c>
      <c r="Y334" s="10">
        <f t="shared" si="47"/>
        <v>2.205291754528734</v>
      </c>
    </row>
    <row r="335" spans="1:25" x14ac:dyDescent="0.2">
      <c r="A335" s="42" t="str">
        <f t="shared" si="44"/>
        <v>Asia HY40908</v>
      </c>
      <c r="B335" s="1">
        <v>40908</v>
      </c>
      <c r="C335" s="34">
        <v>37</v>
      </c>
      <c r="D335" s="34">
        <v>38</v>
      </c>
      <c r="E335" s="37">
        <v>36</v>
      </c>
      <c r="F335" s="37">
        <v>91456.546340942383</v>
      </c>
      <c r="G335" s="37">
        <v>22295.558149814606</v>
      </c>
      <c r="H335" s="37">
        <v>69160.988191127777</v>
      </c>
      <c r="I335" s="37">
        <v>25557.456731822516</v>
      </c>
      <c r="J335" s="37">
        <v>27788.221923828125</v>
      </c>
      <c r="K335" s="37">
        <v>3380.3711347579956</v>
      </c>
      <c r="L335" s="38">
        <v>2.4888597903352325</v>
      </c>
      <c r="M335" s="38">
        <v>3.2911982131004685</v>
      </c>
      <c r="N335" s="38">
        <v>7.9846927566677115</v>
      </c>
      <c r="O335" s="39">
        <v>87.871204058824659</v>
      </c>
      <c r="P335" s="39">
        <v>23.931478136589515</v>
      </c>
      <c r="Q335" s="39">
        <v>27.234721992165696</v>
      </c>
      <c r="R335" s="44">
        <v>1291.9005403334913</v>
      </c>
      <c r="T335" s="35">
        <v>964</v>
      </c>
      <c r="U335" s="44">
        <f t="shared" si="45"/>
        <v>327.90054033349134</v>
      </c>
      <c r="W335" s="44">
        <f t="shared" si="46"/>
        <v>519.07325006824954</v>
      </c>
      <c r="X335" s="3">
        <v>217.01297040439434</v>
      </c>
      <c r="Y335" s="10">
        <f t="shared" si="47"/>
        <v>2.3918996597345257</v>
      </c>
    </row>
    <row r="336" spans="1:25" x14ac:dyDescent="0.2">
      <c r="A336" s="42" t="str">
        <f t="shared" si="44"/>
        <v>Asia HY40999</v>
      </c>
      <c r="B336" s="1">
        <v>40999</v>
      </c>
      <c r="C336" s="34">
        <v>15</v>
      </c>
      <c r="D336" s="34">
        <v>15</v>
      </c>
      <c r="E336" s="37">
        <v>15</v>
      </c>
      <c r="F336" s="37">
        <v>38505.917022705078</v>
      </c>
      <c r="G336" s="37">
        <v>8079.8257465362549</v>
      </c>
      <c r="H336" s="37">
        <v>30426.091276168823</v>
      </c>
      <c r="I336" s="37">
        <v>7785.1249832957983</v>
      </c>
      <c r="J336" s="37">
        <v>12143.444351196289</v>
      </c>
      <c r="K336" s="37">
        <v>3028.664680480957</v>
      </c>
      <c r="L336" s="38">
        <v>2.5055569405373403</v>
      </c>
      <c r="M336" s="38">
        <v>3.1709221790036644</v>
      </c>
      <c r="N336" s="38">
        <v>4.0722099188288396</v>
      </c>
      <c r="O336" s="39">
        <v>103.7854339380907</v>
      </c>
      <c r="P336" s="39">
        <v>20.983335474836171</v>
      </c>
      <c r="Q336" s="39">
        <v>20.217996571034231</v>
      </c>
      <c r="R336" s="44">
        <v>749.27031924624021</v>
      </c>
      <c r="T336" s="35">
        <v>774</v>
      </c>
      <c r="U336" s="44">
        <f t="shared" si="45"/>
        <v>-24.729680753759794</v>
      </c>
      <c r="W336" s="44">
        <f t="shared" si="46"/>
        <v>299.04342109485333</v>
      </c>
      <c r="X336" s="3">
        <v>171.6946323292874</v>
      </c>
      <c r="Y336" s="10">
        <f t="shared" si="47"/>
        <v>1.7417167737738473</v>
      </c>
    </row>
    <row r="337" spans="1:25" x14ac:dyDescent="0.2">
      <c r="A337" s="42" t="str">
        <f t="shared" si="44"/>
        <v>Asia HY41090</v>
      </c>
      <c r="B337" s="1">
        <v>41090</v>
      </c>
      <c r="C337" s="34">
        <v>21</v>
      </c>
      <c r="D337" s="34">
        <v>21</v>
      </c>
      <c r="E337" s="37">
        <v>20</v>
      </c>
      <c r="F337" s="37">
        <v>44541.180740356445</v>
      </c>
      <c r="G337" s="37">
        <v>8763.8300271034241</v>
      </c>
      <c r="H337" s="37">
        <v>35777.350713253021</v>
      </c>
      <c r="I337" s="37">
        <v>9879.2148921042681</v>
      </c>
      <c r="J337" s="37">
        <v>14703.606086730957</v>
      </c>
      <c r="K337" s="37">
        <v>3249.4557523727417</v>
      </c>
      <c r="L337" s="38">
        <v>2.4332364796918586</v>
      </c>
      <c r="M337" s="38">
        <v>3.0292691791132755</v>
      </c>
      <c r="N337" s="38">
        <v>4.5257374908740644</v>
      </c>
      <c r="O337" s="39">
        <v>88.709782334097326</v>
      </c>
      <c r="P337" s="39">
        <v>19.675791888388297</v>
      </c>
      <c r="Q337" s="39">
        <v>22.179957351586832</v>
      </c>
      <c r="R337" s="44">
        <v>832.52704104559757</v>
      </c>
      <c r="T337" s="35">
        <v>798</v>
      </c>
      <c r="U337" s="44">
        <f t="shared" si="45"/>
        <v>34.527041045597571</v>
      </c>
      <c r="W337" s="44">
        <f t="shared" si="46"/>
        <v>342.14801890156912</v>
      </c>
      <c r="X337" s="3">
        <v>181.40182273444293</v>
      </c>
      <c r="Y337" s="10">
        <f t="shared" si="47"/>
        <v>1.8861333019924786</v>
      </c>
    </row>
  </sheetData>
  <phoneticPr fontId="5" type="noConversion"/>
  <pageMargins left="0.75" right="0.75" top="1" bottom="1" header="0.5" footer="0.5"/>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Z87"/>
  <sheetViews>
    <sheetView zoomScale="85" workbookViewId="0">
      <selection activeCell="H31" sqref="H31"/>
    </sheetView>
  </sheetViews>
  <sheetFormatPr defaultRowHeight="12.75" x14ac:dyDescent="0.2"/>
  <cols>
    <col min="2" max="2" width="10.28515625" bestFit="1" customWidth="1"/>
    <col min="10" max="10" width="1.7109375" customWidth="1"/>
    <col min="11" max="15" width="10.140625" customWidth="1"/>
    <col min="19" max="19" width="10.28515625" bestFit="1" customWidth="1"/>
  </cols>
  <sheetData>
    <row r="1" spans="1:17" x14ac:dyDescent="0.2">
      <c r="B1" s="12" t="s">
        <v>19</v>
      </c>
      <c r="K1" s="88"/>
      <c r="L1" s="88"/>
      <c r="M1" s="88"/>
      <c r="N1" s="88"/>
      <c r="O1" s="88"/>
    </row>
    <row r="3" spans="1:17" x14ac:dyDescent="0.2">
      <c r="B3" s="2" t="s">
        <v>0</v>
      </c>
      <c r="C3" s="5" t="s">
        <v>34</v>
      </c>
      <c r="D3" s="5" t="s">
        <v>35</v>
      </c>
      <c r="E3" s="5" t="s">
        <v>36</v>
      </c>
      <c r="F3" s="5" t="s">
        <v>21</v>
      </c>
      <c r="G3" s="5" t="s">
        <v>22</v>
      </c>
      <c r="H3" s="5" t="s">
        <v>23</v>
      </c>
      <c r="I3" s="5" t="s">
        <v>25</v>
      </c>
      <c r="J3" s="18"/>
      <c r="K3" s="2" t="s">
        <v>2</v>
      </c>
      <c r="L3" s="2" t="s">
        <v>30</v>
      </c>
      <c r="M3" s="2" t="s">
        <v>31</v>
      </c>
      <c r="N3" s="2" t="s">
        <v>32</v>
      </c>
      <c r="O3" s="2" t="s">
        <v>33</v>
      </c>
    </row>
    <row r="4" spans="1:17" x14ac:dyDescent="0.2">
      <c r="A4" t="str">
        <f>"US Corporates"&amp;" "&amp;B4</f>
        <v>US Corporates 38807</v>
      </c>
      <c r="B4" s="1">
        <v>38807</v>
      </c>
      <c r="C4" s="4">
        <f>(K4-M4)/N4</f>
        <v>1.9558068432989284</v>
      </c>
      <c r="D4" s="4">
        <f>N4/O4</f>
        <v>9.7290006631838164</v>
      </c>
      <c r="E4" s="3">
        <f t="shared" ref="E4:E27" si="0">I4/C4</f>
        <v>74.649498492262481</v>
      </c>
      <c r="F4" s="10">
        <f>M4/K4*100</f>
        <v>16.446619316334026</v>
      </c>
      <c r="G4" s="10">
        <f>M4/L4*100</f>
        <v>87.832607413990672</v>
      </c>
      <c r="H4" s="10">
        <f>L4/K4*100</f>
        <v>18.724958532557785</v>
      </c>
      <c r="I4" s="11">
        <v>146</v>
      </c>
      <c r="K4" s="22">
        <f t="shared" ref="K4:O13" si="1">SUM(K33,K62)</f>
        <v>2582895.8415713264</v>
      </c>
      <c r="L4" s="22">
        <f t="shared" si="1"/>
        <v>483646.17527339025</v>
      </c>
      <c r="M4" s="22">
        <f t="shared" si="1"/>
        <v>424799.04640065809</v>
      </c>
      <c r="N4" s="22">
        <f t="shared" si="1"/>
        <v>1103430.4346386939</v>
      </c>
      <c r="O4" s="22">
        <f t="shared" si="1"/>
        <v>113416.62652098085</v>
      </c>
      <c r="Q4" s="24"/>
    </row>
    <row r="5" spans="1:17" x14ac:dyDescent="0.2">
      <c r="A5" t="str">
        <f t="shared" ref="A5:A29" si="2">"US Corporates"&amp;" "&amp;B5</f>
        <v>US Corporates 38898</v>
      </c>
      <c r="B5" s="1">
        <v>38898</v>
      </c>
      <c r="C5" s="4">
        <f t="shared" ref="C5:C29" si="3">(K5-M5)/N5</f>
        <v>1.9721587123282207</v>
      </c>
      <c r="D5" s="4">
        <f t="shared" ref="D5:D27" si="4">N5/O5</f>
        <v>9.5589464407139921</v>
      </c>
      <c r="E5" s="3">
        <f t="shared" si="0"/>
        <v>79.101138779969233</v>
      </c>
      <c r="F5" s="10">
        <f t="shared" ref="F5:F27" si="5">M5/K5*100</f>
        <v>15.601203236302794</v>
      </c>
      <c r="G5" s="10">
        <f t="shared" ref="G5:G27" si="6">M5/L5*100</f>
        <v>82.901215591879861</v>
      </c>
      <c r="H5" s="10">
        <f t="shared" ref="H5:H27" si="7">L5/K5*100</f>
        <v>18.819028315708948</v>
      </c>
      <c r="I5" s="11">
        <v>156</v>
      </c>
      <c r="K5" s="22">
        <f t="shared" si="1"/>
        <v>2670794.8063367745</v>
      </c>
      <c r="L5" s="22">
        <f t="shared" si="1"/>
        <v>502617.63085900154</v>
      </c>
      <c r="M5" s="22">
        <f t="shared" si="1"/>
        <v>416676.12576121977</v>
      </c>
      <c r="N5" s="22">
        <f t="shared" si="1"/>
        <v>1142970.2216585134</v>
      </c>
      <c r="O5" s="22">
        <f t="shared" si="1"/>
        <v>119570.73185286524</v>
      </c>
      <c r="Q5" s="24"/>
    </row>
    <row r="6" spans="1:17" x14ac:dyDescent="0.2">
      <c r="A6" t="str">
        <f t="shared" si="2"/>
        <v>US Corporates 38990</v>
      </c>
      <c r="B6" s="1">
        <v>38990</v>
      </c>
      <c r="C6" s="4">
        <f t="shared" si="3"/>
        <v>1.9168554334838923</v>
      </c>
      <c r="D6" s="4">
        <f t="shared" si="4"/>
        <v>9.6592885541457907</v>
      </c>
      <c r="E6" s="3">
        <f t="shared" si="0"/>
        <v>82.426664650883126</v>
      </c>
      <c r="F6" s="10">
        <f t="shared" si="5"/>
        <v>15.843068719370851</v>
      </c>
      <c r="G6" s="10">
        <f t="shared" si="6"/>
        <v>81.798560439391892</v>
      </c>
      <c r="H6" s="10">
        <f t="shared" si="7"/>
        <v>19.368395524649447</v>
      </c>
      <c r="I6" s="11">
        <v>158</v>
      </c>
      <c r="K6" s="22">
        <f t="shared" si="1"/>
        <v>2723224.4808595898</v>
      </c>
      <c r="L6" s="22">
        <f t="shared" si="1"/>
        <v>527444.88847696688</v>
      </c>
      <c r="M6" s="22">
        <f t="shared" si="1"/>
        <v>431442.3258853149</v>
      </c>
      <c r="N6" s="22">
        <f t="shared" si="1"/>
        <v>1195594.678107233</v>
      </c>
      <c r="O6" s="22">
        <f t="shared" si="1"/>
        <v>123776.68100556752</v>
      </c>
      <c r="Q6" s="24"/>
    </row>
    <row r="7" spans="1:17" x14ac:dyDescent="0.2">
      <c r="A7" t="str">
        <f t="shared" si="2"/>
        <v>US Corporates 39082</v>
      </c>
      <c r="B7" s="1">
        <v>39082</v>
      </c>
      <c r="C7" s="4">
        <f t="shared" si="3"/>
        <v>1.9500492087221262</v>
      </c>
      <c r="D7" s="4">
        <f t="shared" si="4"/>
        <v>9.5055884260927748</v>
      </c>
      <c r="E7" s="3">
        <f t="shared" si="0"/>
        <v>72.305867651615713</v>
      </c>
      <c r="F7" s="10">
        <f t="shared" si="5"/>
        <v>15.424888501624171</v>
      </c>
      <c r="G7" s="10">
        <f t="shared" si="6"/>
        <v>85.265458954053315</v>
      </c>
      <c r="H7" s="10">
        <f t="shared" si="7"/>
        <v>18.090430393315689</v>
      </c>
      <c r="I7" s="11">
        <v>141</v>
      </c>
      <c r="K7" s="22">
        <f t="shared" si="1"/>
        <v>2765533.6234923294</v>
      </c>
      <c r="L7" s="22">
        <f t="shared" si="1"/>
        <v>500296.93516162096</v>
      </c>
      <c r="M7" s="22">
        <f t="shared" si="1"/>
        <v>426580.47789861861</v>
      </c>
      <c r="N7" s="22">
        <f t="shared" si="1"/>
        <v>1199432.8836072986</v>
      </c>
      <c r="O7" s="22">
        <f t="shared" si="1"/>
        <v>126181.86585007864</v>
      </c>
      <c r="Q7" s="24"/>
    </row>
    <row r="8" spans="1:17" x14ac:dyDescent="0.2">
      <c r="A8" t="str">
        <f t="shared" si="2"/>
        <v>US Corporates 39172</v>
      </c>
      <c r="B8" s="1">
        <v>39172</v>
      </c>
      <c r="C8" s="4">
        <f t="shared" si="3"/>
        <v>2.0235613511104087</v>
      </c>
      <c r="D8" s="4">
        <f t="shared" si="4"/>
        <v>9.256668379371412</v>
      </c>
      <c r="E8" s="3">
        <f t="shared" si="0"/>
        <v>70.667489236998037</v>
      </c>
      <c r="F8" s="10">
        <f t="shared" si="5"/>
        <v>15.052004640947889</v>
      </c>
      <c r="G8" s="10">
        <f t="shared" si="6"/>
        <v>85.211264770117083</v>
      </c>
      <c r="H8" s="10">
        <f t="shared" si="7"/>
        <v>17.664336612718028</v>
      </c>
      <c r="I8" s="11">
        <v>143</v>
      </c>
      <c r="K8" s="22">
        <f t="shared" si="1"/>
        <v>2919481.3363829865</v>
      </c>
      <c r="L8" s="22">
        <f t="shared" si="1"/>
        <v>515707.01060416945</v>
      </c>
      <c r="M8" s="22">
        <f t="shared" si="1"/>
        <v>439440.46624397457</v>
      </c>
      <c r="N8" s="22">
        <f t="shared" si="1"/>
        <v>1225582.2482368103</v>
      </c>
      <c r="O8" s="22">
        <f t="shared" si="1"/>
        <v>132399.93029976464</v>
      </c>
      <c r="Q8" s="24"/>
    </row>
    <row r="9" spans="1:17" x14ac:dyDescent="0.2">
      <c r="A9" t="str">
        <f t="shared" si="2"/>
        <v>US Corporates 39263</v>
      </c>
      <c r="B9" s="1">
        <v>39263</v>
      </c>
      <c r="C9" s="4">
        <f t="shared" si="3"/>
        <v>2.0296023607769529</v>
      </c>
      <c r="D9" s="4">
        <f t="shared" si="4"/>
        <v>9.2949618750449794</v>
      </c>
      <c r="E9" s="3">
        <f t="shared" si="0"/>
        <v>73.413395096249914</v>
      </c>
      <c r="F9" s="10">
        <f t="shared" si="5"/>
        <v>15.39213237549634</v>
      </c>
      <c r="G9" s="10">
        <f t="shared" si="6"/>
        <v>83.558590755043454</v>
      </c>
      <c r="H9" s="10">
        <f t="shared" si="7"/>
        <v>18.420765879859335</v>
      </c>
      <c r="I9" s="11">
        <v>149</v>
      </c>
      <c r="K9" s="22">
        <f t="shared" si="1"/>
        <v>3008796.8778594821</v>
      </c>
      <c r="L9" s="22">
        <f t="shared" si="1"/>
        <v>554243.4286710124</v>
      </c>
      <c r="M9" s="22">
        <f t="shared" si="1"/>
        <v>463117.99834993237</v>
      </c>
      <c r="N9" s="22">
        <f t="shared" si="1"/>
        <v>1254274.6937557943</v>
      </c>
      <c r="O9" s="22">
        <f t="shared" si="1"/>
        <v>134941.34893906972</v>
      </c>
      <c r="Q9" s="24"/>
    </row>
    <row r="10" spans="1:17" x14ac:dyDescent="0.2">
      <c r="A10" t="str">
        <f t="shared" si="2"/>
        <v>US Corporates 39355</v>
      </c>
      <c r="B10" s="1">
        <v>39355</v>
      </c>
      <c r="C10" s="4">
        <f t="shared" si="3"/>
        <v>2.024228026289979</v>
      </c>
      <c r="D10" s="4">
        <f t="shared" si="4"/>
        <v>9.1194625246944181</v>
      </c>
      <c r="E10" s="3">
        <f t="shared" si="0"/>
        <v>105.71931483046447</v>
      </c>
      <c r="F10" s="10">
        <f t="shared" si="5"/>
        <v>15.947799378790709</v>
      </c>
      <c r="G10" s="10">
        <f t="shared" si="6"/>
        <v>90.555616135787218</v>
      </c>
      <c r="H10" s="10">
        <f t="shared" si="7"/>
        <v>17.611055017147855</v>
      </c>
      <c r="I10" s="11">
        <v>214</v>
      </c>
      <c r="K10" s="22">
        <f t="shared" si="1"/>
        <v>3084880.1788092963</v>
      </c>
      <c r="L10" s="22">
        <f t="shared" si="1"/>
        <v>543279.94550319435</v>
      </c>
      <c r="M10" s="22">
        <f t="shared" si="1"/>
        <v>491970.50199258665</v>
      </c>
      <c r="N10" s="22">
        <f t="shared" si="1"/>
        <v>1280937.5441604843</v>
      </c>
      <c r="O10" s="22">
        <f t="shared" si="1"/>
        <v>140461.95602995879</v>
      </c>
      <c r="Q10" s="24"/>
    </row>
    <row r="11" spans="1:17" x14ac:dyDescent="0.2">
      <c r="A11" t="str">
        <f t="shared" si="2"/>
        <v>US Corporates 39447</v>
      </c>
      <c r="B11" s="1">
        <v>39447</v>
      </c>
      <c r="C11" s="4">
        <f t="shared" si="3"/>
        <v>2.0544110858353499</v>
      </c>
      <c r="D11" s="4">
        <f t="shared" si="4"/>
        <v>9.0017504113108551</v>
      </c>
      <c r="E11" s="3">
        <f t="shared" si="0"/>
        <v>141.64643191733737</v>
      </c>
      <c r="F11" s="10">
        <f t="shared" si="5"/>
        <v>15.263626335958827</v>
      </c>
      <c r="G11" s="10">
        <f t="shared" si="6"/>
        <v>88.239111795166991</v>
      </c>
      <c r="H11" s="10">
        <f t="shared" si="7"/>
        <v>17.298028080100007</v>
      </c>
      <c r="I11" s="11">
        <v>291</v>
      </c>
      <c r="K11" s="22">
        <f t="shared" si="1"/>
        <v>3220848.231264635</v>
      </c>
      <c r="L11" s="22">
        <f t="shared" si="1"/>
        <v>557143.23146156105</v>
      </c>
      <c r="M11" s="22">
        <f t="shared" si="1"/>
        <v>491618.23886857287</v>
      </c>
      <c r="N11" s="22">
        <f t="shared" si="1"/>
        <v>1328473.1625590515</v>
      </c>
      <c r="O11" s="22">
        <f t="shared" si="1"/>
        <v>147579.42642908671</v>
      </c>
      <c r="Q11" s="24"/>
    </row>
    <row r="12" spans="1:17" x14ac:dyDescent="0.2">
      <c r="A12" t="str">
        <f t="shared" si="2"/>
        <v>US Corporates 39538</v>
      </c>
      <c r="B12" s="1">
        <v>39538</v>
      </c>
      <c r="C12" s="4">
        <f t="shared" si="3"/>
        <v>2.1558389640597171</v>
      </c>
      <c r="D12" s="4">
        <f t="shared" si="4"/>
        <v>8.7616597105090239</v>
      </c>
      <c r="E12" s="3">
        <f t="shared" si="0"/>
        <v>190.18118089299128</v>
      </c>
      <c r="F12" s="10">
        <f t="shared" si="5"/>
        <v>14.862197928871264</v>
      </c>
      <c r="G12" s="10">
        <f t="shared" si="6"/>
        <v>87.158593221126793</v>
      </c>
      <c r="H12" s="10">
        <f t="shared" si="7"/>
        <v>17.051902032384735</v>
      </c>
      <c r="I12" s="11">
        <v>410</v>
      </c>
      <c r="K12" s="22">
        <f t="shared" si="1"/>
        <v>3363197.0047181989</v>
      </c>
      <c r="L12" s="22">
        <f t="shared" si="1"/>
        <v>573489.05840064515</v>
      </c>
      <c r="M12" s="22">
        <f t="shared" si="1"/>
        <v>499844.99557908857</v>
      </c>
      <c r="N12" s="22">
        <f t="shared" si="1"/>
        <v>1328184.5522204761</v>
      </c>
      <c r="O12" s="22">
        <f t="shared" si="1"/>
        <v>151590.52007320116</v>
      </c>
      <c r="Q12" s="24"/>
    </row>
    <row r="13" spans="1:17" x14ac:dyDescent="0.2">
      <c r="A13" t="str">
        <f t="shared" si="2"/>
        <v>US Corporates 39629</v>
      </c>
      <c r="B13" s="1">
        <v>39629</v>
      </c>
      <c r="C13" s="4">
        <f t="shared" si="3"/>
        <v>2.1424749563900343</v>
      </c>
      <c r="D13" s="4">
        <f t="shared" si="4"/>
        <v>8.984995390887768</v>
      </c>
      <c r="E13" s="3">
        <f t="shared" si="0"/>
        <v>173.16421780962932</v>
      </c>
      <c r="F13" s="10">
        <f t="shared" si="5"/>
        <v>14.932785945617145</v>
      </c>
      <c r="G13" s="10">
        <f t="shared" si="6"/>
        <v>86.943399519760163</v>
      </c>
      <c r="H13" s="10">
        <f t="shared" si="7"/>
        <v>17.175295684433504</v>
      </c>
      <c r="I13" s="11">
        <v>371</v>
      </c>
      <c r="K13" s="22">
        <f t="shared" si="1"/>
        <v>3444310.6012812173</v>
      </c>
      <c r="L13" s="22">
        <f t="shared" si="1"/>
        <v>591570.53006033855</v>
      </c>
      <c r="M13" s="22">
        <f t="shared" si="1"/>
        <v>514331.52939152298</v>
      </c>
      <c r="N13" s="22">
        <f t="shared" si="1"/>
        <v>1367567.4775804924</v>
      </c>
      <c r="O13" s="22">
        <f t="shared" si="1"/>
        <v>152205.69606161691</v>
      </c>
      <c r="Q13" s="24"/>
    </row>
    <row r="14" spans="1:17" x14ac:dyDescent="0.2">
      <c r="A14" t="str">
        <f t="shared" si="2"/>
        <v>US Corporates 39721</v>
      </c>
      <c r="B14" s="1">
        <v>39721</v>
      </c>
      <c r="C14" s="4">
        <f t="shared" si="3"/>
        <v>2.1819547423746237</v>
      </c>
      <c r="D14" s="4">
        <f t="shared" si="4"/>
        <v>9.0691426974043114</v>
      </c>
      <c r="E14" s="3">
        <f t="shared" si="0"/>
        <v>268.56652368612174</v>
      </c>
      <c r="F14" s="10">
        <f t="shared" si="5"/>
        <v>14.329731940825704</v>
      </c>
      <c r="G14" s="10">
        <f t="shared" si="6"/>
        <v>78.437270371266436</v>
      </c>
      <c r="H14" s="10">
        <f t="shared" si="7"/>
        <v>18.269034443701205</v>
      </c>
      <c r="I14" s="11">
        <v>586</v>
      </c>
      <c r="K14" s="22">
        <f t="shared" ref="K14:O23" si="8">SUM(K43,K72)</f>
        <v>3572704.4991041054</v>
      </c>
      <c r="L14" s="22">
        <f t="shared" si="8"/>
        <v>652698.61551299156</v>
      </c>
      <c r="M14" s="22">
        <f t="shared" si="8"/>
        <v>511958.97775943798</v>
      </c>
      <c r="N14" s="22">
        <f t="shared" si="8"/>
        <v>1402753.8985587091</v>
      </c>
      <c r="O14" s="22">
        <f t="shared" si="8"/>
        <v>154673.26354454568</v>
      </c>
      <c r="Q14" s="24"/>
    </row>
    <row r="15" spans="1:17" x14ac:dyDescent="0.2">
      <c r="A15" t="str">
        <f t="shared" si="2"/>
        <v>US Corporates 39813</v>
      </c>
      <c r="B15" s="1">
        <v>39813</v>
      </c>
      <c r="C15" s="4">
        <f t="shared" si="3"/>
        <v>2.1426134543049709</v>
      </c>
      <c r="D15" s="4">
        <f t="shared" si="4"/>
        <v>9.0885340841578302</v>
      </c>
      <c r="E15" s="3">
        <f t="shared" si="0"/>
        <v>375.24267309373568</v>
      </c>
      <c r="F15" s="10">
        <f t="shared" si="5"/>
        <v>15.82518738809723</v>
      </c>
      <c r="G15" s="10">
        <f t="shared" si="6"/>
        <v>92.087238981366852</v>
      </c>
      <c r="H15" s="10">
        <f t="shared" si="7"/>
        <v>17.184994971235195</v>
      </c>
      <c r="I15" s="11">
        <v>804</v>
      </c>
      <c r="K15" s="22">
        <f t="shared" si="8"/>
        <v>3466342.2445693291</v>
      </c>
      <c r="L15" s="22">
        <f t="shared" si="8"/>
        <v>595690.7404150404</v>
      </c>
      <c r="M15" s="22">
        <f t="shared" si="8"/>
        <v>548555.15571587195</v>
      </c>
      <c r="N15" s="22">
        <f t="shared" si="8"/>
        <v>1361788.8392285579</v>
      </c>
      <c r="O15" s="22">
        <f t="shared" si="8"/>
        <v>149835.91705974718</v>
      </c>
      <c r="Q15" s="24"/>
    </row>
    <row r="16" spans="1:17" x14ac:dyDescent="0.2">
      <c r="A16" t="str">
        <f t="shared" si="2"/>
        <v>US Corporates 39903</v>
      </c>
      <c r="B16" s="1">
        <v>39903</v>
      </c>
      <c r="C16" s="4">
        <f t="shared" si="3"/>
        <v>2.0302963866215791</v>
      </c>
      <c r="D16" s="4">
        <f t="shared" si="4"/>
        <v>8.2596232721861877</v>
      </c>
      <c r="E16" s="3">
        <f t="shared" si="0"/>
        <v>382.70274484058507</v>
      </c>
      <c r="F16" s="10">
        <f t="shared" si="5"/>
        <v>17.022656465817938</v>
      </c>
      <c r="G16" s="10">
        <f t="shared" si="6"/>
        <v>136.30640662052551</v>
      </c>
      <c r="H16" s="10">
        <f t="shared" si="7"/>
        <v>12.488522651183004</v>
      </c>
      <c r="I16" s="11">
        <v>777</v>
      </c>
      <c r="K16" s="22">
        <f t="shared" si="8"/>
        <v>3120815.8378263419</v>
      </c>
      <c r="L16" s="22">
        <f t="shared" si="8"/>
        <v>389743.79280864936</v>
      </c>
      <c r="M16" s="22">
        <f t="shared" si="8"/>
        <v>531245.75900401606</v>
      </c>
      <c r="N16" s="22">
        <f t="shared" si="8"/>
        <v>1275464.0632205333</v>
      </c>
      <c r="O16" s="22">
        <f t="shared" si="8"/>
        <v>154421.57846539878</v>
      </c>
      <c r="Q16" s="24"/>
    </row>
    <row r="17" spans="1:26" x14ac:dyDescent="0.2">
      <c r="A17" t="str">
        <f t="shared" si="2"/>
        <v>US Corporates 39994</v>
      </c>
      <c r="B17" s="1">
        <v>39994</v>
      </c>
      <c r="C17" s="4">
        <f t="shared" si="3"/>
        <v>1.9884778621473147</v>
      </c>
      <c r="D17" s="4">
        <f t="shared" si="4"/>
        <v>8.1674010193588824</v>
      </c>
      <c r="E17" s="3">
        <f t="shared" si="0"/>
        <v>236.86459324791133</v>
      </c>
      <c r="F17" s="10">
        <f t="shared" si="5"/>
        <v>18.237358776648463</v>
      </c>
      <c r="G17" s="10">
        <f t="shared" si="6"/>
        <v>167.27673368944505</v>
      </c>
      <c r="H17" s="10">
        <f t="shared" si="7"/>
        <v>10.902507703496136</v>
      </c>
      <c r="I17" s="11">
        <v>471</v>
      </c>
      <c r="K17" s="22">
        <f t="shared" si="8"/>
        <v>3114787.5984908268</v>
      </c>
      <c r="L17" s="22">
        <f t="shared" si="8"/>
        <v>339589.95787300472</v>
      </c>
      <c r="M17" s="22">
        <f t="shared" si="8"/>
        <v>568054.98946732469</v>
      </c>
      <c r="N17" s="22">
        <f t="shared" si="8"/>
        <v>1280744.7633705814</v>
      </c>
      <c r="O17" s="22">
        <f t="shared" si="8"/>
        <v>156811.78876057151</v>
      </c>
      <c r="Q17" s="24"/>
    </row>
    <row r="18" spans="1:26" x14ac:dyDescent="0.2">
      <c r="A18" t="str">
        <f t="shared" si="2"/>
        <v>US Corporates 40086</v>
      </c>
      <c r="B18" s="1">
        <v>40086</v>
      </c>
      <c r="C18" s="4">
        <f t="shared" si="3"/>
        <v>2.0428666283292518</v>
      </c>
      <c r="D18" s="4">
        <f t="shared" si="4"/>
        <v>7.5453795907112688</v>
      </c>
      <c r="E18" s="3">
        <f t="shared" si="0"/>
        <v>169.85935116272969</v>
      </c>
      <c r="F18" s="10">
        <f t="shared" si="5"/>
        <v>20.280435380996092</v>
      </c>
      <c r="G18" s="10">
        <f t="shared" si="6"/>
        <v>209.07770206918292</v>
      </c>
      <c r="H18" s="10">
        <f t="shared" si="7"/>
        <v>9.6999513483677866</v>
      </c>
      <c r="I18" s="11">
        <v>347</v>
      </c>
      <c r="K18" s="22">
        <f t="shared" si="8"/>
        <v>3134103.9590211078</v>
      </c>
      <c r="L18" s="22">
        <f t="shared" si="8"/>
        <v>304006.5592323161</v>
      </c>
      <c r="M18" s="22">
        <f t="shared" si="8"/>
        <v>635609.92818251601</v>
      </c>
      <c r="N18" s="22">
        <f t="shared" si="8"/>
        <v>1223033.3572397591</v>
      </c>
      <c r="O18" s="22">
        <f t="shared" si="8"/>
        <v>162090.36835540691</v>
      </c>
      <c r="Q18" s="24"/>
    </row>
    <row r="19" spans="1:26" x14ac:dyDescent="0.2">
      <c r="A19" t="str">
        <f t="shared" si="2"/>
        <v>US Corporates 40178</v>
      </c>
      <c r="B19" s="1">
        <v>40178</v>
      </c>
      <c r="C19" s="4">
        <f t="shared" si="3"/>
        <v>1.9888635455758819</v>
      </c>
      <c r="D19" s="4">
        <f t="shared" si="4"/>
        <v>7.4504016320876607</v>
      </c>
      <c r="E19" s="3">
        <f t="shared" si="0"/>
        <v>142.79511564870424</v>
      </c>
      <c r="F19" s="10">
        <f t="shared" si="5"/>
        <v>20.911307164557936</v>
      </c>
      <c r="G19" s="10">
        <f t="shared" si="6"/>
        <v>220.24305761276278</v>
      </c>
      <c r="H19" s="10">
        <f t="shared" si="7"/>
        <v>9.4946498614838308</v>
      </c>
      <c r="I19" s="11">
        <v>284</v>
      </c>
      <c r="K19" s="22">
        <f t="shared" si="8"/>
        <v>3171412.5082366955</v>
      </c>
      <c r="L19" s="22">
        <f t="shared" si="8"/>
        <v>301114.51332037628</v>
      </c>
      <c r="M19" s="22">
        <f t="shared" si="8"/>
        <v>663183.81105258665</v>
      </c>
      <c r="N19" s="22">
        <f t="shared" si="8"/>
        <v>1261136.6439711396</v>
      </c>
      <c r="O19" s="22">
        <f t="shared" si="8"/>
        <v>169270.96098277849</v>
      </c>
      <c r="Q19" s="24"/>
    </row>
    <row r="20" spans="1:26" x14ac:dyDescent="0.2">
      <c r="A20" t="str">
        <f t="shared" si="2"/>
        <v>US Corporates 40268</v>
      </c>
      <c r="B20" s="1">
        <v>40268</v>
      </c>
      <c r="C20" s="4">
        <f t="shared" si="3"/>
        <v>1.9800664008092028</v>
      </c>
      <c r="D20" s="4">
        <f t="shared" si="4"/>
        <v>7.6454155342220469</v>
      </c>
      <c r="E20" s="3">
        <f t="shared" si="0"/>
        <v>127.26845922794003</v>
      </c>
      <c r="F20" s="10">
        <f t="shared" si="5"/>
        <v>19.834374683670116</v>
      </c>
      <c r="G20" s="10">
        <f t="shared" si="6"/>
        <v>184.51828303034878</v>
      </c>
      <c r="H20" s="10">
        <f t="shared" si="7"/>
        <v>10.749273382523207</v>
      </c>
      <c r="I20" s="11">
        <v>252</v>
      </c>
      <c r="K20" s="22">
        <f t="shared" si="8"/>
        <v>3279443.8915543524</v>
      </c>
      <c r="L20" s="22">
        <f t="shared" si="8"/>
        <v>352516.38932963519</v>
      </c>
      <c r="M20" s="22">
        <f t="shared" si="8"/>
        <v>650457.18899162253</v>
      </c>
      <c r="N20" s="22">
        <f t="shared" si="8"/>
        <v>1327726.5355789734</v>
      </c>
      <c r="O20" s="22">
        <f t="shared" si="8"/>
        <v>173663.09648388196</v>
      </c>
      <c r="Q20" s="24"/>
    </row>
    <row r="21" spans="1:26" x14ac:dyDescent="0.2">
      <c r="A21" t="str">
        <f t="shared" si="2"/>
        <v>US Corporates 40359</v>
      </c>
      <c r="B21" s="1">
        <v>40359</v>
      </c>
      <c r="C21" s="4">
        <f t="shared" si="3"/>
        <v>2.1049372958050236</v>
      </c>
      <c r="D21" s="4">
        <f t="shared" si="4"/>
        <v>8.1037009352493143</v>
      </c>
      <c r="E21" s="3">
        <f t="shared" si="0"/>
        <v>150.59831028304566</v>
      </c>
      <c r="F21" s="10">
        <f t="shared" si="5"/>
        <v>18.967138917719804</v>
      </c>
      <c r="G21" s="10">
        <f t="shared" si="6"/>
        <v>146.12615673219383</v>
      </c>
      <c r="H21" s="10">
        <f t="shared" si="7"/>
        <v>12.979975209011336</v>
      </c>
      <c r="I21" s="11">
        <v>317</v>
      </c>
      <c r="K21" s="22">
        <f t="shared" si="8"/>
        <v>3761321.964556823</v>
      </c>
      <c r="L21" s="22">
        <f t="shared" si="8"/>
        <v>488218.65853057371</v>
      </c>
      <c r="M21" s="22">
        <f t="shared" si="8"/>
        <v>713415.1621602003</v>
      </c>
      <c r="N21" s="22">
        <f t="shared" si="8"/>
        <v>1447979.8559657163</v>
      </c>
      <c r="O21" s="22">
        <f t="shared" si="8"/>
        <v>178681.304694664</v>
      </c>
      <c r="Q21" s="24"/>
    </row>
    <row r="22" spans="1:26" x14ac:dyDescent="0.2">
      <c r="A22" t="str">
        <f t="shared" si="2"/>
        <v>US Corporates 40451</v>
      </c>
      <c r="B22" s="1">
        <v>40451</v>
      </c>
      <c r="C22" s="4">
        <f t="shared" si="3"/>
        <v>2.0311956847713004</v>
      </c>
      <c r="D22" s="4">
        <f t="shared" si="4"/>
        <v>8.2564219969229544</v>
      </c>
      <c r="E22" s="3">
        <f t="shared" si="0"/>
        <v>138.34216078085001</v>
      </c>
      <c r="F22" s="10">
        <f t="shared" si="5"/>
        <v>20.389658549641929</v>
      </c>
      <c r="G22" s="10">
        <f t="shared" si="6"/>
        <v>163.38719170804896</v>
      </c>
      <c r="H22" s="10">
        <f t="shared" si="7"/>
        <v>12.47934941318749</v>
      </c>
      <c r="I22" s="11">
        <v>281</v>
      </c>
      <c r="K22" s="22">
        <f t="shared" si="8"/>
        <v>3834588.828033838</v>
      </c>
      <c r="L22" s="22">
        <f t="shared" si="8"/>
        <v>478531.73840939382</v>
      </c>
      <c r="M22" s="22">
        <f t="shared" si="8"/>
        <v>781859.56881881563</v>
      </c>
      <c r="N22" s="22">
        <f t="shared" si="8"/>
        <v>1502922.2846929887</v>
      </c>
      <c r="O22" s="22">
        <f t="shared" si="8"/>
        <v>182030.70110189443</v>
      </c>
      <c r="Q22" s="24"/>
    </row>
    <row r="23" spans="1:26" x14ac:dyDescent="0.2">
      <c r="A23" t="str">
        <f t="shared" si="2"/>
        <v>US Corporates 40543</v>
      </c>
      <c r="B23" s="1">
        <v>40543</v>
      </c>
      <c r="C23" s="4">
        <f t="shared" si="3"/>
        <v>1.7928899004457286</v>
      </c>
      <c r="D23" s="4">
        <f t="shared" si="4"/>
        <v>8.3318455114577645</v>
      </c>
      <c r="E23" s="3">
        <f t="shared" si="0"/>
        <v>139.99744208364336</v>
      </c>
      <c r="F23" s="10">
        <f t="shared" si="5"/>
        <v>20.599150146122692</v>
      </c>
      <c r="G23" s="10">
        <f t="shared" si="6"/>
        <v>197.48261382675116</v>
      </c>
      <c r="H23" s="10">
        <f t="shared" si="7"/>
        <v>10.430867683468097</v>
      </c>
      <c r="I23" s="11">
        <v>251</v>
      </c>
      <c r="K23" s="22">
        <f t="shared" si="8"/>
        <v>3411682.6548853074</v>
      </c>
      <c r="L23" s="22">
        <f t="shared" si="8"/>
        <v>355868.10351091798</v>
      </c>
      <c r="M23" s="22">
        <f t="shared" si="8"/>
        <v>702777.63258904929</v>
      </c>
      <c r="N23" s="22">
        <f t="shared" si="8"/>
        <v>1510915.4341394862</v>
      </c>
      <c r="O23" s="22">
        <f t="shared" si="8"/>
        <v>181342.22868891526</v>
      </c>
      <c r="Q23" s="24"/>
    </row>
    <row r="24" spans="1:26" x14ac:dyDescent="0.2">
      <c r="A24" t="str">
        <f t="shared" si="2"/>
        <v>US Corporates 40633</v>
      </c>
      <c r="B24" s="1">
        <v>40633</v>
      </c>
      <c r="C24" s="4">
        <f t="shared" si="3"/>
        <v>1.8248619410002038</v>
      </c>
      <c r="D24" s="4">
        <f t="shared" si="4"/>
        <v>8.2955856167978705</v>
      </c>
      <c r="E24" s="3">
        <f t="shared" si="0"/>
        <v>123.844985158784</v>
      </c>
      <c r="F24" s="10">
        <f t="shared" si="5"/>
        <v>20.749045652129734</v>
      </c>
      <c r="G24" s="10">
        <f t="shared" si="6"/>
        <v>184.37831461137122</v>
      </c>
      <c r="H24" s="10">
        <f t="shared" si="7"/>
        <v>11.253517365024264</v>
      </c>
      <c r="I24" s="11">
        <v>226</v>
      </c>
      <c r="K24" s="22">
        <f t="shared" ref="K24:O27" si="9">SUM(K53,K82)</f>
        <v>3550564.4922853261</v>
      </c>
      <c r="L24" s="22">
        <f t="shared" si="9"/>
        <v>399563.39169571479</v>
      </c>
      <c r="M24" s="22">
        <f t="shared" si="9"/>
        <v>736708.24741259054</v>
      </c>
      <c r="N24" s="22">
        <f t="shared" si="9"/>
        <v>1541955.6853328126</v>
      </c>
      <c r="O24" s="22">
        <f t="shared" si="9"/>
        <v>185876.65254282719</v>
      </c>
      <c r="Q24" s="24"/>
    </row>
    <row r="25" spans="1:26" x14ac:dyDescent="0.2">
      <c r="A25" t="str">
        <f t="shared" si="2"/>
        <v>US Corporates 40724</v>
      </c>
      <c r="B25" s="1">
        <v>40724</v>
      </c>
      <c r="C25" s="4">
        <f t="shared" si="3"/>
        <v>1.7888038089917089</v>
      </c>
      <c r="D25" s="4">
        <f t="shared" si="4"/>
        <v>8.6880364767638341</v>
      </c>
      <c r="E25" s="3">
        <f t="shared" si="0"/>
        <v>139.75819972169947</v>
      </c>
      <c r="F25" s="10">
        <f t="shared" si="5"/>
        <v>20.255194427346545</v>
      </c>
      <c r="G25" s="10">
        <f t="shared" si="6"/>
        <v>190.1850472012805</v>
      </c>
      <c r="H25" s="10">
        <f t="shared" si="7"/>
        <v>10.650256014033353</v>
      </c>
      <c r="I25" s="11">
        <v>250</v>
      </c>
      <c r="K25" s="22">
        <f t="shared" si="9"/>
        <v>3676734.3706051023</v>
      </c>
      <c r="L25" s="22">
        <f t="shared" si="9"/>
        <v>391581.62342540128</v>
      </c>
      <c r="M25" s="22">
        <f t="shared" si="9"/>
        <v>744729.69534313981</v>
      </c>
      <c r="N25" s="22">
        <f t="shared" si="9"/>
        <v>1639086.7799608717</v>
      </c>
      <c r="O25" s="22">
        <f t="shared" si="9"/>
        <v>188660.20928257052</v>
      </c>
      <c r="Q25" s="24"/>
    </row>
    <row r="26" spans="1:26" x14ac:dyDescent="0.2">
      <c r="A26" t="str">
        <f t="shared" si="2"/>
        <v>US Corporates 40816</v>
      </c>
      <c r="B26" s="1">
        <v>40816</v>
      </c>
      <c r="C26" s="4">
        <f t="shared" si="3"/>
        <v>1.7551398184088109</v>
      </c>
      <c r="D26" s="4">
        <f t="shared" si="4"/>
        <v>8.8540473656285599</v>
      </c>
      <c r="E26" s="3">
        <f t="shared" si="0"/>
        <v>215.36745735886177</v>
      </c>
      <c r="F26" s="10">
        <f t="shared" si="5"/>
        <v>20.253304978450764</v>
      </c>
      <c r="G26" s="10">
        <f t="shared" si="6"/>
        <v>179.14329394543489</v>
      </c>
      <c r="H26" s="10">
        <f t="shared" si="7"/>
        <v>11.30564506903602</v>
      </c>
      <c r="I26" s="11">
        <v>378</v>
      </c>
      <c r="K26" s="22">
        <f t="shared" si="9"/>
        <v>3723817.497324517</v>
      </c>
      <c r="L26" s="22">
        <f t="shared" si="9"/>
        <v>421001.58926616982</v>
      </c>
      <c r="M26" s="22">
        <f t="shared" si="9"/>
        <v>754196.11457404704</v>
      </c>
      <c r="N26" s="22">
        <f t="shared" si="9"/>
        <v>1691957.1601097251</v>
      </c>
      <c r="O26" s="22">
        <f t="shared" si="9"/>
        <v>191094.2070038961</v>
      </c>
      <c r="Q26" s="24"/>
    </row>
    <row r="27" spans="1:26" x14ac:dyDescent="0.2">
      <c r="A27" t="str">
        <f t="shared" si="2"/>
        <v>US Corporates 40908</v>
      </c>
      <c r="B27" s="1">
        <v>40908</v>
      </c>
      <c r="C27" s="4">
        <f t="shared" si="3"/>
        <v>1.7078685476587045</v>
      </c>
      <c r="D27" s="4">
        <f t="shared" si="4"/>
        <v>8.758415573687568</v>
      </c>
      <c r="E27" s="3">
        <f t="shared" si="0"/>
        <v>203.76275473722424</v>
      </c>
      <c r="F27" s="10">
        <f t="shared" si="5"/>
        <v>21.043232106567633</v>
      </c>
      <c r="G27" s="10">
        <f t="shared" si="6"/>
        <v>197.32984840694849</v>
      </c>
      <c r="H27" s="10">
        <f t="shared" si="7"/>
        <v>10.663988381104259</v>
      </c>
      <c r="I27" s="11">
        <v>348</v>
      </c>
      <c r="K27" s="22">
        <f t="shared" si="9"/>
        <v>3760313.762675331</v>
      </c>
      <c r="L27" s="22">
        <f t="shared" si="9"/>
        <v>400999.42274476169</v>
      </c>
      <c r="M27" s="22">
        <f t="shared" si="9"/>
        <v>791291.55301497667</v>
      </c>
      <c r="N27" s="22">
        <f t="shared" si="9"/>
        <v>1738437.196311478</v>
      </c>
      <c r="O27" s="22">
        <f t="shared" si="9"/>
        <v>198487.63531319186</v>
      </c>
      <c r="Q27" s="24"/>
    </row>
    <row r="28" spans="1:26" x14ac:dyDescent="0.2">
      <c r="A28" t="str">
        <f t="shared" si="2"/>
        <v>US Corporates 40999</v>
      </c>
      <c r="B28" s="1">
        <v>40999</v>
      </c>
      <c r="C28" s="4">
        <f t="shared" si="3"/>
        <v>1.7462711055662912</v>
      </c>
      <c r="D28" s="4">
        <f>N28/O28</f>
        <v>8.8918316802730271</v>
      </c>
      <c r="E28" s="3">
        <f>I28/C28</f>
        <v>157.47841164148528</v>
      </c>
      <c r="F28" s="10">
        <f>M28/K28*100</f>
        <v>20.282251821729467</v>
      </c>
      <c r="G28" s="10">
        <f>M28/L28*100</f>
        <v>178.58543467641474</v>
      </c>
      <c r="H28" s="10">
        <f>L28/K28*100</f>
        <v>11.357170229744435</v>
      </c>
      <c r="I28" s="11">
        <v>275</v>
      </c>
      <c r="K28" s="22">
        <f t="shared" ref="K28:O29" si="10">SUM(K57,K86)</f>
        <v>3808817.0519964965</v>
      </c>
      <c r="L28" s="22">
        <f t="shared" si="10"/>
        <v>432573.83633477567</v>
      </c>
      <c r="M28" s="22">
        <f t="shared" si="10"/>
        <v>772513.86591490207</v>
      </c>
      <c r="N28" s="22">
        <f t="shared" si="10"/>
        <v>1738735.2836585839</v>
      </c>
      <c r="O28" s="22">
        <f t="shared" si="10"/>
        <v>195542.98216373741</v>
      </c>
      <c r="Q28" s="24"/>
    </row>
    <row r="29" spans="1:26" x14ac:dyDescent="0.2">
      <c r="A29" t="str">
        <f t="shared" si="2"/>
        <v>US Corporates 41090</v>
      </c>
      <c r="B29" s="1">
        <v>41090</v>
      </c>
      <c r="C29" s="4">
        <f t="shared" si="3"/>
        <v>1.8330000283848351</v>
      </c>
      <c r="D29" s="4">
        <f>N29/O29</f>
        <v>9.1163872725697708</v>
      </c>
      <c r="E29" s="3">
        <f>I29/C29</f>
        <v>163.12056484989071</v>
      </c>
      <c r="F29" s="10">
        <f>M29/K29*100</f>
        <v>19.262290183331277</v>
      </c>
      <c r="G29" s="10">
        <f>M29/L29*100</f>
        <v>156.59442956510634</v>
      </c>
      <c r="H29" s="10">
        <f>L29/K29*100</f>
        <v>12.300750567454067</v>
      </c>
      <c r="I29" s="11">
        <v>299</v>
      </c>
      <c r="K29" s="22">
        <f t="shared" si="10"/>
        <v>3885025.1234310786</v>
      </c>
      <c r="L29" s="22">
        <f t="shared" si="10"/>
        <v>477887.24991618143</v>
      </c>
      <c r="M29" s="22">
        <f t="shared" si="10"/>
        <v>748344.81297061848</v>
      </c>
      <c r="N29" s="22">
        <f t="shared" si="10"/>
        <v>1711227.6387820763</v>
      </c>
      <c r="O29" s="22">
        <f t="shared" si="10"/>
        <v>187708.96711803548</v>
      </c>
    </row>
    <row r="30" spans="1:26" x14ac:dyDescent="0.2">
      <c r="B30" s="1"/>
      <c r="C30" s="4"/>
      <c r="D30" s="4"/>
      <c r="G30" s="3"/>
      <c r="H30" s="3"/>
      <c r="I30" s="11"/>
      <c r="J30" s="4"/>
    </row>
    <row r="31" spans="1:26" x14ac:dyDescent="0.2">
      <c r="K31" s="23" t="s">
        <v>45</v>
      </c>
      <c r="L31" s="23" t="s">
        <v>49</v>
      </c>
      <c r="M31" s="23" t="s">
        <v>48</v>
      </c>
      <c r="N31" s="23" t="s">
        <v>46</v>
      </c>
      <c r="O31" s="23" t="s">
        <v>47</v>
      </c>
      <c r="S31" t="s">
        <v>290</v>
      </c>
    </row>
    <row r="32" spans="1:26" x14ac:dyDescent="0.2">
      <c r="B32" s="2" t="s">
        <v>0</v>
      </c>
      <c r="C32" s="5" t="s">
        <v>11</v>
      </c>
      <c r="D32" s="5" t="s">
        <v>17</v>
      </c>
      <c r="E32" s="2" t="s">
        <v>15</v>
      </c>
      <c r="F32" s="2" t="s">
        <v>21</v>
      </c>
      <c r="G32" s="2" t="s">
        <v>22</v>
      </c>
      <c r="H32" s="2" t="s">
        <v>23</v>
      </c>
      <c r="I32" s="5" t="s">
        <v>13</v>
      </c>
      <c r="K32" s="2" t="s">
        <v>2</v>
      </c>
      <c r="L32" s="2" t="s">
        <v>30</v>
      </c>
      <c r="M32" s="2" t="s">
        <v>31</v>
      </c>
      <c r="N32" s="2" t="s">
        <v>32</v>
      </c>
      <c r="O32" s="2" t="s">
        <v>33</v>
      </c>
      <c r="P32" s="2" t="s">
        <v>58</v>
      </c>
      <c r="S32" s="2" t="s">
        <v>0</v>
      </c>
      <c r="T32" s="5" t="s">
        <v>11</v>
      </c>
      <c r="U32" s="5" t="s">
        <v>17</v>
      </c>
      <c r="V32" s="2" t="s">
        <v>15</v>
      </c>
      <c r="W32" s="2" t="s">
        <v>21</v>
      </c>
      <c r="X32" s="2" t="s">
        <v>22</v>
      </c>
      <c r="Y32" s="2" t="s">
        <v>23</v>
      </c>
      <c r="Z32" s="5" t="s">
        <v>13</v>
      </c>
    </row>
    <row r="33" spans="1:26" x14ac:dyDescent="0.2">
      <c r="A33" t="str">
        <f>"US IG Corporates"&amp;" "&amp;B33</f>
        <v>US IG Corporates 38807</v>
      </c>
      <c r="B33" s="1">
        <v>38807</v>
      </c>
      <c r="C33" s="4">
        <f>(K33-M33)/N33</f>
        <v>1.7186771689445945</v>
      </c>
      <c r="D33" s="4">
        <f>N33/O33</f>
        <v>12.574350888808215</v>
      </c>
      <c r="E33" s="3">
        <f t="shared" ref="E33:E56" si="11">I33/C33</f>
        <v>52.365855337024819</v>
      </c>
      <c r="F33" s="10">
        <f>M33/K33*100</f>
        <v>16.734332205288979</v>
      </c>
      <c r="G33" s="10">
        <f>M33/L33*100</f>
        <v>77.963926571371644</v>
      </c>
      <c r="H33" s="10">
        <f>L33/K33*100</f>
        <v>21.464198817602686</v>
      </c>
      <c r="I33">
        <v>90</v>
      </c>
      <c r="K33" s="22">
        <v>2005900.9519000005</v>
      </c>
      <c r="L33" s="22">
        <v>430550.56840000092</v>
      </c>
      <c r="M33" s="22">
        <v>335674.12899999996</v>
      </c>
      <c r="N33" s="22">
        <v>971809.51319999993</v>
      </c>
      <c r="O33" s="22">
        <v>77285.064000000013</v>
      </c>
      <c r="P33" s="10">
        <f>K33/N33</f>
        <v>2.064088614748087</v>
      </c>
      <c r="R33" t="str">
        <f>"US IG Corporates"&amp;" "&amp;S33</f>
        <v>US IG Corporates 38807</v>
      </c>
      <c r="S33" s="1">
        <v>38807</v>
      </c>
      <c r="T33" s="4">
        <v>1.800262123197903</v>
      </c>
      <c r="U33" s="4">
        <v>8.878516536297516</v>
      </c>
      <c r="V33" s="3">
        <f>Z33/T33</f>
        <v>49.992719860221314</v>
      </c>
      <c r="W33" s="10">
        <v>7.9940117284103787</v>
      </c>
      <c r="X33" s="11">
        <v>76.729871707107208</v>
      </c>
      <c r="Y33" s="10">
        <v>10.856186740651278</v>
      </c>
      <c r="Z33">
        <f>I33</f>
        <v>90</v>
      </c>
    </row>
    <row r="34" spans="1:26" x14ac:dyDescent="0.2">
      <c r="A34" t="str">
        <f t="shared" ref="A34:A58" si="12">"US IG Corporates"&amp;" "&amp;B34</f>
        <v>US IG Corporates 38898</v>
      </c>
      <c r="B34" s="1">
        <v>38898</v>
      </c>
      <c r="C34" s="4">
        <f t="shared" ref="C34:C56" si="13">(K34-M34)/N34</f>
        <v>1.7284801332327633</v>
      </c>
      <c r="D34" s="4">
        <f t="shared" ref="D34:D56" si="14">N34/O34</f>
        <v>12.375467204685132</v>
      </c>
      <c r="E34" s="3">
        <f t="shared" si="11"/>
        <v>56.118666413933049</v>
      </c>
      <c r="F34" s="10">
        <f t="shared" ref="F34:F56" si="15">M34/K34*100</f>
        <v>15.906922096355954</v>
      </c>
      <c r="G34" s="10">
        <f t="shared" ref="G34:G56" si="16">M34/L34*100</f>
        <v>74.225723732680379</v>
      </c>
      <c r="H34" s="10">
        <f t="shared" ref="H34:H56" si="17">L34/K34*100</f>
        <v>21.430470861616392</v>
      </c>
      <c r="I34">
        <v>97</v>
      </c>
      <c r="K34" s="22">
        <v>2073343.1163000008</v>
      </c>
      <c r="L34" s="22">
        <v>444327.19240000099</v>
      </c>
      <c r="M34" s="22">
        <v>329805.07429999998</v>
      </c>
      <c r="N34" s="22">
        <v>1008711.6470000005</v>
      </c>
      <c r="O34" s="22">
        <v>81508.97500000002</v>
      </c>
      <c r="P34" s="10">
        <f t="shared" ref="P34:P58" si="18">K34/N34</f>
        <v>2.0554368758071848</v>
      </c>
      <c r="R34" t="str">
        <f t="shared" ref="R34:R58" si="19">"US IG Corporates"&amp;" "&amp;S34</f>
        <v>US IG Corporates 38898</v>
      </c>
      <c r="S34" s="1">
        <v>38898</v>
      </c>
      <c r="T34" s="4">
        <v>1.784748732640044</v>
      </c>
      <c r="U34" s="4">
        <v>8.8554401672956153</v>
      </c>
      <c r="V34" s="3">
        <f t="shared" ref="V34:V58" si="20">Z34/T34</f>
        <v>54.349387242043434</v>
      </c>
      <c r="W34" s="10">
        <v>7.8298292701040992</v>
      </c>
      <c r="X34" s="11">
        <v>63.913236351398893</v>
      </c>
      <c r="Y34" s="10">
        <v>12.167084992361126</v>
      </c>
      <c r="Z34">
        <f t="shared" ref="Z34:Z58" si="21">I34</f>
        <v>97</v>
      </c>
    </row>
    <row r="35" spans="1:26" x14ac:dyDescent="0.2">
      <c r="A35" t="str">
        <f t="shared" si="12"/>
        <v>US IG Corporates 38990</v>
      </c>
      <c r="B35" s="1">
        <v>38990</v>
      </c>
      <c r="C35" s="4">
        <f t="shared" si="13"/>
        <v>1.6579468709739862</v>
      </c>
      <c r="D35" s="4">
        <f t="shared" si="14"/>
        <v>12.490314965558007</v>
      </c>
      <c r="E35" s="3">
        <f t="shared" si="11"/>
        <v>59.109252362488796</v>
      </c>
      <c r="F35" s="10">
        <f t="shared" si="15"/>
        <v>16.320845597082371</v>
      </c>
      <c r="G35" s="10">
        <f t="shared" si="16"/>
        <v>73.225475044807766</v>
      </c>
      <c r="H35" s="10">
        <f t="shared" si="17"/>
        <v>22.288480323405757</v>
      </c>
      <c r="I35">
        <v>98</v>
      </c>
      <c r="K35" s="22">
        <v>2090520.8365000009</v>
      </c>
      <c r="L35" s="22">
        <v>465945.32530000014</v>
      </c>
      <c r="M35" s="22">
        <v>341190.67789999995</v>
      </c>
      <c r="N35" s="22">
        <v>1055118.345</v>
      </c>
      <c r="O35" s="22">
        <v>84474.918999999965</v>
      </c>
      <c r="P35" s="10">
        <f t="shared" si="18"/>
        <v>1.9813140833031397</v>
      </c>
      <c r="R35" t="str">
        <f t="shared" si="19"/>
        <v>US IG Corporates 38990</v>
      </c>
      <c r="S35" s="1">
        <v>38990</v>
      </c>
      <c r="T35" s="4">
        <v>1.754163890739507</v>
      </c>
      <c r="U35" s="4">
        <v>8.7448200654307513</v>
      </c>
      <c r="V35" s="3">
        <f t="shared" si="20"/>
        <v>55.867071781238131</v>
      </c>
      <c r="W35" s="10">
        <v>7.4816276204067371</v>
      </c>
      <c r="X35" s="11">
        <v>70.922370917294785</v>
      </c>
      <c r="Y35" s="10">
        <v>12.077702975676152</v>
      </c>
      <c r="Z35">
        <f t="shared" si="21"/>
        <v>98</v>
      </c>
    </row>
    <row r="36" spans="1:26" x14ac:dyDescent="0.2">
      <c r="A36" t="str">
        <f t="shared" si="12"/>
        <v>US IG Corporates 39082</v>
      </c>
      <c r="B36" s="1">
        <v>39082</v>
      </c>
      <c r="C36" s="4">
        <f t="shared" si="13"/>
        <v>1.6842657388903652</v>
      </c>
      <c r="D36" s="4">
        <f t="shared" si="14"/>
        <v>12.5784792841794</v>
      </c>
      <c r="E36" s="3">
        <f t="shared" si="11"/>
        <v>54.029478780440542</v>
      </c>
      <c r="F36" s="10">
        <f t="shared" si="15"/>
        <v>15.480828155542442</v>
      </c>
      <c r="G36" s="10">
        <f t="shared" si="16"/>
        <v>73.067323785910162</v>
      </c>
      <c r="H36" s="10">
        <f t="shared" si="17"/>
        <v>21.18707426715369</v>
      </c>
      <c r="I36">
        <v>91</v>
      </c>
      <c r="K36" s="22">
        <v>2079583.0828000002</v>
      </c>
      <c r="L36" s="22">
        <v>440602.81220000028</v>
      </c>
      <c r="M36" s="22">
        <v>321936.68339999992</v>
      </c>
      <c r="N36" s="22">
        <v>1043568.3389000003</v>
      </c>
      <c r="O36" s="22">
        <v>82964.587000000058</v>
      </c>
      <c r="P36" s="10">
        <f t="shared" si="18"/>
        <v>1.9927617629642131</v>
      </c>
      <c r="R36" t="str">
        <f t="shared" si="19"/>
        <v>US IG Corporates 39082</v>
      </c>
      <c r="S36" s="1">
        <v>39082</v>
      </c>
      <c r="T36" s="4">
        <v>1.7367795266674215</v>
      </c>
      <c r="U36" s="4">
        <v>8.4742647058823533</v>
      </c>
      <c r="V36" s="3">
        <f t="shared" si="20"/>
        <v>52.3958272208639</v>
      </c>
      <c r="W36" s="10">
        <v>8.518833191730387</v>
      </c>
      <c r="X36" s="11">
        <v>87.135650518649229</v>
      </c>
      <c r="Y36" s="10">
        <v>10.26557845389782</v>
      </c>
      <c r="Z36">
        <f t="shared" si="21"/>
        <v>91</v>
      </c>
    </row>
    <row r="37" spans="1:26" x14ac:dyDescent="0.2">
      <c r="A37" t="str">
        <f t="shared" si="12"/>
        <v>US IG Corporates 39172</v>
      </c>
      <c r="B37" s="1">
        <v>39172</v>
      </c>
      <c r="C37" s="4">
        <f t="shared" si="13"/>
        <v>1.7009725649780061</v>
      </c>
      <c r="D37" s="4">
        <f t="shared" si="14"/>
        <v>12.2728780982206</v>
      </c>
      <c r="E37" s="3">
        <f t="shared" si="11"/>
        <v>55.850401091700363</v>
      </c>
      <c r="F37" s="10">
        <f t="shared" si="15"/>
        <v>15.675734013657797</v>
      </c>
      <c r="G37" s="10">
        <f t="shared" si="16"/>
        <v>74.330805767553855</v>
      </c>
      <c r="H37" s="10">
        <f t="shared" si="17"/>
        <v>21.089148505504848</v>
      </c>
      <c r="I37">
        <v>95</v>
      </c>
      <c r="K37" s="22">
        <v>2150394.4964000001</v>
      </c>
      <c r="L37" s="22">
        <v>453499.88879999914</v>
      </c>
      <c r="M37" s="22">
        <v>337090.12150000007</v>
      </c>
      <c r="N37" s="22">
        <v>1066039.7541</v>
      </c>
      <c r="O37" s="22">
        <v>86861.431000000011</v>
      </c>
      <c r="P37" s="10">
        <f t="shared" si="18"/>
        <v>2.0171803988824624</v>
      </c>
      <c r="R37" t="str">
        <f t="shared" si="19"/>
        <v>US IG Corporates 39172</v>
      </c>
      <c r="S37" s="1">
        <v>39172</v>
      </c>
      <c r="T37" s="4">
        <v>1.7999257321066822</v>
      </c>
      <c r="U37" s="4">
        <v>8.4588970705090851</v>
      </c>
      <c r="V37" s="3">
        <f t="shared" si="20"/>
        <v>52.779955475612546</v>
      </c>
      <c r="W37" s="10">
        <v>8.2669660547388979</v>
      </c>
      <c r="X37" s="11">
        <v>80.237154150197625</v>
      </c>
      <c r="Y37" s="10">
        <v>10.120782457243752</v>
      </c>
      <c r="Z37">
        <f t="shared" si="21"/>
        <v>95</v>
      </c>
    </row>
    <row r="38" spans="1:26" x14ac:dyDescent="0.2">
      <c r="A38" t="str">
        <f t="shared" si="12"/>
        <v>US IG Corporates 39263</v>
      </c>
      <c r="B38" s="1">
        <v>39263</v>
      </c>
      <c r="C38" s="4">
        <f t="shared" si="13"/>
        <v>1.7143599547863975</v>
      </c>
      <c r="D38" s="4">
        <f t="shared" si="14"/>
        <v>12.160088114372222</v>
      </c>
      <c r="E38" s="3">
        <f t="shared" si="11"/>
        <v>58.330807203472979</v>
      </c>
      <c r="F38" s="10">
        <f t="shared" si="15"/>
        <v>16.052787021197489</v>
      </c>
      <c r="G38" s="10">
        <f t="shared" si="16"/>
        <v>73.374499295456303</v>
      </c>
      <c r="H38" s="10">
        <f t="shared" si="17"/>
        <v>21.877882882114001</v>
      </c>
      <c r="I38">
        <v>100</v>
      </c>
      <c r="K38" s="22">
        <v>2226325.2090000003</v>
      </c>
      <c r="L38" s="22">
        <v>487072.8217999998</v>
      </c>
      <c r="M38" s="22">
        <v>357387.24419999996</v>
      </c>
      <c r="N38" s="22">
        <v>1090166.6009999998</v>
      </c>
      <c r="O38" s="22">
        <v>89651.208999999988</v>
      </c>
      <c r="P38" s="10">
        <f t="shared" si="18"/>
        <v>2.0421880536037453</v>
      </c>
      <c r="R38" t="str">
        <f t="shared" si="19"/>
        <v>US IG Corporates 39263</v>
      </c>
      <c r="S38" s="1">
        <v>39263</v>
      </c>
      <c r="T38" s="4">
        <v>1.7671889181789193</v>
      </c>
      <c r="U38" s="4">
        <v>8.4532850893931837</v>
      </c>
      <c r="V38" s="3">
        <f t="shared" si="20"/>
        <v>56.587045658394899</v>
      </c>
      <c r="W38" s="10">
        <v>8.9390962671905694</v>
      </c>
      <c r="X38" s="11">
        <v>87.108013937282223</v>
      </c>
      <c r="Y38" s="10">
        <v>10.429088065682729</v>
      </c>
      <c r="Z38">
        <f t="shared" si="21"/>
        <v>100</v>
      </c>
    </row>
    <row r="39" spans="1:26" x14ac:dyDescent="0.2">
      <c r="A39" t="str">
        <f t="shared" si="12"/>
        <v>US IG Corporates 39355</v>
      </c>
      <c r="B39" s="1">
        <v>39355</v>
      </c>
      <c r="C39" s="4">
        <f t="shared" si="13"/>
        <v>1.7208256385644436</v>
      </c>
      <c r="D39" s="4">
        <f t="shared" si="14"/>
        <v>11.928031852928031</v>
      </c>
      <c r="E39" s="3">
        <f t="shared" si="11"/>
        <v>86.586343590452074</v>
      </c>
      <c r="F39" s="10">
        <f t="shared" si="15"/>
        <v>16.51182635920151</v>
      </c>
      <c r="G39" s="10">
        <f t="shared" si="16"/>
        <v>80.57353007636425</v>
      </c>
      <c r="H39" s="10">
        <f t="shared" si="17"/>
        <v>20.492867004278313</v>
      </c>
      <c r="I39">
        <v>149</v>
      </c>
      <c r="K39" s="22">
        <v>2288557.8425999992</v>
      </c>
      <c r="L39" s="22">
        <v>468991.11499999883</v>
      </c>
      <c r="M39" s="22">
        <v>377882.69710000011</v>
      </c>
      <c r="N39" s="22">
        <v>1110324.6619999995</v>
      </c>
      <c r="O39" s="22">
        <v>93085.320000000065</v>
      </c>
      <c r="P39" s="10">
        <f t="shared" si="18"/>
        <v>2.0611609567220439</v>
      </c>
      <c r="R39" t="str">
        <f t="shared" si="19"/>
        <v>US IG Corporates 39355</v>
      </c>
      <c r="S39" s="1">
        <v>39355</v>
      </c>
      <c r="T39" s="4">
        <v>1.8435303172847595</v>
      </c>
      <c r="U39" s="4">
        <v>8.6109482466922014</v>
      </c>
      <c r="V39" s="3">
        <f t="shared" si="20"/>
        <v>80.823189400787513</v>
      </c>
      <c r="W39" s="10">
        <v>9.4810956790123448</v>
      </c>
      <c r="X39" s="11">
        <v>87.891503459286852</v>
      </c>
      <c r="Y39" s="10">
        <v>9.4659716758457915</v>
      </c>
      <c r="Z39">
        <f t="shared" si="21"/>
        <v>149</v>
      </c>
    </row>
    <row r="40" spans="1:26" x14ac:dyDescent="0.2">
      <c r="A40" t="str">
        <f t="shared" si="12"/>
        <v>US IG Corporates 39447</v>
      </c>
      <c r="B40" s="1">
        <v>39447</v>
      </c>
      <c r="C40" s="4">
        <f t="shared" si="13"/>
        <v>1.7467689569398344</v>
      </c>
      <c r="D40" s="4">
        <f t="shared" si="14"/>
        <v>11.943002867749886</v>
      </c>
      <c r="E40" s="3">
        <f t="shared" si="11"/>
        <v>116.21456815653275</v>
      </c>
      <c r="F40" s="10">
        <f t="shared" si="15"/>
        <v>15.750537589658345</v>
      </c>
      <c r="G40" s="10">
        <f t="shared" si="16"/>
        <v>76.412669025744094</v>
      </c>
      <c r="H40" s="10">
        <f t="shared" si="17"/>
        <v>20.612468835962073</v>
      </c>
      <c r="I40">
        <v>203</v>
      </c>
      <c r="K40" s="22">
        <v>2375948.0491999984</v>
      </c>
      <c r="L40" s="22">
        <v>489741.55119999847</v>
      </c>
      <c r="M40" s="22">
        <v>374224.59059999988</v>
      </c>
      <c r="N40" s="22">
        <v>1145957.77</v>
      </c>
      <c r="O40" s="22">
        <v>95952.231000000043</v>
      </c>
      <c r="P40" s="10">
        <f t="shared" si="18"/>
        <v>2.0733294990442785</v>
      </c>
      <c r="R40" t="str">
        <f t="shared" si="19"/>
        <v>US IG Corporates 39447</v>
      </c>
      <c r="S40" s="1">
        <v>39447</v>
      </c>
      <c r="T40" s="4">
        <v>1.8433959081791822</v>
      </c>
      <c r="U40" s="4">
        <v>8.4426057060755344</v>
      </c>
      <c r="V40" s="3">
        <f t="shared" si="20"/>
        <v>110.1228439855406</v>
      </c>
      <c r="W40" s="10">
        <v>8.7447979633590638</v>
      </c>
      <c r="X40" s="11">
        <v>81.84590327429531</v>
      </c>
      <c r="Y40" s="10">
        <v>10.586319218241043</v>
      </c>
      <c r="Z40">
        <f t="shared" si="21"/>
        <v>203</v>
      </c>
    </row>
    <row r="41" spans="1:26" x14ac:dyDescent="0.2">
      <c r="A41" t="str">
        <f t="shared" si="12"/>
        <v>US IG Corporates 39538</v>
      </c>
      <c r="B41" s="1">
        <v>39538</v>
      </c>
      <c r="C41" s="4">
        <f t="shared" si="13"/>
        <v>1.8149449461099176</v>
      </c>
      <c r="D41" s="4">
        <f t="shared" si="14"/>
        <v>11.572124382542961</v>
      </c>
      <c r="E41" s="3">
        <f t="shared" si="11"/>
        <v>165.29427002345625</v>
      </c>
      <c r="F41" s="10">
        <f t="shared" si="15"/>
        <v>15.830670012859931</v>
      </c>
      <c r="G41" s="10">
        <f t="shared" si="16"/>
        <v>77.4187918178107</v>
      </c>
      <c r="H41" s="10">
        <f t="shared" si="17"/>
        <v>20.448097472399436</v>
      </c>
      <c r="I41">
        <v>300</v>
      </c>
      <c r="K41" s="22">
        <v>2457985.4603999997</v>
      </c>
      <c r="L41" s="22">
        <v>502611.26279999805</v>
      </c>
      <c r="M41" s="22">
        <v>389115.56719999993</v>
      </c>
      <c r="N41" s="22">
        <v>1139907.7958999996</v>
      </c>
      <c r="O41" s="22">
        <v>98504.626999999993</v>
      </c>
      <c r="P41" s="10">
        <f t="shared" si="18"/>
        <v>2.1563020002502298</v>
      </c>
      <c r="R41" t="str">
        <f t="shared" si="19"/>
        <v>US IG Corporates 39538</v>
      </c>
      <c r="S41" s="1">
        <v>39538</v>
      </c>
      <c r="T41" s="4">
        <v>1.8030343896331691</v>
      </c>
      <c r="U41" s="4">
        <v>8.2876827981305592</v>
      </c>
      <c r="V41" s="3">
        <f t="shared" si="20"/>
        <v>166.38617750437672</v>
      </c>
      <c r="W41" s="10">
        <v>9.2586023412557648</v>
      </c>
      <c r="X41" s="11">
        <v>90.105247481194993</v>
      </c>
      <c r="Y41" s="10">
        <v>9.6090276986207694</v>
      </c>
      <c r="Z41">
        <f t="shared" si="21"/>
        <v>300</v>
      </c>
    </row>
    <row r="42" spans="1:26" x14ac:dyDescent="0.2">
      <c r="A42" t="str">
        <f t="shared" si="12"/>
        <v>US IG Corporates 39629</v>
      </c>
      <c r="B42" s="1">
        <v>39629</v>
      </c>
      <c r="C42" s="4">
        <f t="shared" si="13"/>
        <v>1.8267240589631657</v>
      </c>
      <c r="D42" s="4">
        <f t="shared" si="14"/>
        <v>11.887183001525635</v>
      </c>
      <c r="E42" s="3">
        <f t="shared" si="11"/>
        <v>149.99528727700684</v>
      </c>
      <c r="F42" s="10">
        <f t="shared" si="15"/>
        <v>15.44586960686744</v>
      </c>
      <c r="G42" s="10">
        <f t="shared" si="16"/>
        <v>75.762616642507069</v>
      </c>
      <c r="H42" s="10">
        <f t="shared" si="17"/>
        <v>20.387191323855941</v>
      </c>
      <c r="I42">
        <v>274</v>
      </c>
      <c r="K42" s="22">
        <v>2531320.8887</v>
      </c>
      <c r="L42" s="22">
        <v>516065.23259999952</v>
      </c>
      <c r="M42" s="22">
        <v>390984.52380000008</v>
      </c>
      <c r="N42" s="22">
        <v>1171680.1749</v>
      </c>
      <c r="O42" s="22">
        <v>98566.681000000011</v>
      </c>
      <c r="P42" s="10">
        <f t="shared" si="18"/>
        <v>2.1604196630842902</v>
      </c>
      <c r="R42" t="str">
        <f t="shared" si="19"/>
        <v>US IG Corporates 39629</v>
      </c>
      <c r="S42" s="1">
        <v>39629</v>
      </c>
      <c r="T42" s="4">
        <v>1.8940394910250253</v>
      </c>
      <c r="U42" s="4">
        <v>8.2149450990510591</v>
      </c>
      <c r="V42" s="3">
        <f t="shared" si="20"/>
        <v>144.6643543064223</v>
      </c>
      <c r="W42" s="10">
        <v>8.7980344093106577</v>
      </c>
      <c r="X42" s="11">
        <v>81.772362557058429</v>
      </c>
      <c r="Y42" s="10">
        <v>8.9978409769984538</v>
      </c>
      <c r="Z42">
        <f t="shared" si="21"/>
        <v>274</v>
      </c>
    </row>
    <row r="43" spans="1:26" x14ac:dyDescent="0.2">
      <c r="A43" t="str">
        <f t="shared" si="12"/>
        <v>US IG Corporates 39721</v>
      </c>
      <c r="B43" s="1">
        <v>39721</v>
      </c>
      <c r="C43" s="4">
        <f t="shared" si="13"/>
        <v>1.7966313609379869</v>
      </c>
      <c r="D43" s="4">
        <f t="shared" si="14"/>
        <v>12.431340933483108</v>
      </c>
      <c r="E43" s="3">
        <f t="shared" si="11"/>
        <v>253.25172981643445</v>
      </c>
      <c r="F43" s="10">
        <f t="shared" si="15"/>
        <v>15.313787012070664</v>
      </c>
      <c r="G43" s="10">
        <f t="shared" si="16"/>
        <v>69.170669071705703</v>
      </c>
      <c r="H43" s="10">
        <f t="shared" si="17"/>
        <v>22.139133851944734</v>
      </c>
      <c r="I43">
        <v>455</v>
      </c>
      <c r="K43" s="22">
        <v>2558260.0971999993</v>
      </c>
      <c r="L43" s="22">
        <v>566376.62719999929</v>
      </c>
      <c r="M43" s="22">
        <v>391766.50249999983</v>
      </c>
      <c r="N43" s="22">
        <v>1205864.2868000001</v>
      </c>
      <c r="O43" s="22">
        <v>97001.948000000019</v>
      </c>
      <c r="P43" s="10">
        <f t="shared" si="18"/>
        <v>2.1215157669100968</v>
      </c>
      <c r="R43" t="str">
        <f t="shared" si="19"/>
        <v>US IG Corporates 39721</v>
      </c>
      <c r="S43" s="1">
        <v>39721</v>
      </c>
      <c r="T43" s="4">
        <v>1.9139558746547252</v>
      </c>
      <c r="U43" s="4">
        <v>8.3940206353074984</v>
      </c>
      <c r="V43" s="3">
        <f t="shared" si="20"/>
        <v>237.7275286359887</v>
      </c>
      <c r="W43" s="10">
        <v>9.5419961355406659</v>
      </c>
      <c r="X43" s="11">
        <v>71.074380165289256</v>
      </c>
      <c r="Y43" s="10">
        <v>9.6486640840232987</v>
      </c>
      <c r="Z43">
        <f t="shared" si="21"/>
        <v>455</v>
      </c>
    </row>
    <row r="44" spans="1:26" x14ac:dyDescent="0.2">
      <c r="A44" t="str">
        <f t="shared" si="12"/>
        <v>US IG Corporates 39813</v>
      </c>
      <c r="B44" s="1">
        <v>39813</v>
      </c>
      <c r="C44" s="4">
        <f t="shared" si="13"/>
        <v>1.8098660685965964</v>
      </c>
      <c r="D44" s="4">
        <f t="shared" si="14"/>
        <v>12.263112279102796</v>
      </c>
      <c r="E44" s="3">
        <f t="shared" si="11"/>
        <v>333.7263516235501</v>
      </c>
      <c r="F44" s="10">
        <f t="shared" si="15"/>
        <v>16.879293679543579</v>
      </c>
      <c r="G44" s="10">
        <f t="shared" si="16"/>
        <v>84.195080291382581</v>
      </c>
      <c r="H44" s="10">
        <f t="shared" si="17"/>
        <v>20.047838449856776</v>
      </c>
      <c r="I44">
        <v>604</v>
      </c>
      <c r="K44" s="22">
        <v>2564838.7095999992</v>
      </c>
      <c r="L44" s="22">
        <v>514194.72099999897</v>
      </c>
      <c r="M44" s="22">
        <v>432926.65819999983</v>
      </c>
      <c r="N44" s="22">
        <v>1177939.1240000003</v>
      </c>
      <c r="O44" s="22">
        <v>96055.478999999963</v>
      </c>
      <c r="P44" s="10">
        <f t="shared" si="18"/>
        <v>2.1773949581455607</v>
      </c>
      <c r="R44" t="str">
        <f t="shared" si="19"/>
        <v>US IG Corporates 39813</v>
      </c>
      <c r="S44" s="1">
        <v>39813</v>
      </c>
      <c r="T44" s="4">
        <v>1.9237242128121608</v>
      </c>
      <c r="U44" s="4">
        <v>7.9962764201628378</v>
      </c>
      <c r="V44" s="3">
        <f t="shared" si="20"/>
        <v>313.97431917595594</v>
      </c>
      <c r="W44" s="10">
        <v>9.2348537966200084</v>
      </c>
      <c r="X44" s="11">
        <v>85.179665844544559</v>
      </c>
      <c r="Y44" s="10">
        <v>8.8638611236252451</v>
      </c>
      <c r="Z44">
        <f t="shared" si="21"/>
        <v>604</v>
      </c>
    </row>
    <row r="45" spans="1:26" x14ac:dyDescent="0.2">
      <c r="A45" t="str">
        <f t="shared" si="12"/>
        <v>US IG Corporates 39903</v>
      </c>
      <c r="B45" s="1">
        <v>39903</v>
      </c>
      <c r="C45" s="4">
        <f t="shared" si="13"/>
        <v>1.5569747704323269</v>
      </c>
      <c r="D45" s="4">
        <f t="shared" si="14"/>
        <v>11.486816489595318</v>
      </c>
      <c r="E45" s="3">
        <f t="shared" si="11"/>
        <v>376.37090280999524</v>
      </c>
      <c r="F45" s="10">
        <f t="shared" si="15"/>
        <v>19.375852600187024</v>
      </c>
      <c r="G45" s="10">
        <f t="shared" si="16"/>
        <v>145.30772692683331</v>
      </c>
      <c r="H45" s="10">
        <f t="shared" si="17"/>
        <v>13.334358062006798</v>
      </c>
      <c r="I45">
        <v>586</v>
      </c>
      <c r="K45" s="22">
        <v>2105693.0051999991</v>
      </c>
      <c r="L45" s="22">
        <v>280780.64499999932</v>
      </c>
      <c r="M45" s="22">
        <v>407995.97290000028</v>
      </c>
      <c r="N45" s="22">
        <v>1090381.8511000003</v>
      </c>
      <c r="O45" s="22">
        <v>94924.633999999991</v>
      </c>
      <c r="P45" s="10">
        <f t="shared" si="18"/>
        <v>1.9311519199221185</v>
      </c>
      <c r="R45" t="str">
        <f t="shared" si="19"/>
        <v>US IG Corporates 39903</v>
      </c>
      <c r="S45" s="1">
        <v>39903</v>
      </c>
      <c r="T45" s="4">
        <v>1.9459459459459461</v>
      </c>
      <c r="U45" s="4">
        <v>7.5821301607614835</v>
      </c>
      <c r="V45" s="3">
        <f t="shared" si="20"/>
        <v>301.13888888888886</v>
      </c>
      <c r="W45" s="10">
        <v>10.497616426488278</v>
      </c>
      <c r="X45" s="11">
        <v>119.07814939132805</v>
      </c>
      <c r="Y45" s="10">
        <v>7.4329588009167189</v>
      </c>
      <c r="Z45">
        <f t="shared" si="21"/>
        <v>586</v>
      </c>
    </row>
    <row r="46" spans="1:26" x14ac:dyDescent="0.2">
      <c r="A46" t="str">
        <f t="shared" si="12"/>
        <v>US IG Corporates 39994</v>
      </c>
      <c r="B46" s="1">
        <v>39994</v>
      </c>
      <c r="C46" s="4">
        <f t="shared" si="13"/>
        <v>1.5395367239155613</v>
      </c>
      <c r="D46" s="4">
        <f t="shared" si="14"/>
        <v>11.320558060785366</v>
      </c>
      <c r="E46" s="3">
        <f t="shared" si="11"/>
        <v>214.99974301240138</v>
      </c>
      <c r="F46" s="10">
        <f t="shared" si="15"/>
        <v>20.306912391828863</v>
      </c>
      <c r="G46" s="10">
        <f t="shared" si="16"/>
        <v>166.94936583561963</v>
      </c>
      <c r="H46" s="10">
        <f t="shared" si="17"/>
        <v>12.16351574034926</v>
      </c>
      <c r="I46">
        <v>331</v>
      </c>
      <c r="K46" s="22">
        <v>2104902.1193000004</v>
      </c>
      <c r="L46" s="22">
        <v>256030.1006000007</v>
      </c>
      <c r="M46" s="22">
        <v>427440.62930000015</v>
      </c>
      <c r="N46" s="22">
        <v>1089588.4871999999</v>
      </c>
      <c r="O46" s="22">
        <v>96248.655000000013</v>
      </c>
      <c r="P46" s="10">
        <f t="shared" si="18"/>
        <v>1.9318321953906936</v>
      </c>
      <c r="R46" t="str">
        <f t="shared" si="19"/>
        <v>US IG Corporates 39994</v>
      </c>
      <c r="S46" s="1">
        <v>39994</v>
      </c>
      <c r="T46" s="4">
        <v>1.9535318027024058</v>
      </c>
      <c r="U46" s="4">
        <v>7.3106461161580079</v>
      </c>
      <c r="V46" s="3">
        <f t="shared" si="20"/>
        <v>169.43670921666759</v>
      </c>
      <c r="W46" s="10">
        <v>12.221041445270989</v>
      </c>
      <c r="X46" s="11">
        <v>139.05622211204758</v>
      </c>
      <c r="Y46" s="10">
        <v>7.3046018991964932</v>
      </c>
      <c r="Z46">
        <f t="shared" si="21"/>
        <v>331</v>
      </c>
    </row>
    <row r="47" spans="1:26" x14ac:dyDescent="0.2">
      <c r="A47" t="str">
        <f t="shared" si="12"/>
        <v>US IG Corporates 40086</v>
      </c>
      <c r="B47" s="1">
        <v>40086</v>
      </c>
      <c r="C47" s="4">
        <f t="shared" si="13"/>
        <v>1.5585238463033348</v>
      </c>
      <c r="D47" s="4">
        <f t="shared" si="14"/>
        <v>10.474846365077067</v>
      </c>
      <c r="E47" s="3">
        <f t="shared" si="11"/>
        <v>150.78370507926257</v>
      </c>
      <c r="F47" s="10">
        <f t="shared" si="15"/>
        <v>22.643449291859035</v>
      </c>
      <c r="G47" s="10">
        <f t="shared" si="16"/>
        <v>207.1226060948776</v>
      </c>
      <c r="H47" s="10">
        <f t="shared" si="17"/>
        <v>10.932389138386299</v>
      </c>
      <c r="I47">
        <v>235</v>
      </c>
      <c r="K47" s="22">
        <v>2082512.3943000003</v>
      </c>
      <c r="L47" s="22">
        <v>227668.35880000168</v>
      </c>
      <c r="M47" s="22">
        <v>471552.63800000004</v>
      </c>
      <c r="N47" s="22">
        <v>1033644.5990999998</v>
      </c>
      <c r="O47" s="22">
        <v>98678.736000000019</v>
      </c>
      <c r="P47" s="10">
        <f t="shared" si="18"/>
        <v>2.0147276889109231</v>
      </c>
      <c r="R47" t="str">
        <f t="shared" si="19"/>
        <v>US IG Corporates 40086</v>
      </c>
      <c r="S47" s="1">
        <v>40086</v>
      </c>
      <c r="T47" s="4">
        <v>1.9080139477302689</v>
      </c>
      <c r="U47" s="4">
        <v>6.9751366831554282</v>
      </c>
      <c r="V47" s="3">
        <f t="shared" si="20"/>
        <v>123.16471809839273</v>
      </c>
      <c r="W47" s="10">
        <v>12.958013157360746</v>
      </c>
      <c r="X47" s="11">
        <v>195.1279426816786</v>
      </c>
      <c r="Y47" s="10">
        <v>6.3982076040840603</v>
      </c>
      <c r="Z47">
        <f t="shared" si="21"/>
        <v>235</v>
      </c>
    </row>
    <row r="48" spans="1:26" x14ac:dyDescent="0.2">
      <c r="A48" t="str">
        <f t="shared" si="12"/>
        <v>US IG Corporates 40178</v>
      </c>
      <c r="B48" s="1">
        <v>40178</v>
      </c>
      <c r="C48" s="4">
        <f t="shared" si="13"/>
        <v>1.5208047336319486</v>
      </c>
      <c r="D48" s="4">
        <f t="shared" si="14"/>
        <v>10.354799339529897</v>
      </c>
      <c r="E48" s="3">
        <f t="shared" si="11"/>
        <v>124.9338562658512</v>
      </c>
      <c r="F48" s="10">
        <f t="shared" si="15"/>
        <v>23.10815245080536</v>
      </c>
      <c r="G48" s="10">
        <f t="shared" si="16"/>
        <v>221.29276636584282</v>
      </c>
      <c r="H48" s="10">
        <f t="shared" si="17"/>
        <v>10.442344243915681</v>
      </c>
      <c r="I48">
        <v>190</v>
      </c>
      <c r="K48" s="22">
        <v>2101276.8625000012</v>
      </c>
      <c r="L48" s="22">
        <v>219422.56350000086</v>
      </c>
      <c r="M48" s="22">
        <v>485566.26079999999</v>
      </c>
      <c r="N48" s="22">
        <v>1062405.0319999997</v>
      </c>
      <c r="O48" s="22">
        <v>102600.25299999994</v>
      </c>
      <c r="P48" s="10">
        <f t="shared" si="18"/>
        <v>1.9778491245888619</v>
      </c>
      <c r="R48" t="str">
        <f t="shared" si="19"/>
        <v>US IG Corporates 40178</v>
      </c>
      <c r="S48" s="1">
        <v>40178</v>
      </c>
      <c r="T48" s="4">
        <v>1.780121498481269</v>
      </c>
      <c r="U48" s="4">
        <v>7.3440366972477067</v>
      </c>
      <c r="V48" s="3">
        <f t="shared" si="20"/>
        <v>106.73428761020001</v>
      </c>
      <c r="W48" s="10">
        <v>15.023545206775026</v>
      </c>
      <c r="X48" s="11">
        <v>202.20050000000001</v>
      </c>
      <c r="Y48" s="10">
        <v>6.2356098956313462</v>
      </c>
      <c r="Z48">
        <f t="shared" si="21"/>
        <v>190</v>
      </c>
    </row>
    <row r="49" spans="1:26" x14ac:dyDescent="0.2">
      <c r="A49" t="str">
        <f t="shared" si="12"/>
        <v>US IG Corporates 40268</v>
      </c>
      <c r="B49" s="1">
        <v>40268</v>
      </c>
      <c r="C49" s="4">
        <f t="shared" si="13"/>
        <v>1.5128316126796004</v>
      </c>
      <c r="D49" s="4">
        <f t="shared" si="14"/>
        <v>10.636547512633443</v>
      </c>
      <c r="E49" s="3">
        <f t="shared" si="11"/>
        <v>106.42294796763866</v>
      </c>
      <c r="F49" s="10">
        <f t="shared" si="15"/>
        <v>21.92466524923989</v>
      </c>
      <c r="G49" s="10">
        <f t="shared" si="16"/>
        <v>180.61886940999943</v>
      </c>
      <c r="H49" s="10">
        <f t="shared" si="17"/>
        <v>12.138634972557355</v>
      </c>
      <c r="I49">
        <v>161</v>
      </c>
      <c r="K49" s="22">
        <v>2156984.7960000006</v>
      </c>
      <c r="L49" s="22">
        <v>261828.51080000098</v>
      </c>
      <c r="M49" s="22">
        <v>472911.696</v>
      </c>
      <c r="N49" s="22">
        <v>1113192.6950000001</v>
      </c>
      <c r="O49" s="22">
        <v>104657.33300000001</v>
      </c>
      <c r="P49" s="10">
        <f t="shared" si="18"/>
        <v>1.9376562617490052</v>
      </c>
      <c r="R49" t="str">
        <f t="shared" si="19"/>
        <v>US IG Corporates 40268</v>
      </c>
      <c r="S49" s="1">
        <v>40268</v>
      </c>
      <c r="T49" s="4">
        <v>1.6660336215437213</v>
      </c>
      <c r="U49" s="4">
        <v>7.6745929127090484</v>
      </c>
      <c r="V49" s="3">
        <f t="shared" si="20"/>
        <v>96.636705236968666</v>
      </c>
      <c r="W49" s="10">
        <v>15.376890359168243</v>
      </c>
      <c r="X49" s="11">
        <v>182.66941678520627</v>
      </c>
      <c r="Y49" s="10">
        <v>7.3331423660842168</v>
      </c>
      <c r="Z49">
        <f t="shared" si="21"/>
        <v>161</v>
      </c>
    </row>
    <row r="50" spans="1:26" x14ac:dyDescent="0.2">
      <c r="A50" t="str">
        <f t="shared" si="12"/>
        <v>US IG Corporates 40359</v>
      </c>
      <c r="B50" s="1">
        <v>40359</v>
      </c>
      <c r="C50" s="4">
        <f t="shared" si="13"/>
        <v>1.7167246419763407</v>
      </c>
      <c r="D50" s="4">
        <f t="shared" si="14"/>
        <v>11.32930253704335</v>
      </c>
      <c r="E50" s="3">
        <f t="shared" si="11"/>
        <v>121.74346129230921</v>
      </c>
      <c r="F50" s="10">
        <f t="shared" si="15"/>
        <v>20.75228481740746</v>
      </c>
      <c r="G50" s="10">
        <f t="shared" si="16"/>
        <v>137.87849052661716</v>
      </c>
      <c r="H50" s="10">
        <f t="shared" si="17"/>
        <v>15.051140129359972</v>
      </c>
      <c r="I50">
        <v>209</v>
      </c>
      <c r="K50" s="22">
        <v>2646397.6859999993</v>
      </c>
      <c r="L50" s="22">
        <v>398313.02409999957</v>
      </c>
      <c r="M50" s="22">
        <v>549187.98520000023</v>
      </c>
      <c r="N50" s="22">
        <v>1221634.2968000001</v>
      </c>
      <c r="O50" s="22">
        <v>107829.61199999999</v>
      </c>
      <c r="P50" s="10">
        <f t="shared" si="18"/>
        <v>2.1662765141189011</v>
      </c>
      <c r="R50" t="str">
        <f t="shared" si="19"/>
        <v>US IG Corporates 40359</v>
      </c>
      <c r="S50" s="1">
        <v>40359</v>
      </c>
      <c r="T50" s="4">
        <v>1.6559756920999325</v>
      </c>
      <c r="U50" s="4">
        <v>7.9583228039173139</v>
      </c>
      <c r="V50" s="3">
        <f t="shared" si="20"/>
        <v>126.20958205912335</v>
      </c>
      <c r="W50" s="10">
        <v>16.076755837319165</v>
      </c>
      <c r="X50" s="11">
        <v>171.58915551780279</v>
      </c>
      <c r="Y50" s="10">
        <v>6.8316178813407209</v>
      </c>
      <c r="Z50">
        <f t="shared" si="21"/>
        <v>209</v>
      </c>
    </row>
    <row r="51" spans="1:26" x14ac:dyDescent="0.2">
      <c r="A51" t="str">
        <f t="shared" si="12"/>
        <v>US IG Corporates 40451</v>
      </c>
      <c r="B51" s="1">
        <v>40451</v>
      </c>
      <c r="C51" s="4">
        <f t="shared" si="13"/>
        <v>1.6302380927950844</v>
      </c>
      <c r="D51" s="4">
        <f t="shared" si="14"/>
        <v>11.68030672493755</v>
      </c>
      <c r="E51" s="3">
        <f t="shared" si="11"/>
        <v>112.8669491979097</v>
      </c>
      <c r="F51" s="10">
        <f t="shared" si="15"/>
        <v>22.58191542420299</v>
      </c>
      <c r="G51" s="10">
        <f t="shared" si="16"/>
        <v>154.706100337408</v>
      </c>
      <c r="H51" s="10">
        <f t="shared" si="17"/>
        <v>14.596654802204121</v>
      </c>
      <c r="I51">
        <v>184</v>
      </c>
      <c r="K51" s="22">
        <v>2645781.7146000001</v>
      </c>
      <c r="L51" s="22">
        <v>386195.62369999941</v>
      </c>
      <c r="M51" s="22">
        <v>597468.18909999973</v>
      </c>
      <c r="N51" s="22">
        <v>1256450.5359999994</v>
      </c>
      <c r="O51" s="22">
        <v>107569.99500000007</v>
      </c>
      <c r="P51" s="10">
        <f t="shared" si="18"/>
        <v>2.1057587535622662</v>
      </c>
      <c r="R51" t="str">
        <f t="shared" si="19"/>
        <v>US IG Corporates 40451</v>
      </c>
      <c r="S51" s="1">
        <v>40451</v>
      </c>
      <c r="T51" s="4">
        <v>1.644256296141362</v>
      </c>
      <c r="U51" s="4">
        <v>8.3802816901408459</v>
      </c>
      <c r="V51" s="3">
        <f t="shared" si="20"/>
        <v>111.90469541263106</v>
      </c>
      <c r="W51" s="10">
        <v>16.524048391856006</v>
      </c>
      <c r="X51" s="11">
        <v>202.13059914601968</v>
      </c>
      <c r="Y51" s="10">
        <v>6.5653311095106259</v>
      </c>
      <c r="Z51">
        <f t="shared" si="21"/>
        <v>184</v>
      </c>
    </row>
    <row r="52" spans="1:26" x14ac:dyDescent="0.2">
      <c r="A52" t="str">
        <f t="shared" si="12"/>
        <v>US IG Corporates 40543</v>
      </c>
      <c r="B52" s="1">
        <v>40543</v>
      </c>
      <c r="C52" s="4">
        <f t="shared" si="13"/>
        <v>1.3717523539556091</v>
      </c>
      <c r="D52" s="4">
        <f t="shared" si="14"/>
        <v>12.126073035186343</v>
      </c>
      <c r="E52" s="3">
        <f t="shared" si="11"/>
        <v>121.01309651215067</v>
      </c>
      <c r="F52" s="10">
        <f t="shared" si="15"/>
        <v>23.712971657098272</v>
      </c>
      <c r="G52" s="10">
        <f t="shared" si="16"/>
        <v>204.34715708461226</v>
      </c>
      <c r="H52" s="10">
        <f t="shared" si="17"/>
        <v>11.604258163121715</v>
      </c>
      <c r="I52">
        <v>166</v>
      </c>
      <c r="K52" s="22">
        <v>2257507.3160000001</v>
      </c>
      <c r="L52" s="22">
        <v>261966.97699999996</v>
      </c>
      <c r="M52" s="22">
        <v>535322.06999999995</v>
      </c>
      <c r="N52" s="22">
        <v>1255463.6709999999</v>
      </c>
      <c r="O52" s="22">
        <v>103534.23299999999</v>
      </c>
      <c r="P52" s="10">
        <f t="shared" si="18"/>
        <v>1.7981462691006058</v>
      </c>
      <c r="R52" t="str">
        <f t="shared" si="19"/>
        <v>US IG Corporates 40543</v>
      </c>
      <c r="S52" s="1">
        <v>40543</v>
      </c>
      <c r="T52" s="4">
        <v>1.6398040125538322</v>
      </c>
      <c r="U52" s="4">
        <v>8.5809723858804254</v>
      </c>
      <c r="V52" s="3">
        <f t="shared" si="20"/>
        <v>101.23160983212344</v>
      </c>
      <c r="W52" s="10">
        <v>15.961951707591979</v>
      </c>
      <c r="X52" s="11">
        <v>233.95293731973334</v>
      </c>
      <c r="Y52" s="10">
        <v>5.6679638008935642</v>
      </c>
      <c r="Z52">
        <f t="shared" si="21"/>
        <v>166</v>
      </c>
    </row>
    <row r="53" spans="1:26" x14ac:dyDescent="0.2">
      <c r="A53" t="str">
        <f t="shared" si="12"/>
        <v>US IG Corporates 40633</v>
      </c>
      <c r="B53" s="1">
        <v>40633</v>
      </c>
      <c r="C53" s="4">
        <f t="shared" si="13"/>
        <v>1.3979243148022105</v>
      </c>
      <c r="D53" s="4">
        <f t="shared" si="14"/>
        <v>12.134791800830103</v>
      </c>
      <c r="E53" s="3">
        <f t="shared" si="11"/>
        <v>107.30194647284836</v>
      </c>
      <c r="F53" s="10">
        <f t="shared" si="15"/>
        <v>23.920284987675647</v>
      </c>
      <c r="G53" s="10">
        <f t="shared" si="16"/>
        <v>185.65870069804157</v>
      </c>
      <c r="H53" s="10">
        <f t="shared" si="17"/>
        <v>12.884009689683221</v>
      </c>
      <c r="I53">
        <v>150</v>
      </c>
      <c r="K53" s="22">
        <v>2343765.689199999</v>
      </c>
      <c r="L53" s="22">
        <v>301970.99849999859</v>
      </c>
      <c r="M53" s="22">
        <v>560635.43229999999</v>
      </c>
      <c r="N53" s="22">
        <v>1275555.6492000001</v>
      </c>
      <c r="O53" s="22">
        <v>105115.57759999998</v>
      </c>
      <c r="P53" s="10">
        <f t="shared" si="18"/>
        <v>1.8374468339895293</v>
      </c>
      <c r="R53" t="str">
        <f t="shared" si="19"/>
        <v>US IG Corporates 40633</v>
      </c>
      <c r="S53" s="1">
        <v>40633</v>
      </c>
      <c r="T53" s="4">
        <v>1.5962742229905342</v>
      </c>
      <c r="U53" s="4">
        <v>8.8509018219550146</v>
      </c>
      <c r="V53" s="3">
        <f t="shared" si="20"/>
        <v>93.968816785741893</v>
      </c>
      <c r="W53" s="10">
        <v>16.058644179305386</v>
      </c>
      <c r="X53" s="11">
        <v>207.88934018277666</v>
      </c>
      <c r="Y53" s="10">
        <v>6.5917022101589771</v>
      </c>
      <c r="Z53">
        <f t="shared" si="21"/>
        <v>150</v>
      </c>
    </row>
    <row r="54" spans="1:26" x14ac:dyDescent="0.2">
      <c r="A54" t="str">
        <f t="shared" si="12"/>
        <v>US IG Corporates 40724</v>
      </c>
      <c r="B54" s="1">
        <v>40724</v>
      </c>
      <c r="C54" s="4">
        <f t="shared" si="13"/>
        <v>1.361488073068283</v>
      </c>
      <c r="D54" s="4">
        <f t="shared" si="14"/>
        <v>12.574731215523705</v>
      </c>
      <c r="E54" s="3">
        <f t="shared" si="11"/>
        <v>120.45643531081808</v>
      </c>
      <c r="F54" s="10">
        <f t="shared" si="15"/>
        <v>23.531862615717536</v>
      </c>
      <c r="G54" s="10">
        <f t="shared" si="16"/>
        <v>195.00648679644851</v>
      </c>
      <c r="H54" s="10">
        <f t="shared" si="17"/>
        <v>12.067220430610877</v>
      </c>
      <c r="I54">
        <v>164</v>
      </c>
      <c r="K54" s="22">
        <v>2435171.6659999997</v>
      </c>
      <c r="L54" s="22">
        <v>293857.53279999923</v>
      </c>
      <c r="M54" s="22">
        <v>573041.25089999987</v>
      </c>
      <c r="N54" s="22">
        <v>1367717.0236999998</v>
      </c>
      <c r="O54" s="22">
        <v>108767.09810000005</v>
      </c>
      <c r="P54" s="10">
        <f t="shared" si="18"/>
        <v>1.7804645433251107</v>
      </c>
      <c r="R54" t="str">
        <f t="shared" si="19"/>
        <v>US IG Corporates 40724</v>
      </c>
      <c r="S54" s="1">
        <v>40724</v>
      </c>
      <c r="T54" s="4">
        <v>1.6050435244445675</v>
      </c>
      <c r="U54" s="4">
        <v>9.0129255242759214</v>
      </c>
      <c r="V54" s="3">
        <f t="shared" si="20"/>
        <v>102.17791449409631</v>
      </c>
      <c r="W54" s="10">
        <v>14.74755537816803</v>
      </c>
      <c r="X54" s="11">
        <v>194.51162790697674</v>
      </c>
      <c r="Y54" s="10">
        <v>7.0926621997058348</v>
      </c>
      <c r="Z54">
        <f t="shared" si="21"/>
        <v>164</v>
      </c>
    </row>
    <row r="55" spans="1:26" x14ac:dyDescent="0.2">
      <c r="A55" t="str">
        <f t="shared" si="12"/>
        <v>US IG Corporates 40816</v>
      </c>
      <c r="B55" s="1">
        <v>40816</v>
      </c>
      <c r="C55" s="4">
        <f t="shared" si="13"/>
        <v>1.3369596842417826</v>
      </c>
      <c r="D55" s="4">
        <f t="shared" si="14"/>
        <v>12.718585780492381</v>
      </c>
      <c r="E55" s="3">
        <f t="shared" si="11"/>
        <v>192.22718757278759</v>
      </c>
      <c r="F55" s="10">
        <f t="shared" si="15"/>
        <v>23.858853350486768</v>
      </c>
      <c r="G55" s="10">
        <f t="shared" si="16"/>
        <v>183.45602525831225</v>
      </c>
      <c r="H55" s="10">
        <f t="shared" si="17"/>
        <v>13.005216545432456</v>
      </c>
      <c r="I55">
        <v>257</v>
      </c>
      <c r="K55" s="22">
        <v>2478195.7460999992</v>
      </c>
      <c r="L55" s="22">
        <v>322294.72320000036</v>
      </c>
      <c r="M55" s="22">
        <v>591269.08880000026</v>
      </c>
      <c r="N55" s="22">
        <v>1411356.4376999999</v>
      </c>
      <c r="O55" s="22">
        <v>110968.03230000005</v>
      </c>
      <c r="P55" s="10">
        <f t="shared" si="18"/>
        <v>1.755896441113459</v>
      </c>
      <c r="R55" t="str">
        <f t="shared" si="19"/>
        <v>US IG Corporates 40816</v>
      </c>
      <c r="S55" s="1">
        <v>40816</v>
      </c>
      <c r="T55" s="4">
        <v>1.6183312411848227</v>
      </c>
      <c r="U55" s="4">
        <v>9.392001133355695</v>
      </c>
      <c r="V55" s="3">
        <f t="shared" si="20"/>
        <v>158.80556060441839</v>
      </c>
      <c r="W55" s="10">
        <v>15.10965097015135</v>
      </c>
      <c r="X55" s="11">
        <v>148.32458619297537</v>
      </c>
      <c r="Y55" s="10">
        <v>7.7449085773747584</v>
      </c>
      <c r="Z55">
        <f t="shared" si="21"/>
        <v>257</v>
      </c>
    </row>
    <row r="56" spans="1:26" x14ac:dyDescent="0.2">
      <c r="A56" t="str">
        <f t="shared" si="12"/>
        <v>US IG Corporates 40908</v>
      </c>
      <c r="B56" s="1">
        <v>40908</v>
      </c>
      <c r="C56" s="4">
        <f t="shared" si="13"/>
        <v>1.3188483600586429</v>
      </c>
      <c r="D56" s="4">
        <f t="shared" si="14"/>
        <v>12.469848700082474</v>
      </c>
      <c r="E56" s="3">
        <f t="shared" si="11"/>
        <v>194.86698227275534</v>
      </c>
      <c r="F56" s="10">
        <f t="shared" si="15"/>
        <v>24.780653092105918</v>
      </c>
      <c r="G56" s="10">
        <f t="shared" si="16"/>
        <v>200.00322182596517</v>
      </c>
      <c r="H56" s="10">
        <f t="shared" si="17"/>
        <v>12.390126951889334</v>
      </c>
      <c r="I56">
        <v>257</v>
      </c>
      <c r="K56" s="22">
        <v>2528280.3405999998</v>
      </c>
      <c r="L56" s="22">
        <v>313257.14390000002</v>
      </c>
      <c r="M56" s="22">
        <v>626524.38039999991</v>
      </c>
      <c r="N56" s="22">
        <v>1441982.2762000007</v>
      </c>
      <c r="O56" s="22">
        <v>115637.51179999991</v>
      </c>
      <c r="P56" s="10">
        <f t="shared" si="18"/>
        <v>1.7533366271759441</v>
      </c>
      <c r="R56" t="str">
        <f t="shared" si="19"/>
        <v>US IG Corporates 40908</v>
      </c>
      <c r="S56" s="1">
        <v>40908</v>
      </c>
      <c r="T56" s="4">
        <v>1.6198301835113667</v>
      </c>
      <c r="U56" s="4">
        <v>9.1601123595505616</v>
      </c>
      <c r="V56" s="3">
        <f t="shared" si="20"/>
        <v>158.65860669597566</v>
      </c>
      <c r="W56" s="10">
        <v>17.879169510598331</v>
      </c>
      <c r="X56" s="11">
        <v>172.21800227876949</v>
      </c>
      <c r="Y56" s="10">
        <v>7.7812800670220312</v>
      </c>
      <c r="Z56">
        <f t="shared" si="21"/>
        <v>257</v>
      </c>
    </row>
    <row r="57" spans="1:26" x14ac:dyDescent="0.2">
      <c r="A57" t="str">
        <f t="shared" si="12"/>
        <v>US IG Corporates 40999</v>
      </c>
      <c r="B57" s="1">
        <v>40999</v>
      </c>
      <c r="C57" s="4">
        <f>(K57-M57)/N57</f>
        <v>1.3642675787467902</v>
      </c>
      <c r="D57" s="4">
        <f>N57/O57</f>
        <v>12.470433219483789</v>
      </c>
      <c r="E57" s="3">
        <f>I57/C57</f>
        <v>140.73485509079555</v>
      </c>
      <c r="F57" s="10">
        <f>M57/K57*100</f>
        <v>23.720272994467535</v>
      </c>
      <c r="G57" s="10">
        <f>M57/L57*100</f>
        <v>177.31811354160968</v>
      </c>
      <c r="H57" s="10">
        <f>L57/K57*100</f>
        <v>13.377241907607655</v>
      </c>
      <c r="I57">
        <v>192</v>
      </c>
      <c r="K57" s="22">
        <v>2612701.1233999999</v>
      </c>
      <c r="L57" s="22">
        <v>349507.34960000077</v>
      </c>
      <c r="M57" s="22">
        <v>619739.83900000004</v>
      </c>
      <c r="N57" s="22">
        <v>1460828.7372999985</v>
      </c>
      <c r="O57" s="22">
        <v>117143.38319999994</v>
      </c>
      <c r="P57" s="10">
        <f t="shared" si="18"/>
        <v>1.7885061107361353</v>
      </c>
      <c r="R57" t="str">
        <f t="shared" si="19"/>
        <v>US IG Corporates 40999</v>
      </c>
      <c r="S57" s="1">
        <v>40999</v>
      </c>
      <c r="T57" s="4">
        <v>1.7095588235294117</v>
      </c>
      <c r="U57" s="4">
        <v>8.9927972738068611</v>
      </c>
      <c r="V57" s="3">
        <f t="shared" si="20"/>
        <v>112.30967741935484</v>
      </c>
      <c r="W57" s="69"/>
      <c r="X57" s="70"/>
      <c r="Y57" s="69"/>
      <c r="Z57">
        <f t="shared" si="21"/>
        <v>192</v>
      </c>
    </row>
    <row r="58" spans="1:26" x14ac:dyDescent="0.2">
      <c r="A58" t="str">
        <f t="shared" si="12"/>
        <v>US IG Corporates 41090</v>
      </c>
      <c r="B58" s="1">
        <v>41090</v>
      </c>
      <c r="C58" s="4">
        <f>(K58-M58)/N58</f>
        <v>1.500232606952103</v>
      </c>
      <c r="D58" s="4">
        <f>N58/O58</f>
        <v>12.183100320752398</v>
      </c>
      <c r="E58" s="3">
        <f>I58/C58</f>
        <v>143.31110989301686</v>
      </c>
      <c r="F58" s="10">
        <f>M58/K58*100</f>
        <v>21.708870501677556</v>
      </c>
      <c r="G58" s="10">
        <f>M58/L58*100</f>
        <v>153.09508133980617</v>
      </c>
      <c r="H58" s="10">
        <f>L58/K58*100</f>
        <v>14.179992140631265</v>
      </c>
      <c r="I58">
        <v>215</v>
      </c>
      <c r="K58" s="22">
        <v>2817967.5646999995</v>
      </c>
      <c r="L58" s="22">
        <v>399587.57919999817</v>
      </c>
      <c r="M58" s="22">
        <v>611748.92939999956</v>
      </c>
      <c r="N58" s="22">
        <v>1470584.3781000001</v>
      </c>
      <c r="O58" s="22">
        <v>120706.90869999997</v>
      </c>
      <c r="P58" s="10">
        <f t="shared" si="18"/>
        <v>1.9162229700418978</v>
      </c>
      <c r="R58" t="str">
        <f t="shared" si="19"/>
        <v>US IG Corporates 41090</v>
      </c>
      <c r="S58" s="1">
        <v>41090</v>
      </c>
      <c r="T58" s="4">
        <v>1.7781520692974013</v>
      </c>
      <c r="U58" s="4">
        <v>8.9902925692097302</v>
      </c>
      <c r="V58" s="3">
        <f t="shared" si="20"/>
        <v>120.91204330175914</v>
      </c>
      <c r="W58" s="69"/>
      <c r="X58" s="70"/>
      <c r="Y58" s="69"/>
      <c r="Z58">
        <f t="shared" si="21"/>
        <v>215</v>
      </c>
    </row>
    <row r="59" spans="1:26" x14ac:dyDescent="0.2">
      <c r="R59" s="3"/>
    </row>
    <row r="60" spans="1:26" x14ac:dyDescent="0.2">
      <c r="R60" s="3"/>
    </row>
    <row r="61" spans="1:26" x14ac:dyDescent="0.2">
      <c r="B61" s="2" t="s">
        <v>0</v>
      </c>
      <c r="C61" s="2" t="s">
        <v>12</v>
      </c>
      <c r="D61" s="2" t="s">
        <v>18</v>
      </c>
      <c r="E61" s="2" t="s">
        <v>16</v>
      </c>
      <c r="F61" s="2" t="s">
        <v>21</v>
      </c>
      <c r="G61" s="2" t="s">
        <v>22</v>
      </c>
      <c r="H61" s="2" t="s">
        <v>23</v>
      </c>
      <c r="I61" s="2" t="s">
        <v>14</v>
      </c>
      <c r="K61" s="2" t="s">
        <v>2</v>
      </c>
      <c r="L61" s="2" t="s">
        <v>30</v>
      </c>
      <c r="M61" s="2" t="s">
        <v>31</v>
      </c>
      <c r="N61" s="2" t="s">
        <v>32</v>
      </c>
      <c r="O61" s="2" t="s">
        <v>33</v>
      </c>
      <c r="P61" s="2" t="s">
        <v>57</v>
      </c>
      <c r="R61" s="3"/>
    </row>
    <row r="62" spans="1:26" x14ac:dyDescent="0.2">
      <c r="A62" t="str">
        <f>"US HY Corporates"&amp;" "&amp;B62</f>
        <v>US HY Corporates 38807</v>
      </c>
      <c r="B62" s="1">
        <v>38807</v>
      </c>
      <c r="C62" s="4">
        <v>2.813159375857559</v>
      </c>
      <c r="D62" s="4">
        <v>3.8944682870243641</v>
      </c>
      <c r="E62" s="3">
        <f t="shared" ref="E62:E87" si="22">I62/C62</f>
        <v>111.26280390871405</v>
      </c>
      <c r="F62" s="10">
        <v>15.446396319285682</v>
      </c>
      <c r="G62" s="11">
        <v>167.85742295625988</v>
      </c>
      <c r="H62" s="10">
        <v>9.2020930902237712</v>
      </c>
      <c r="I62">
        <v>313</v>
      </c>
      <c r="K62" s="3">
        <v>576994.88967132568</v>
      </c>
      <c r="L62" s="3">
        <v>53095.606873389333</v>
      </c>
      <c r="M62" s="3">
        <v>89124.917400658131</v>
      </c>
      <c r="N62" s="3">
        <v>131620.921438694</v>
      </c>
      <c r="O62" s="3">
        <v>36131.562520980835</v>
      </c>
      <c r="P62" s="10">
        <f>K62/N62</f>
        <v>4.3837627283294518</v>
      </c>
      <c r="T62" s="3"/>
    </row>
    <row r="63" spans="1:26" x14ac:dyDescent="0.2">
      <c r="A63" t="str">
        <f t="shared" ref="A63:A87" si="23">"US HY Corporates"&amp;" "&amp;B63</f>
        <v>US HY Corporates 38898</v>
      </c>
      <c r="B63" s="1">
        <v>38898</v>
      </c>
      <c r="C63" s="4">
        <v>2.9041979176125707</v>
      </c>
      <c r="D63" s="4">
        <v>3.7752163623754944</v>
      </c>
      <c r="E63" s="3">
        <f t="shared" si="22"/>
        <v>115.35026520347849</v>
      </c>
      <c r="F63" s="10">
        <v>14.540263741805266</v>
      </c>
      <c r="G63" s="11">
        <v>149.03139135301211</v>
      </c>
      <c r="H63" s="10">
        <v>9.7565107658181915</v>
      </c>
      <c r="I63">
        <v>335</v>
      </c>
      <c r="K63" s="3">
        <v>597451.69003677368</v>
      </c>
      <c r="L63" s="3">
        <v>58290.43845900055</v>
      </c>
      <c r="M63" s="3">
        <v>86871.051461219788</v>
      </c>
      <c r="N63" s="3">
        <v>134258.57465851307</v>
      </c>
      <c r="O63" s="3">
        <v>38061.756852865219</v>
      </c>
      <c r="P63" s="10">
        <f t="shared" ref="P63:P87" si="24">K63/N63</f>
        <v>4.4500076926661345</v>
      </c>
      <c r="T63" s="3"/>
    </row>
    <row r="64" spans="1:26" x14ac:dyDescent="0.2">
      <c r="A64" t="str">
        <f t="shared" si="23"/>
        <v>US HY Corporates 38990</v>
      </c>
      <c r="B64" s="1">
        <v>38990</v>
      </c>
      <c r="C64" s="4">
        <v>2.9304856471630361</v>
      </c>
      <c r="D64" s="4">
        <v>3.8346595418706202</v>
      </c>
      <c r="E64" s="3">
        <f t="shared" si="22"/>
        <v>117.38668651492007</v>
      </c>
      <c r="F64" s="10">
        <v>14.264442569580273</v>
      </c>
      <c r="G64" s="11">
        <v>146.75168948048179</v>
      </c>
      <c r="H64" s="10">
        <v>9.7201215332362292</v>
      </c>
      <c r="I64">
        <v>344</v>
      </c>
      <c r="K64" s="3">
        <v>632703.64435958862</v>
      </c>
      <c r="L64" s="3">
        <v>61499.563176966738</v>
      </c>
      <c r="M64" s="3">
        <v>90251.64798531495</v>
      </c>
      <c r="N64" s="3">
        <v>140476.33310723305</v>
      </c>
      <c r="O64" s="3">
        <v>39301.762005567551</v>
      </c>
      <c r="P64" s="10">
        <f t="shared" si="24"/>
        <v>4.503987471516731</v>
      </c>
      <c r="T64" s="3"/>
    </row>
    <row r="65" spans="1:16" x14ac:dyDescent="0.2">
      <c r="A65" t="str">
        <f t="shared" si="23"/>
        <v>US HY Corporates 39082</v>
      </c>
      <c r="B65" s="1">
        <v>39082</v>
      </c>
      <c r="C65" s="4">
        <v>2.9253537458742582</v>
      </c>
      <c r="D65" s="4">
        <v>3.8518708776457142</v>
      </c>
      <c r="E65" s="3">
        <f t="shared" si="22"/>
        <v>98.791471085364662</v>
      </c>
      <c r="F65" s="10">
        <v>15.255297326976633</v>
      </c>
      <c r="G65" s="11">
        <v>175.29999488542219</v>
      </c>
      <c r="H65" s="10">
        <v>8.7023946218296508</v>
      </c>
      <c r="I65">
        <v>289</v>
      </c>
      <c r="K65" s="3">
        <v>685950.54069232941</v>
      </c>
      <c r="L65" s="3">
        <v>59694.122961620684</v>
      </c>
      <c r="M65" s="3">
        <v>104643.79449861869</v>
      </c>
      <c r="N65" s="3">
        <v>155864.54470729828</v>
      </c>
      <c r="O65" s="3">
        <v>43217.278850078583</v>
      </c>
      <c r="P65" s="10">
        <f t="shared" si="24"/>
        <v>4.4009402008679537</v>
      </c>
    </row>
    <row r="66" spans="1:16" x14ac:dyDescent="0.2">
      <c r="A66" t="str">
        <f t="shared" si="23"/>
        <v>US HY Corporates 39172</v>
      </c>
      <c r="B66" s="1">
        <v>39172</v>
      </c>
      <c r="C66" s="4">
        <v>3.1031459899575582</v>
      </c>
      <c r="D66" s="4">
        <v>3.8365244110851182</v>
      </c>
      <c r="E66" s="3">
        <f t="shared" si="22"/>
        <v>91.842279068506841</v>
      </c>
      <c r="F66" s="10">
        <v>13.308034856797013</v>
      </c>
      <c r="G66" s="11">
        <v>164.53155486951502</v>
      </c>
      <c r="H66" s="10">
        <v>8.0884392464115553</v>
      </c>
      <c r="I66">
        <v>285</v>
      </c>
      <c r="K66" s="3">
        <v>769086.83998298645</v>
      </c>
      <c r="L66" s="3">
        <v>62207.12180417031</v>
      </c>
      <c r="M66" s="3">
        <v>102350.34474397451</v>
      </c>
      <c r="N66" s="3">
        <v>159542.4941368103</v>
      </c>
      <c r="O66" s="3">
        <v>45538.499299764633</v>
      </c>
      <c r="P66" s="10">
        <f t="shared" si="24"/>
        <v>4.8205767632257386</v>
      </c>
    </row>
    <row r="67" spans="1:16" x14ac:dyDescent="0.2">
      <c r="A67" t="str">
        <f t="shared" si="23"/>
        <v>US HY Corporates 39263</v>
      </c>
      <c r="B67" s="1">
        <v>39263</v>
      </c>
      <c r="C67" s="4">
        <v>3.0412772626257092</v>
      </c>
      <c r="D67" s="4">
        <v>3.8811489002357797</v>
      </c>
      <c r="E67" s="3">
        <f t="shared" si="22"/>
        <v>97.985147116353176</v>
      </c>
      <c r="F67" s="10">
        <v>13.512406692506051</v>
      </c>
      <c r="G67" s="11">
        <v>157.40628092428389</v>
      </c>
      <c r="H67" s="10">
        <v>8.5844139211991415</v>
      </c>
      <c r="I67">
        <v>298</v>
      </c>
      <c r="K67" s="3">
        <v>782471.66885948181</v>
      </c>
      <c r="L67" s="3">
        <v>67170.606871012598</v>
      </c>
      <c r="M67" s="3">
        <v>105730.75414993241</v>
      </c>
      <c r="N67" s="3">
        <v>164108.09275579453</v>
      </c>
      <c r="O67" s="3">
        <v>45290.139939069748</v>
      </c>
      <c r="P67" s="10">
        <f t="shared" si="24"/>
        <v>4.7680260962136698</v>
      </c>
    </row>
    <row r="68" spans="1:16" x14ac:dyDescent="0.2">
      <c r="A68" t="str">
        <f t="shared" si="23"/>
        <v>US HY Corporates 39355</v>
      </c>
      <c r="B68" s="1">
        <v>39355</v>
      </c>
      <c r="C68" s="4">
        <v>2.9449473556475265</v>
      </c>
      <c r="D68" s="4">
        <v>3.8492729079810717</v>
      </c>
      <c r="E68" s="3">
        <f t="shared" si="22"/>
        <v>142.61715042021578</v>
      </c>
      <c r="F68" s="10">
        <v>14.326837224694005</v>
      </c>
      <c r="G68" s="11">
        <v>153.57329509673608</v>
      </c>
      <c r="H68" s="10">
        <v>9.3289899234560973</v>
      </c>
      <c r="I68">
        <v>420</v>
      </c>
      <c r="K68" s="3">
        <v>796322.33620929718</v>
      </c>
      <c r="L68" s="3">
        <v>74288.830503195524</v>
      </c>
      <c r="M68" s="3">
        <v>114087.80489258654</v>
      </c>
      <c r="N68" s="3">
        <v>170612.88216048479</v>
      </c>
      <c r="O68" s="3">
        <v>47376.636029958725</v>
      </c>
      <c r="P68" s="10">
        <f t="shared" si="24"/>
        <v>4.667422096886253</v>
      </c>
    </row>
    <row r="69" spans="1:16" x14ac:dyDescent="0.2">
      <c r="A69" t="str">
        <f t="shared" si="23"/>
        <v>US HY Corporates 39447</v>
      </c>
      <c r="B69" s="1">
        <v>39447</v>
      </c>
      <c r="C69" s="4">
        <v>3.1764172516824281</v>
      </c>
      <c r="D69" s="4">
        <v>3.7474840527088662</v>
      </c>
      <c r="E69" s="3">
        <f t="shared" si="22"/>
        <v>186.37349979334107</v>
      </c>
      <c r="F69" s="10">
        <v>13.894380751783544</v>
      </c>
      <c r="G69" s="11">
        <v>174.17021031672934</v>
      </c>
      <c r="H69" s="10">
        <v>7.977472569227853</v>
      </c>
      <c r="I69">
        <v>592</v>
      </c>
      <c r="K69" s="3">
        <v>844900.18206463661</v>
      </c>
      <c r="L69" s="3">
        <v>67401.680261562578</v>
      </c>
      <c r="M69" s="3">
        <v>117393.64826857299</v>
      </c>
      <c r="N69" s="3">
        <v>182515.39255905151</v>
      </c>
      <c r="O69" s="3">
        <v>51627.195429086685</v>
      </c>
      <c r="P69" s="10">
        <f t="shared" si="24"/>
        <v>4.6291995991038144</v>
      </c>
    </row>
    <row r="70" spans="1:16" x14ac:dyDescent="0.2">
      <c r="A70" t="str">
        <f t="shared" si="23"/>
        <v>US HY Corporates 39538</v>
      </c>
      <c r="B70" s="1">
        <v>39538</v>
      </c>
      <c r="C70" s="4">
        <v>3.3296629908711157</v>
      </c>
      <c r="D70" s="4">
        <v>3.6883781595301035</v>
      </c>
      <c r="E70" s="3">
        <f t="shared" si="22"/>
        <v>246.57150055453741</v>
      </c>
      <c r="F70" s="10">
        <v>12.232436613751926</v>
      </c>
      <c r="G70" s="11">
        <v>156.22583552538941</v>
      </c>
      <c r="H70" s="10">
        <v>7.8299703583687625</v>
      </c>
      <c r="I70">
        <v>821</v>
      </c>
      <c r="K70" s="3">
        <v>905211.54431819916</v>
      </c>
      <c r="L70" s="3">
        <v>70877.795600647107</v>
      </c>
      <c r="M70" s="3">
        <v>110729.42837908864</v>
      </c>
      <c r="N70" s="3">
        <v>188276.75632047653</v>
      </c>
      <c r="O70" s="3">
        <v>53085.89307320118</v>
      </c>
      <c r="P70" s="10">
        <f t="shared" si="24"/>
        <v>4.8078773078997985</v>
      </c>
    </row>
    <row r="71" spans="1:16" x14ac:dyDescent="0.2">
      <c r="A71" t="str">
        <f t="shared" si="23"/>
        <v>US HY Corporates 39629</v>
      </c>
      <c r="B71" s="1">
        <v>39629</v>
      </c>
      <c r="C71" s="4">
        <v>3.3242946227220966</v>
      </c>
      <c r="D71" s="4">
        <v>3.6677572873463773</v>
      </c>
      <c r="E71" s="3">
        <f t="shared" si="22"/>
        <v>221.0995364177877</v>
      </c>
      <c r="F71" s="10">
        <v>13.510229512093245</v>
      </c>
      <c r="G71" s="11">
        <v>163.36205503503098</v>
      </c>
      <c r="H71" s="10">
        <v>8.2701148128897763</v>
      </c>
      <c r="I71">
        <v>735</v>
      </c>
      <c r="K71" s="3">
        <v>912989.71258121729</v>
      </c>
      <c r="L71" s="3">
        <v>75505.297460339032</v>
      </c>
      <c r="M71" s="3">
        <v>123347.0055915229</v>
      </c>
      <c r="N71" s="3">
        <v>195887.3026804924</v>
      </c>
      <c r="O71" s="3">
        <v>53639.015061616898</v>
      </c>
      <c r="P71" s="10">
        <f t="shared" si="24"/>
        <v>4.6607906693695984</v>
      </c>
    </row>
    <row r="72" spans="1:16" x14ac:dyDescent="0.2">
      <c r="A72" t="str">
        <f t="shared" si="23"/>
        <v>US HY Corporates 39721</v>
      </c>
      <c r="B72" s="1">
        <v>39721</v>
      </c>
      <c r="C72" s="4">
        <v>3.648448395840064</v>
      </c>
      <c r="D72" s="4">
        <v>3.4273078537595132</v>
      </c>
      <c r="E72" s="3">
        <f t="shared" si="22"/>
        <v>300.40167246154607</v>
      </c>
      <c r="F72" s="10">
        <v>11.848108682332672</v>
      </c>
      <c r="G72" s="11">
        <v>139.237380426915</v>
      </c>
      <c r="H72" s="10">
        <v>8.5092872661100412</v>
      </c>
      <c r="I72">
        <v>1096</v>
      </c>
      <c r="K72" s="3">
        <v>1014444.4019041061</v>
      </c>
      <c r="L72" s="3">
        <v>86321.988312992267</v>
      </c>
      <c r="M72" s="3">
        <v>120192.47525943816</v>
      </c>
      <c r="N72" s="3">
        <v>196889.61175870895</v>
      </c>
      <c r="O72" s="3">
        <v>57671.31554454565</v>
      </c>
      <c r="P72" s="10">
        <f t="shared" si="24"/>
        <v>5.1523510704430784</v>
      </c>
    </row>
    <row r="73" spans="1:16" x14ac:dyDescent="0.2">
      <c r="A73" t="str">
        <f t="shared" si="23"/>
        <v>US HY Corporates 39813</v>
      </c>
      <c r="B73" s="1">
        <v>39813</v>
      </c>
      <c r="C73" s="4">
        <v>3.6748758163688464</v>
      </c>
      <c r="D73" s="4">
        <v>3.4329455808611482</v>
      </c>
      <c r="E73" s="3">
        <f t="shared" si="22"/>
        <v>493.0778863135684</v>
      </c>
      <c r="F73" s="10">
        <v>12.826183484661094</v>
      </c>
      <c r="G73" s="11">
        <v>141.8823868280013</v>
      </c>
      <c r="H73" s="10">
        <v>9.0400110763641113</v>
      </c>
      <c r="I73">
        <v>1812</v>
      </c>
      <c r="K73" s="3">
        <v>901503.53496932983</v>
      </c>
      <c r="L73" s="3">
        <v>81496.019415041432</v>
      </c>
      <c r="M73" s="3">
        <v>115628.49751587212</v>
      </c>
      <c r="N73" s="3">
        <v>183849.71522855759</v>
      </c>
      <c r="O73" s="3">
        <v>53780.438059747219</v>
      </c>
      <c r="P73" s="10">
        <f t="shared" si="24"/>
        <v>4.9034807252684729</v>
      </c>
    </row>
    <row r="74" spans="1:16" x14ac:dyDescent="0.2">
      <c r="A74" t="str">
        <f t="shared" si="23"/>
        <v>US HY Corporates 39903</v>
      </c>
      <c r="B74" s="1">
        <v>39903</v>
      </c>
      <c r="C74" s="4">
        <v>4.0286863122095848</v>
      </c>
      <c r="D74" s="4">
        <v>3.1244102349359277</v>
      </c>
      <c r="E74" s="3">
        <f t="shared" si="22"/>
        <v>422.71844170115287</v>
      </c>
      <c r="F74" s="10">
        <v>12.141366753138815</v>
      </c>
      <c r="G74" s="11">
        <v>113.111440503219</v>
      </c>
      <c r="H74" s="10">
        <v>10.73398649961786</v>
      </c>
      <c r="I74">
        <v>1703</v>
      </c>
      <c r="K74" s="3">
        <v>1015122.8326263428</v>
      </c>
      <c r="L74" s="3">
        <v>108963.14780865004</v>
      </c>
      <c r="M74" s="3">
        <v>123249.78610401577</v>
      </c>
      <c r="N74" s="3">
        <v>185082.21212053299</v>
      </c>
      <c r="O74" s="3">
        <v>59496.944465398788</v>
      </c>
      <c r="P74" s="10">
        <f t="shared" si="24"/>
        <v>5.4847130958498269</v>
      </c>
    </row>
    <row r="75" spans="1:16" x14ac:dyDescent="0.2">
      <c r="A75" t="str">
        <f t="shared" si="23"/>
        <v>US HY Corporates 39994</v>
      </c>
      <c r="B75" s="1">
        <v>39994</v>
      </c>
      <c r="C75" s="4">
        <v>3.9036228416453693</v>
      </c>
      <c r="D75" s="4">
        <v>3.1667513414342974</v>
      </c>
      <c r="E75" s="3">
        <f t="shared" si="22"/>
        <v>270.26176523634632</v>
      </c>
      <c r="F75" s="10">
        <v>13.923792654192058</v>
      </c>
      <c r="G75" s="11">
        <v>168.27979936336408</v>
      </c>
      <c r="H75" s="10">
        <v>8.2741913805866965</v>
      </c>
      <c r="I75">
        <v>1055</v>
      </c>
      <c r="K75" s="3">
        <v>1009885.4791908264</v>
      </c>
      <c r="L75" s="3">
        <v>83559.857273004018</v>
      </c>
      <c r="M75" s="3">
        <v>140614.36016732454</v>
      </c>
      <c r="N75" s="3">
        <v>191156.27617058158</v>
      </c>
      <c r="O75" s="3">
        <v>60563.13376057148</v>
      </c>
      <c r="P75" s="10">
        <f t="shared" si="24"/>
        <v>5.2830359505938365</v>
      </c>
    </row>
    <row r="76" spans="1:16" x14ac:dyDescent="0.2">
      <c r="A76" t="str">
        <f t="shared" si="23"/>
        <v>US HY Corporates 40086</v>
      </c>
      <c r="B76" s="1">
        <v>40086</v>
      </c>
      <c r="C76" s="4">
        <v>3.9282106953526319</v>
      </c>
      <c r="D76" s="4">
        <v>2.9971602847898038</v>
      </c>
      <c r="E76" s="3">
        <f t="shared" si="22"/>
        <v>201.87308204679005</v>
      </c>
      <c r="F76" s="10">
        <v>15.600856424331019</v>
      </c>
      <c r="G76" s="11">
        <v>214.90851140508354</v>
      </c>
      <c r="H76" s="10">
        <v>7.2593013288918939</v>
      </c>
      <c r="I76">
        <v>793</v>
      </c>
      <c r="K76" s="3">
        <v>1051591.5647211075</v>
      </c>
      <c r="L76" s="3">
        <v>76338.200432314421</v>
      </c>
      <c r="M76" s="3">
        <v>164057.29018251598</v>
      </c>
      <c r="N76" s="3">
        <v>189388.7581397593</v>
      </c>
      <c r="O76" s="3">
        <v>63411.63235540688</v>
      </c>
      <c r="P76" s="10">
        <f t="shared" si="24"/>
        <v>5.5525553631070661</v>
      </c>
    </row>
    <row r="77" spans="1:16" x14ac:dyDescent="0.2">
      <c r="A77" t="str">
        <f t="shared" si="23"/>
        <v>US HY Corporates 40178</v>
      </c>
      <c r="B77" s="1">
        <v>40178</v>
      </c>
      <c r="C77" s="4">
        <v>3.7514726404006264</v>
      </c>
      <c r="D77" s="4">
        <v>3.0792113795260452</v>
      </c>
      <c r="E77" s="3">
        <f t="shared" si="22"/>
        <v>170.33310948837416</v>
      </c>
      <c r="F77" s="10">
        <v>16.597666936915509</v>
      </c>
      <c r="G77" s="11">
        <v>217.42356577745147</v>
      </c>
      <c r="H77" s="10">
        <v>7.6337939162971891</v>
      </c>
      <c r="I77">
        <v>639</v>
      </c>
      <c r="K77" s="3">
        <v>1070135.6457366943</v>
      </c>
      <c r="L77" s="3">
        <v>81691.949820375419</v>
      </c>
      <c r="M77" s="3">
        <v>177617.5502525866</v>
      </c>
      <c r="N77" s="3">
        <v>198731.61197113991</v>
      </c>
      <c r="O77" s="3">
        <v>66670.707982778549</v>
      </c>
      <c r="P77" s="10">
        <f t="shared" si="24"/>
        <v>5.3848284886457876</v>
      </c>
    </row>
    <row r="78" spans="1:16" x14ac:dyDescent="0.2">
      <c r="A78" t="str">
        <f t="shared" si="23"/>
        <v>US HY Corporates 40268</v>
      </c>
      <c r="B78" s="1">
        <v>40268</v>
      </c>
      <c r="C78" s="4">
        <v>3.4948412400017572</v>
      </c>
      <c r="D78" s="4">
        <v>3.2116312973392924</v>
      </c>
      <c r="E78" s="3">
        <f t="shared" si="22"/>
        <v>167.10344187185635</v>
      </c>
      <c r="F78" s="10">
        <v>15.81754682151136</v>
      </c>
      <c r="G78" s="11">
        <v>195.77643216519365</v>
      </c>
      <c r="H78" s="10">
        <v>8.0793927269880559</v>
      </c>
      <c r="I78">
        <v>584</v>
      </c>
      <c r="K78" s="3">
        <v>1122459.0955543518</v>
      </c>
      <c r="L78" s="3">
        <v>90687.87852963421</v>
      </c>
      <c r="M78" s="3">
        <v>177545.49299162254</v>
      </c>
      <c r="N78" s="3">
        <v>214533.84057897329</v>
      </c>
      <c r="O78" s="3">
        <v>69005.76348388195</v>
      </c>
      <c r="P78" s="10">
        <f t="shared" si="24"/>
        <v>5.23208409696631</v>
      </c>
    </row>
    <row r="79" spans="1:16" x14ac:dyDescent="0.2">
      <c r="A79" t="str">
        <f t="shared" si="23"/>
        <v>US HY Corporates 40359</v>
      </c>
      <c r="B79" s="1">
        <v>40359</v>
      </c>
      <c r="C79" s="4">
        <v>3.3487989489502081</v>
      </c>
      <c r="D79" s="4">
        <v>3.299835015588847</v>
      </c>
      <c r="E79" s="3">
        <f t="shared" si="22"/>
        <v>212.91215473640585</v>
      </c>
      <c r="F79" s="10">
        <v>14.729895125503809</v>
      </c>
      <c r="G79" s="11">
        <v>182.66616769944227</v>
      </c>
      <c r="H79" s="10">
        <v>8.063833227037577</v>
      </c>
      <c r="I79">
        <v>713</v>
      </c>
      <c r="K79" s="3">
        <v>1114924.2785568237</v>
      </c>
      <c r="L79" s="3">
        <v>89905.634430574137</v>
      </c>
      <c r="M79" s="3">
        <v>164227.17696020007</v>
      </c>
      <c r="N79" s="3">
        <v>226345.55916571617</v>
      </c>
      <c r="O79" s="3">
        <v>70851.692694664001</v>
      </c>
      <c r="P79" s="10">
        <f t="shared" si="24"/>
        <v>4.925761665774699</v>
      </c>
    </row>
    <row r="80" spans="1:16" x14ac:dyDescent="0.2">
      <c r="A80" t="str">
        <f t="shared" si="23"/>
        <v>US HY Corporates 40451</v>
      </c>
      <c r="B80" s="1">
        <v>40451</v>
      </c>
      <c r="C80" s="4">
        <v>3.2540313498326441</v>
      </c>
      <c r="D80" s="4">
        <v>3.4123651272044659</v>
      </c>
      <c r="E80" s="3">
        <f t="shared" si="22"/>
        <v>192.37675753560131</v>
      </c>
      <c r="F80" s="10">
        <v>15.510622172019673</v>
      </c>
      <c r="G80" s="11">
        <v>199.69583981212898</v>
      </c>
      <c r="H80" s="10">
        <v>7.7671233344729886</v>
      </c>
      <c r="I80">
        <v>626</v>
      </c>
      <c r="K80" s="3">
        <v>1188807.1134338379</v>
      </c>
      <c r="L80" s="3">
        <v>92336.114709394402</v>
      </c>
      <c r="M80" s="3">
        <v>184391.37971881591</v>
      </c>
      <c r="N80" s="3">
        <v>246471.74869298935</v>
      </c>
      <c r="O80" s="3">
        <v>74460.706101894379</v>
      </c>
      <c r="P80" s="10">
        <f t="shared" si="24"/>
        <v>4.8232997077269175</v>
      </c>
    </row>
    <row r="81" spans="1:16" x14ac:dyDescent="0.2">
      <c r="A81" t="str">
        <f t="shared" si="23"/>
        <v>US HY Corporates 40543</v>
      </c>
      <c r="B81" s="1">
        <v>40543</v>
      </c>
      <c r="C81" s="4">
        <v>3.3876055476208147</v>
      </c>
      <c r="D81" s="4">
        <v>3.3332969211835706</v>
      </c>
      <c r="E81" s="3">
        <f t="shared" si="22"/>
        <v>159.69982112585555</v>
      </c>
      <c r="F81" s="10">
        <v>14.508676190463095</v>
      </c>
      <c r="G81" s="11">
        <v>178.33179303719965</v>
      </c>
      <c r="H81" s="10">
        <v>8.1357765451484116</v>
      </c>
      <c r="I81">
        <v>541</v>
      </c>
      <c r="K81" s="3">
        <v>1154175.3388853073</v>
      </c>
      <c r="L81" s="3">
        <v>93901.126510918024</v>
      </c>
      <c r="M81" s="3">
        <v>167455.56258904934</v>
      </c>
      <c r="N81" s="3">
        <v>255451.76313948631</v>
      </c>
      <c r="O81" s="3">
        <v>77807.995688915253</v>
      </c>
      <c r="P81" s="10">
        <f t="shared" si="24"/>
        <v>4.518173312646443</v>
      </c>
    </row>
    <row r="82" spans="1:16" x14ac:dyDescent="0.2">
      <c r="A82" t="str">
        <f t="shared" si="23"/>
        <v>US HY Corporates 40633</v>
      </c>
      <c r="B82" s="1">
        <v>40633</v>
      </c>
      <c r="C82" s="4">
        <v>3.3828778968210775</v>
      </c>
      <c r="D82" s="4">
        <v>3.3385097892432811</v>
      </c>
      <c r="E82" s="3">
        <f t="shared" si="22"/>
        <v>141.00420250114303</v>
      </c>
      <c r="F82" s="10">
        <v>14.590072070210802</v>
      </c>
      <c r="G82" s="11">
        <v>180.41653590714409</v>
      </c>
      <c r="H82" s="10">
        <v>8.0868818353324041</v>
      </c>
      <c r="I82">
        <v>477</v>
      </c>
      <c r="K82" s="3">
        <v>1206798.8030853271</v>
      </c>
      <c r="L82" s="3">
        <v>97592.393195716199</v>
      </c>
      <c r="M82" s="3">
        <v>176072.81511259056</v>
      </c>
      <c r="N82" s="3">
        <v>266400.0361328125</v>
      </c>
      <c r="O82" s="3">
        <v>80761.074942827225</v>
      </c>
      <c r="P82" s="10">
        <f t="shared" si="24"/>
        <v>4.5300249226831308</v>
      </c>
    </row>
    <row r="83" spans="1:16" x14ac:dyDescent="0.2">
      <c r="A83" t="str">
        <f t="shared" si="23"/>
        <v>US HY Corporates 40724</v>
      </c>
      <c r="B83" s="1">
        <v>40724</v>
      </c>
      <c r="C83" s="4">
        <v>3.4619367020940128</v>
      </c>
      <c r="D83" s="4">
        <v>3.4719927516496685</v>
      </c>
      <c r="E83" s="3">
        <f t="shared" si="22"/>
        <v>156.55976600385611</v>
      </c>
      <c r="F83" s="10">
        <v>13.828415093843208</v>
      </c>
      <c r="G83" s="11">
        <v>175.68691951430844</v>
      </c>
      <c r="H83" s="10">
        <v>7.8710555868770768</v>
      </c>
      <c r="I83">
        <v>542</v>
      </c>
      <c r="K83" s="3">
        <v>1241562.7046051025</v>
      </c>
      <c r="L83" s="3">
        <v>97724.090625402052</v>
      </c>
      <c r="M83" s="3">
        <v>171688.44444313995</v>
      </c>
      <c r="N83" s="3">
        <v>271369.75626087189</v>
      </c>
      <c r="O83" s="3">
        <v>79893.111182570457</v>
      </c>
      <c r="P83" s="10">
        <f t="shared" si="24"/>
        <v>4.575169767302917</v>
      </c>
    </row>
    <row r="84" spans="1:16" x14ac:dyDescent="0.2">
      <c r="A84" t="str">
        <f t="shared" si="23"/>
        <v>US HY Corporates 40816</v>
      </c>
      <c r="B84" s="1">
        <v>40816</v>
      </c>
      <c r="C84" s="4">
        <v>3.3834363596068306</v>
      </c>
      <c r="D84" s="4">
        <v>3.5758754550133425</v>
      </c>
      <c r="E84" s="3">
        <f t="shared" si="22"/>
        <v>248.56385952467795</v>
      </c>
      <c r="F84" s="10">
        <v>13.079975972953278</v>
      </c>
      <c r="G84" s="11">
        <v>165.06149193798382</v>
      </c>
      <c r="H84" s="10">
        <v>7.9243049480418062</v>
      </c>
      <c r="I84">
        <v>841</v>
      </c>
      <c r="K84" s="3">
        <v>1245621.7512245178</v>
      </c>
      <c r="L84" s="3">
        <v>98706.866066169459</v>
      </c>
      <c r="M84" s="3">
        <v>162927.02577404678</v>
      </c>
      <c r="N84" s="3">
        <v>280600.72240972519</v>
      </c>
      <c r="O84" s="3">
        <v>80126.174703896046</v>
      </c>
      <c r="P84" s="10">
        <f t="shared" si="24"/>
        <v>4.4391252471748679</v>
      </c>
    </row>
    <row r="85" spans="1:16" x14ac:dyDescent="0.2">
      <c r="A85" t="str">
        <f t="shared" si="23"/>
        <v>US HY Corporates 40908</v>
      </c>
      <c r="B85" s="1">
        <v>40908</v>
      </c>
      <c r="C85" s="4">
        <v>3.3315981005776778</v>
      </c>
      <c r="D85" s="4">
        <v>3.5947683722234411</v>
      </c>
      <c r="E85" s="3">
        <f t="shared" si="22"/>
        <v>217.01297040439434</v>
      </c>
      <c r="F85" s="10">
        <v>13.373596013120354</v>
      </c>
      <c r="G85" s="11">
        <v>187.78538098661838</v>
      </c>
      <c r="H85" s="10">
        <v>7.1217450170273686</v>
      </c>
      <c r="I85">
        <v>723</v>
      </c>
      <c r="K85" s="3">
        <v>1232033.4220753312</v>
      </c>
      <c r="L85" s="3">
        <v>87742.278844761662</v>
      </c>
      <c r="M85" s="3">
        <v>164767.17261497676</v>
      </c>
      <c r="N85" s="3">
        <v>296454.92011147738</v>
      </c>
      <c r="O85" s="3">
        <v>82850.123513191938</v>
      </c>
      <c r="P85" s="10">
        <f t="shared" si="24"/>
        <v>4.1558879225618641</v>
      </c>
    </row>
    <row r="86" spans="1:16" x14ac:dyDescent="0.2">
      <c r="A86" t="str">
        <f t="shared" si="23"/>
        <v>US HY Corporates 40999</v>
      </c>
      <c r="B86" s="1">
        <v>40999</v>
      </c>
      <c r="C86" s="4">
        <v>3.4887520470133158</v>
      </c>
      <c r="D86" s="4">
        <v>3.5635466112081389</v>
      </c>
      <c r="E86" s="3">
        <f t="shared" si="22"/>
        <v>171.6946323292874</v>
      </c>
      <c r="F86" s="10">
        <v>12.772510027030961</v>
      </c>
      <c r="G86" s="11">
        <v>183.91776626198012</v>
      </c>
      <c r="H86" s="10">
        <v>6.9446852724588153</v>
      </c>
      <c r="I86">
        <v>599</v>
      </c>
      <c r="K86" s="3">
        <v>1196115.9285964966</v>
      </c>
      <c r="L86" s="3">
        <v>83066.486734774895</v>
      </c>
      <c r="M86" s="3">
        <v>152774.02691490203</v>
      </c>
      <c r="N86" s="3">
        <v>277906.54635858536</v>
      </c>
      <c r="O86" s="3">
        <v>78399.598963737488</v>
      </c>
      <c r="P86" s="10">
        <f t="shared" si="24"/>
        <v>4.3040221407851877</v>
      </c>
    </row>
    <row r="87" spans="1:16" x14ac:dyDescent="0.2">
      <c r="A87" t="str">
        <f t="shared" si="23"/>
        <v>US HY Corporates 41090</v>
      </c>
      <c r="B87" s="1">
        <v>41090</v>
      </c>
      <c r="C87" s="4">
        <v>3.5501297081383911</v>
      </c>
      <c r="D87" s="4">
        <v>3.6715642182408774</v>
      </c>
      <c r="E87" s="3">
        <f t="shared" si="22"/>
        <v>181.40182273444293</v>
      </c>
      <c r="F87" s="10">
        <v>12.801172950131734</v>
      </c>
      <c r="G87" s="11">
        <v>174.45269222873858</v>
      </c>
      <c r="H87" s="10">
        <v>7.3379050713342471</v>
      </c>
      <c r="I87">
        <v>644</v>
      </c>
      <c r="K87" s="3">
        <v>1067057.5587310791</v>
      </c>
      <c r="L87" s="3">
        <v>78299.67071618326</v>
      </c>
      <c r="M87" s="3">
        <v>136595.88357061893</v>
      </c>
      <c r="N87" s="3">
        <v>240643.26068207622</v>
      </c>
      <c r="O87" s="3">
        <v>67002.058418035507</v>
      </c>
      <c r="P87" s="10">
        <f t="shared" si="24"/>
        <v>4.4341884152775553</v>
      </c>
    </row>
  </sheetData>
  <mergeCells count="1">
    <mergeCell ref="K1:O1"/>
  </mergeCells>
  <phoneticPr fontId="5" type="noConversion"/>
  <pageMargins left="0.75" right="0.75" top="1" bottom="1" header="0.5" footer="0.5"/>
  <headerFooter alignWithMargins="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1:AD61"/>
  <sheetViews>
    <sheetView tabSelected="1" zoomScale="85" workbookViewId="0">
      <pane ySplit="6" topLeftCell="A22" activePane="bottomLeft" state="frozen"/>
      <selection pane="bottomLeft" activeCell="M54" sqref="M54"/>
    </sheetView>
  </sheetViews>
  <sheetFormatPr defaultRowHeight="12.75" x14ac:dyDescent="0.2"/>
  <cols>
    <col min="1" max="1" width="1.140625" customWidth="1"/>
    <col min="2" max="2" width="11.85546875" style="1" customWidth="1"/>
    <col min="3" max="3" width="6.28515625" customWidth="1"/>
    <col min="4" max="5" width="11.140625" customWidth="1"/>
    <col min="15" max="15" width="1.7109375" customWidth="1"/>
    <col min="20" max="20" width="1.7109375" customWidth="1"/>
    <col min="24" max="24" width="1.7109375" customWidth="1"/>
    <col min="28" max="28" width="1.7109375" customWidth="1"/>
  </cols>
  <sheetData>
    <row r="1" spans="2:30" ht="18" x14ac:dyDescent="0.25">
      <c r="B1" s="33" t="s">
        <v>163</v>
      </c>
    </row>
    <row r="2" spans="2:30" x14ac:dyDescent="0.2">
      <c r="B2" s="91">
        <v>41090</v>
      </c>
      <c r="C2" s="92"/>
    </row>
    <row r="3" spans="2:30" x14ac:dyDescent="0.2">
      <c r="B3" s="8"/>
      <c r="C3" s="26" t="s">
        <v>1</v>
      </c>
      <c r="D3" s="26" t="s">
        <v>20</v>
      </c>
      <c r="E3" s="26" t="s">
        <v>2</v>
      </c>
      <c r="F3" s="26" t="s">
        <v>4</v>
      </c>
      <c r="G3" s="26" t="s">
        <v>3</v>
      </c>
      <c r="H3" s="26" t="s">
        <v>24</v>
      </c>
      <c r="I3" s="26" t="s">
        <v>5</v>
      </c>
      <c r="J3" s="26" t="s">
        <v>6</v>
      </c>
      <c r="K3" s="26" t="s">
        <v>21</v>
      </c>
      <c r="L3" s="26" t="s">
        <v>22</v>
      </c>
      <c r="M3" s="26" t="s">
        <v>23</v>
      </c>
      <c r="N3" s="26" t="s">
        <v>7</v>
      </c>
      <c r="U3" s="7"/>
    </row>
    <row r="4" spans="2:30" ht="13.5" thickBot="1" x14ac:dyDescent="0.25">
      <c r="B4" s="19" t="s">
        <v>29</v>
      </c>
      <c r="C4" s="20"/>
      <c r="D4" s="89" t="s">
        <v>167</v>
      </c>
      <c r="E4" s="90"/>
      <c r="U4" s="7"/>
      <c r="AC4" t="s">
        <v>322</v>
      </c>
    </row>
    <row r="5" spans="2:30" ht="13.5" thickTop="1" x14ac:dyDescent="0.2">
      <c r="U5" s="7"/>
    </row>
    <row r="6" spans="2:30" x14ac:dyDescent="0.2">
      <c r="B6" s="16" t="s">
        <v>0</v>
      </c>
      <c r="C6" s="14" t="s">
        <v>1</v>
      </c>
      <c r="D6" s="5" t="s">
        <v>20</v>
      </c>
      <c r="E6" s="5" t="s">
        <v>2</v>
      </c>
      <c r="F6" s="5" t="s">
        <v>4</v>
      </c>
      <c r="G6" s="5" t="s">
        <v>3</v>
      </c>
      <c r="H6" s="5" t="s">
        <v>24</v>
      </c>
      <c r="I6" s="5" t="str">
        <f>IF(SelectEM="EM Corporates",LEFT(SelectEM,7)&amp;" Net Leverage",LEFT(SelectEM,5)&amp;" Net Leverage")</f>
        <v>LatAm Net Leverage</v>
      </c>
      <c r="J6" s="5" t="str">
        <f>IF(SelectEM="EM Corporates",LEFT(SelectEM,7)&amp;" Coverage Ratio",LEFT(SelectEM,5)&amp;" Coverage Ratio")</f>
        <v>LatAm Coverage Ratio</v>
      </c>
      <c r="K6" s="5" t="str">
        <f>IF(SelectEM="EM Corporates",LEFT(SelectEM,7)&amp;" Cash as a Pct of total debt",LEFT(SelectEM,5)&amp;" Cash as a Pct of total debt")</f>
        <v>LatAm Cash as a Pct of total debt</v>
      </c>
      <c r="L6" s="5" t="str">
        <f>IF(SelectEM="EM Corporates",LEFT(SelectEM,7)&amp;" Cash as a Pct of ST debt",LEFT(SelectEM,5)&amp;" Cash as a Pct of ST debt")</f>
        <v>LatAm Cash as a Pct of ST debt</v>
      </c>
      <c r="M6" s="5" t="str">
        <f>IF(SelectEM="EM Corporates",LEFT(SelectEM,7)&amp;" ST debt as a Pct of total",LEFT(SelectEM,5)&amp;" ST debt as a Pct of total")</f>
        <v>LatAm ST debt as a Pct of total</v>
      </c>
      <c r="N6" s="5" t="s">
        <v>7</v>
      </c>
      <c r="P6" s="5" t="str">
        <f>SelectEM</f>
        <v>LatAm HY Corporates</v>
      </c>
      <c r="Q6" s="5" t="str">
        <f>"Average Leverage ("&amp;TEXT(Q32,"0.0")&amp;"x)"</f>
        <v>Average Leverage (2.3x)</v>
      </c>
      <c r="R6" s="5" t="str">
        <f>"Average Coverage ("&amp;TEXT(R32,"0.0")&amp;"x)"</f>
        <v>Average Coverage (5.0x)</v>
      </c>
      <c r="S6" s="5" t="str">
        <f>"Average Spread/Turn ("&amp;TEXT(ROUND(S32/10,0)*10,"0")&amp;"bps/x)"</f>
        <v>Average Spread/Turn (240bps/x)</v>
      </c>
      <c r="U6" s="5" t="str">
        <f>SelectUS</f>
        <v>US HY Corporates</v>
      </c>
      <c r="V6" s="5" t="str">
        <f>SelectUS</f>
        <v>US HY Corporates</v>
      </c>
      <c r="W6" s="5" t="str">
        <f>SelectUS</f>
        <v>US HY Corporates</v>
      </c>
      <c r="Y6" s="5" t="str">
        <f>IF(SelectEM="EM Corporates",LEFT(SelectUS,7)&amp;" Cash as a Pct of ST debt",LEFT(SelectUS,5)&amp;" Cash as a Pct of ST debt")</f>
        <v>US HY Cash as a Pct of ST debt</v>
      </c>
      <c r="Z6" s="5" t="str">
        <f>IF(SelectEM="EM Corporates",LEFT(SelectUS,7)&amp;" Cash as a Pct of total debt",LEFT(SelectUS,5)&amp;" Cash as a Pct of total debt")</f>
        <v>US HY Cash as a Pct of total debt</v>
      </c>
      <c r="AA6" s="5" t="str">
        <f>IF(SelectEM="EM Corporates",LEFT(SelectUS,7)&amp;" ST debt as a Pct of total",LEFT(SelectUS,5)&amp;" ST debt as a Pct of total")</f>
        <v>US HY ST debt as a Pct of total</v>
      </c>
      <c r="AC6" s="5" t="str">
        <f>SelectEM&amp;" vs. "&amp;SelectUS&amp;" ratio, x"</f>
        <v>LatAm HY Corporates vs. US HY Corporates ratio, x</v>
      </c>
      <c r="AD6" s="5" t="s">
        <v>327</v>
      </c>
    </row>
    <row r="7" spans="2:30" x14ac:dyDescent="0.2">
      <c r="B7" s="17">
        <v>38807</v>
      </c>
      <c r="C7" s="15">
        <f t="shared" ref="C7:N16" si="0">VLOOKUP(lookup&amp;$B7,EMdata,MATCH(C$3,TopRow,0),FALSE)</f>
        <v>31</v>
      </c>
      <c r="D7" s="37">
        <f t="shared" si="0"/>
        <v>7820.7523717880249</v>
      </c>
      <c r="E7" s="37">
        <f t="shared" si="0"/>
        <v>39267.46813583374</v>
      </c>
      <c r="F7" s="37">
        <f t="shared" si="0"/>
        <v>4801.8141671719495</v>
      </c>
      <c r="G7" s="37">
        <f t="shared" si="0"/>
        <v>20377.562576949596</v>
      </c>
      <c r="H7" s="37">
        <f t="shared" si="0"/>
        <v>3279.5670268763788</v>
      </c>
      <c r="I7" s="38">
        <f t="shared" si="0"/>
        <v>1.6913531163755651</v>
      </c>
      <c r="J7" s="38">
        <f t="shared" si="0"/>
        <v>4.8589205916419802</v>
      </c>
      <c r="K7" s="37">
        <f t="shared" si="0"/>
        <v>12.228479184248775</v>
      </c>
      <c r="L7" s="37">
        <f t="shared" si="0"/>
        <v>61.398366025417729</v>
      </c>
      <c r="M7" s="37">
        <f t="shared" si="0"/>
        <v>19.916619896995993</v>
      </c>
      <c r="N7" s="37">
        <f t="shared" si="0"/>
        <v>270.58100313732621</v>
      </c>
      <c r="P7" s="3">
        <f t="shared" ref="P7:P32" si="1">N7/I7</f>
        <v>159.97901355877698</v>
      </c>
      <c r="Q7" s="4">
        <f t="shared" ref="Q7:Q32" si="2">AVERAGE($I$7:$I$32)</f>
        <v>2.2617923008312197</v>
      </c>
      <c r="R7" s="4">
        <f t="shared" ref="R7:R32" si="3">AVERAGE($J$7:$J$32)</f>
        <v>4.9571392542916026</v>
      </c>
      <c r="S7" s="3">
        <f t="shared" ref="S7:S32" si="4">MEDIAN($P$7:$P$32)</f>
        <v>236.36184513193544</v>
      </c>
      <c r="U7" s="4">
        <f t="shared" ref="U7:U32" si="5">VLOOKUP(SelectUS&amp;" "&amp;$B7,LeverageStatsDataUS,3,FALSE)</f>
        <v>2.813159375857559</v>
      </c>
      <c r="V7" s="4">
        <f t="shared" ref="V7:V32" si="6">VLOOKUP(SelectUS&amp;" "&amp;$B7,LeverageStatsDataUS,4,FALSE)</f>
        <v>3.8944682870243641</v>
      </c>
      <c r="W7" s="11">
        <f t="shared" ref="W7:W32" si="7">VLOOKUP(SelectUS&amp;" "&amp;$B7,LeverageStatsDataUS,5,FALSE)</f>
        <v>111.26280390871405</v>
      </c>
      <c r="Y7" s="11">
        <f t="shared" ref="Y7:Y32" si="8">VLOOKUP(SelectUS&amp;" "&amp;$B7,LeverageStatsDataUS,7,FALSE)</f>
        <v>167.85742295625988</v>
      </c>
      <c r="Z7" s="10">
        <f t="shared" ref="Z7:Z32" si="9">VLOOKUP(SelectUS&amp;" "&amp;$B7,LeverageStatsDataUS,6,FALSE)</f>
        <v>15.446396319285682</v>
      </c>
      <c r="AA7" s="10">
        <f t="shared" ref="AA7:AA32" si="10">VLOOKUP(SelectUS&amp;" "&amp;$B7,LeverageStatsDataUS,8,FALSE)</f>
        <v>9.2020930902237712</v>
      </c>
      <c r="AC7" s="10">
        <f>P7/W7</f>
        <v>1.4378481211927063</v>
      </c>
      <c r="AD7" s="11">
        <f>P7-U7</f>
        <v>157.16585418291942</v>
      </c>
    </row>
    <row r="8" spans="2:30" x14ac:dyDescent="0.2">
      <c r="B8" s="17">
        <v>38898</v>
      </c>
      <c r="C8" s="15">
        <f t="shared" si="0"/>
        <v>31</v>
      </c>
      <c r="D8" s="37">
        <f t="shared" si="0"/>
        <v>8421.6645788550377</v>
      </c>
      <c r="E8" s="37">
        <f t="shared" si="0"/>
        <v>39936.185173034668</v>
      </c>
      <c r="F8" s="37">
        <f t="shared" si="0"/>
        <v>5129.2836193523835</v>
      </c>
      <c r="G8" s="37">
        <f t="shared" si="0"/>
        <v>20823.682007491589</v>
      </c>
      <c r="H8" s="37">
        <f t="shared" si="0"/>
        <v>3354.5039441813715</v>
      </c>
      <c r="I8" s="38">
        <f t="shared" si="0"/>
        <v>1.6715056223563178</v>
      </c>
      <c r="J8" s="38">
        <f t="shared" si="0"/>
        <v>4.8208621310353612</v>
      </c>
      <c r="K8" s="37">
        <f t="shared" si="0"/>
        <v>12.843699509926477</v>
      </c>
      <c r="L8" s="37">
        <f t="shared" si="0"/>
        <v>60.905817030885977</v>
      </c>
      <c r="M8" s="37">
        <f t="shared" si="0"/>
        <v>21.087804311718372</v>
      </c>
      <c r="N8" s="37">
        <f t="shared" si="0"/>
        <v>321.02072980272595</v>
      </c>
      <c r="P8" s="3">
        <f t="shared" si="1"/>
        <v>192.05483099134523</v>
      </c>
      <c r="Q8" s="4">
        <f t="shared" si="2"/>
        <v>2.2617923008312197</v>
      </c>
      <c r="R8" s="4">
        <f t="shared" si="3"/>
        <v>4.9571392542916026</v>
      </c>
      <c r="S8" s="3">
        <f t="shared" si="4"/>
        <v>236.36184513193544</v>
      </c>
      <c r="U8" s="4">
        <f t="shared" si="5"/>
        <v>2.9041979176125707</v>
      </c>
      <c r="V8" s="4">
        <f t="shared" si="6"/>
        <v>3.7752163623754944</v>
      </c>
      <c r="W8" s="11">
        <f t="shared" si="7"/>
        <v>115.35026520347849</v>
      </c>
      <c r="Y8" s="11">
        <f t="shared" si="8"/>
        <v>149.03139135301211</v>
      </c>
      <c r="Z8" s="10">
        <f t="shared" si="9"/>
        <v>14.540263741805266</v>
      </c>
      <c r="AA8" s="10">
        <f t="shared" si="10"/>
        <v>9.7565107658181915</v>
      </c>
      <c r="AC8" s="10">
        <f t="shared" ref="AC8:AC32" si="11">P8/W8</f>
        <v>1.6649708663656688</v>
      </c>
      <c r="AD8" s="11">
        <f t="shared" ref="AD8:AD32" si="12">P8-U8</f>
        <v>189.15063307373265</v>
      </c>
    </row>
    <row r="9" spans="2:30" x14ac:dyDescent="0.2">
      <c r="B9" s="17">
        <v>38990</v>
      </c>
      <c r="C9" s="15">
        <f t="shared" si="0"/>
        <v>31</v>
      </c>
      <c r="D9" s="37">
        <f t="shared" si="0"/>
        <v>8512.329948425293</v>
      </c>
      <c r="E9" s="37">
        <f t="shared" si="0"/>
        <v>38927.935081481934</v>
      </c>
      <c r="F9" s="37">
        <f t="shared" si="0"/>
        <v>4825.2390041941544</v>
      </c>
      <c r="G9" s="37">
        <f t="shared" si="0"/>
        <v>20402.665508925915</v>
      </c>
      <c r="H9" s="37">
        <f t="shared" si="0"/>
        <v>3054.8379919757135</v>
      </c>
      <c r="I9" s="38">
        <f t="shared" si="0"/>
        <v>1.6714823885324332</v>
      </c>
      <c r="J9" s="38">
        <f t="shared" si="0"/>
        <v>4.8565624613145264</v>
      </c>
      <c r="K9" s="37">
        <f t="shared" si="0"/>
        <v>12.395311988920591</v>
      </c>
      <c r="L9" s="37">
        <f t="shared" si="0"/>
        <v>56.685291024072463</v>
      </c>
      <c r="M9" s="37">
        <f t="shared" si="0"/>
        <v>21.866893095171179</v>
      </c>
      <c r="N9" s="37">
        <f t="shared" si="0"/>
        <v>273.71255823024364</v>
      </c>
      <c r="P9" s="3">
        <f t="shared" si="1"/>
        <v>163.75437761600594</v>
      </c>
      <c r="Q9" s="4">
        <f t="shared" si="2"/>
        <v>2.2617923008312197</v>
      </c>
      <c r="R9" s="4">
        <f t="shared" si="3"/>
        <v>4.9571392542916026</v>
      </c>
      <c r="S9" s="3">
        <f t="shared" si="4"/>
        <v>236.36184513193544</v>
      </c>
      <c r="U9" s="4">
        <f t="shared" si="5"/>
        <v>2.9304856471630361</v>
      </c>
      <c r="V9" s="4">
        <f t="shared" si="6"/>
        <v>3.8346595418706202</v>
      </c>
      <c r="W9" s="11">
        <f t="shared" si="7"/>
        <v>117.38668651492007</v>
      </c>
      <c r="Y9" s="11">
        <f t="shared" si="8"/>
        <v>146.75168948048179</v>
      </c>
      <c r="Z9" s="10">
        <f t="shared" si="9"/>
        <v>14.264442569580273</v>
      </c>
      <c r="AA9" s="10">
        <f t="shared" si="10"/>
        <v>9.7201215332362292</v>
      </c>
      <c r="AC9" s="10">
        <f t="shared" si="11"/>
        <v>1.3949995734413412</v>
      </c>
      <c r="AD9" s="11">
        <f t="shared" si="12"/>
        <v>160.8238919688429</v>
      </c>
    </row>
    <row r="10" spans="2:30" x14ac:dyDescent="0.2">
      <c r="B10" s="17">
        <v>39082</v>
      </c>
      <c r="C10" s="15">
        <f t="shared" si="0"/>
        <v>31</v>
      </c>
      <c r="D10" s="37">
        <f t="shared" si="0"/>
        <v>7549.9435471892357</v>
      </c>
      <c r="E10" s="37">
        <f t="shared" si="0"/>
        <v>42359.220474243164</v>
      </c>
      <c r="F10" s="37">
        <f t="shared" si="0"/>
        <v>6906.5566596164135</v>
      </c>
      <c r="G10" s="37">
        <f t="shared" si="0"/>
        <v>20108.474079787731</v>
      </c>
      <c r="H10" s="37">
        <f t="shared" si="0"/>
        <v>1998.6737902392633</v>
      </c>
      <c r="I10" s="38">
        <f t="shared" si="0"/>
        <v>1.7630708165102598</v>
      </c>
      <c r="J10" s="38">
        <f t="shared" si="0"/>
        <v>6.6386671475609518</v>
      </c>
      <c r="K10" s="37">
        <f t="shared" si="0"/>
        <v>16.304730309699622</v>
      </c>
      <c r="L10" s="37">
        <f t="shared" si="0"/>
        <v>91.478255651165114</v>
      </c>
      <c r="M10" s="37">
        <f t="shared" si="0"/>
        <v>17.823613047317608</v>
      </c>
      <c r="N10" s="37">
        <f t="shared" si="0"/>
        <v>227.17435805868223</v>
      </c>
      <c r="P10" s="3">
        <f t="shared" si="1"/>
        <v>128.85152197592413</v>
      </c>
      <c r="Q10" s="4">
        <f t="shared" si="2"/>
        <v>2.2617923008312197</v>
      </c>
      <c r="R10" s="4">
        <f t="shared" si="3"/>
        <v>4.9571392542916026</v>
      </c>
      <c r="S10" s="3">
        <f t="shared" si="4"/>
        <v>236.36184513193544</v>
      </c>
      <c r="U10" s="4">
        <f t="shared" si="5"/>
        <v>2.9253537458742582</v>
      </c>
      <c r="V10" s="4">
        <f t="shared" si="6"/>
        <v>3.8518708776457142</v>
      </c>
      <c r="W10" s="11">
        <f t="shared" si="7"/>
        <v>98.791471085364662</v>
      </c>
      <c r="Y10" s="11">
        <f t="shared" si="8"/>
        <v>175.29999488542219</v>
      </c>
      <c r="Z10" s="10">
        <f t="shared" si="9"/>
        <v>15.255297326976633</v>
      </c>
      <c r="AA10" s="10">
        <f t="shared" si="10"/>
        <v>8.7023946218296508</v>
      </c>
      <c r="AC10" s="10">
        <f t="shared" si="11"/>
        <v>1.3042777940272283</v>
      </c>
      <c r="AD10" s="11">
        <f t="shared" si="12"/>
        <v>125.92616823004987</v>
      </c>
    </row>
    <row r="11" spans="2:30" x14ac:dyDescent="0.2">
      <c r="B11" s="17">
        <v>39172</v>
      </c>
      <c r="C11" s="15">
        <f t="shared" si="0"/>
        <v>32</v>
      </c>
      <c r="D11" s="37">
        <f t="shared" si="0"/>
        <v>8423.5245161056519</v>
      </c>
      <c r="E11" s="37">
        <f t="shared" si="0"/>
        <v>45317.790596008301</v>
      </c>
      <c r="F11" s="37">
        <f t="shared" si="0"/>
        <v>4269.2719117999077</v>
      </c>
      <c r="G11" s="37">
        <f t="shared" si="0"/>
        <v>20063.576472967863</v>
      </c>
      <c r="H11" s="37">
        <f t="shared" si="0"/>
        <v>2927.0174462657887</v>
      </c>
      <c r="I11" s="38">
        <f t="shared" si="0"/>
        <v>2.04592230799499</v>
      </c>
      <c r="J11" s="38">
        <f t="shared" si="0"/>
        <v>5.1391473546355124</v>
      </c>
      <c r="K11" s="37">
        <f t="shared" si="0"/>
        <v>9.3892928082434235</v>
      </c>
      <c r="L11" s="37">
        <f t="shared" si="0"/>
        <v>52.107199336309861</v>
      </c>
      <c r="M11" s="37">
        <f t="shared" si="0"/>
        <v>18.019185309966719</v>
      </c>
      <c r="N11" s="37">
        <f t="shared" si="0"/>
        <v>251.78398991709273</v>
      </c>
      <c r="P11" s="3">
        <f t="shared" si="1"/>
        <v>123.0662517990929</v>
      </c>
      <c r="Q11" s="4">
        <f t="shared" si="2"/>
        <v>2.2617923008312197</v>
      </c>
      <c r="R11" s="4">
        <f t="shared" si="3"/>
        <v>4.9571392542916026</v>
      </c>
      <c r="S11" s="3">
        <f t="shared" si="4"/>
        <v>236.36184513193544</v>
      </c>
      <c r="U11" s="4">
        <f t="shared" si="5"/>
        <v>3.1031459899575582</v>
      </c>
      <c r="V11" s="4">
        <f t="shared" si="6"/>
        <v>3.8365244110851182</v>
      </c>
      <c r="W11" s="11">
        <f t="shared" si="7"/>
        <v>91.842279068506841</v>
      </c>
      <c r="Y11" s="11">
        <f t="shared" si="8"/>
        <v>164.53155486951502</v>
      </c>
      <c r="Z11" s="10">
        <f t="shared" si="9"/>
        <v>13.308034856797013</v>
      </c>
      <c r="AA11" s="10">
        <f t="shared" si="10"/>
        <v>8.0884392464115553</v>
      </c>
      <c r="AC11" s="10">
        <f t="shared" si="11"/>
        <v>1.3399738448051308</v>
      </c>
      <c r="AD11" s="11">
        <f t="shared" si="12"/>
        <v>119.96310580913534</v>
      </c>
    </row>
    <row r="12" spans="2:30" x14ac:dyDescent="0.2">
      <c r="B12" s="17">
        <v>39263</v>
      </c>
      <c r="C12" s="15">
        <f t="shared" si="0"/>
        <v>33</v>
      </c>
      <c r="D12" s="37">
        <f t="shared" si="0"/>
        <v>7986.9672653675079</v>
      </c>
      <c r="E12" s="37">
        <f t="shared" si="0"/>
        <v>46196.344504356384</v>
      </c>
      <c r="F12" s="37">
        <f t="shared" si="0"/>
        <v>4927.4750710725784</v>
      </c>
      <c r="G12" s="37">
        <f t="shared" si="0"/>
        <v>20336.984944224358</v>
      </c>
      <c r="H12" s="37">
        <f t="shared" si="0"/>
        <v>3500.5064563751221</v>
      </c>
      <c r="I12" s="38">
        <f t="shared" si="0"/>
        <v>2.0292521013545834</v>
      </c>
      <c r="J12" s="38">
        <f t="shared" si="0"/>
        <v>4.4109173600124976</v>
      </c>
      <c r="K12" s="37">
        <f t="shared" si="0"/>
        <v>12.049242513011347</v>
      </c>
      <c r="L12" s="37">
        <f t="shared" si="0"/>
        <v>72.410910314788694</v>
      </c>
      <c r="M12" s="37">
        <f t="shared" si="0"/>
        <v>16.640092578080036</v>
      </c>
      <c r="N12" s="37">
        <f t="shared" si="0"/>
        <v>243.26121168931181</v>
      </c>
      <c r="P12" s="3">
        <f t="shared" si="1"/>
        <v>119.87727474911965</v>
      </c>
      <c r="Q12" s="4">
        <f t="shared" si="2"/>
        <v>2.2617923008312197</v>
      </c>
      <c r="R12" s="4">
        <f t="shared" si="3"/>
        <v>4.9571392542916026</v>
      </c>
      <c r="S12" s="3">
        <f t="shared" si="4"/>
        <v>236.36184513193544</v>
      </c>
      <c r="U12" s="4">
        <f t="shared" si="5"/>
        <v>3.0412772626257092</v>
      </c>
      <c r="V12" s="4">
        <f t="shared" si="6"/>
        <v>3.8811489002357797</v>
      </c>
      <c r="W12" s="11">
        <f t="shared" si="7"/>
        <v>97.985147116353176</v>
      </c>
      <c r="Y12" s="11">
        <f t="shared" si="8"/>
        <v>157.40628092428389</v>
      </c>
      <c r="Z12" s="10">
        <f t="shared" si="9"/>
        <v>13.512406692506051</v>
      </c>
      <c r="AA12" s="10">
        <f t="shared" si="10"/>
        <v>8.5844139211991415</v>
      </c>
      <c r="AC12" s="10">
        <f t="shared" si="11"/>
        <v>1.2234229194631969</v>
      </c>
      <c r="AD12" s="11">
        <f t="shared" si="12"/>
        <v>116.83599748649394</v>
      </c>
    </row>
    <row r="13" spans="2:30" x14ac:dyDescent="0.2">
      <c r="B13" s="17">
        <v>39355</v>
      </c>
      <c r="C13" s="15">
        <f t="shared" si="0"/>
        <v>33</v>
      </c>
      <c r="D13" s="37">
        <f t="shared" si="0"/>
        <v>9185.3674640655518</v>
      </c>
      <c r="E13" s="37">
        <f t="shared" si="0"/>
        <v>48142.114238739014</v>
      </c>
      <c r="F13" s="37">
        <f t="shared" si="0"/>
        <v>4868.073676109314</v>
      </c>
      <c r="G13" s="37">
        <f t="shared" si="0"/>
        <v>21963.415868759155</v>
      </c>
      <c r="H13" s="37">
        <f t="shared" si="0"/>
        <v>3531.6042393445969</v>
      </c>
      <c r="I13" s="38">
        <f t="shared" si="0"/>
        <v>1.9702782491216613</v>
      </c>
      <c r="J13" s="38">
        <f t="shared" si="0"/>
        <v>4.7047619150587865</v>
      </c>
      <c r="K13" s="37">
        <f t="shared" si="0"/>
        <v>12.876547251805428</v>
      </c>
      <c r="L13" s="37">
        <f t="shared" si="0"/>
        <v>71.421355526468503</v>
      </c>
      <c r="M13" s="37">
        <f t="shared" si="0"/>
        <v>18.028987488249825</v>
      </c>
      <c r="N13" s="37">
        <f t="shared" si="0"/>
        <v>346.32792016834759</v>
      </c>
      <c r="P13" s="3">
        <f t="shared" si="1"/>
        <v>175.77614751761007</v>
      </c>
      <c r="Q13" s="4">
        <f t="shared" si="2"/>
        <v>2.2617923008312197</v>
      </c>
      <c r="R13" s="4">
        <f t="shared" si="3"/>
        <v>4.9571392542916026</v>
      </c>
      <c r="S13" s="3">
        <f t="shared" si="4"/>
        <v>236.36184513193544</v>
      </c>
      <c r="U13" s="4">
        <f t="shared" si="5"/>
        <v>2.9449473556475265</v>
      </c>
      <c r="V13" s="4">
        <f t="shared" si="6"/>
        <v>3.8492729079810717</v>
      </c>
      <c r="W13" s="11">
        <f t="shared" si="7"/>
        <v>142.61715042021578</v>
      </c>
      <c r="Y13" s="11">
        <f t="shared" si="8"/>
        <v>153.57329509673608</v>
      </c>
      <c r="Z13" s="10">
        <f t="shared" si="9"/>
        <v>14.326837224694005</v>
      </c>
      <c r="AA13" s="10">
        <f t="shared" si="10"/>
        <v>9.3289899234560973</v>
      </c>
      <c r="AC13" s="10">
        <f t="shared" si="11"/>
        <v>1.2325035733759413</v>
      </c>
      <c r="AD13" s="11">
        <f t="shared" si="12"/>
        <v>172.83120016196256</v>
      </c>
    </row>
    <row r="14" spans="2:30" x14ac:dyDescent="0.2">
      <c r="B14" s="17">
        <v>39447</v>
      </c>
      <c r="C14" s="15">
        <f t="shared" si="0"/>
        <v>33</v>
      </c>
      <c r="D14" s="37">
        <f t="shared" si="0"/>
        <v>9274.4097222089767</v>
      </c>
      <c r="E14" s="37">
        <f t="shared" si="0"/>
        <v>51395.184661865234</v>
      </c>
      <c r="F14" s="37">
        <f t="shared" si="0"/>
        <v>7087.3226709365845</v>
      </c>
      <c r="G14" s="37">
        <f t="shared" si="0"/>
        <v>20656.402744293213</v>
      </c>
      <c r="H14" s="37">
        <f t="shared" si="0"/>
        <v>4143.2085752487183</v>
      </c>
      <c r="I14" s="38">
        <f t="shared" si="0"/>
        <v>2.1449940988960274</v>
      </c>
      <c r="J14" s="38">
        <f t="shared" si="0"/>
        <v>4.4059762814631149</v>
      </c>
      <c r="K14" s="37">
        <f t="shared" si="0"/>
        <v>15.166094320559361</v>
      </c>
      <c r="L14" s="37">
        <f t="shared" si="0"/>
        <v>85.106662957408162</v>
      </c>
      <c r="M14" s="37">
        <f t="shared" si="0"/>
        <v>17.820102202984121</v>
      </c>
      <c r="N14" s="37">
        <f t="shared" si="0"/>
        <v>442.75633651547082</v>
      </c>
      <c r="P14" s="3">
        <f t="shared" si="1"/>
        <v>206.41377836113674</v>
      </c>
      <c r="Q14" s="4">
        <f t="shared" si="2"/>
        <v>2.2617923008312197</v>
      </c>
      <c r="R14" s="4">
        <f t="shared" si="3"/>
        <v>4.9571392542916026</v>
      </c>
      <c r="S14" s="3">
        <f t="shared" si="4"/>
        <v>236.36184513193544</v>
      </c>
      <c r="U14" s="4">
        <f t="shared" si="5"/>
        <v>3.1764172516824281</v>
      </c>
      <c r="V14" s="4">
        <f t="shared" si="6"/>
        <v>3.7474840527088662</v>
      </c>
      <c r="W14" s="11">
        <f t="shared" si="7"/>
        <v>186.37349979334107</v>
      </c>
      <c r="Y14" s="11">
        <f t="shared" si="8"/>
        <v>174.17021031672934</v>
      </c>
      <c r="Z14" s="10">
        <f t="shared" si="9"/>
        <v>13.894380751783544</v>
      </c>
      <c r="AA14" s="10">
        <f t="shared" si="10"/>
        <v>7.977472569227853</v>
      </c>
      <c r="AC14" s="10">
        <f t="shared" si="11"/>
        <v>1.1075275111001144</v>
      </c>
      <c r="AD14" s="11">
        <f t="shared" si="12"/>
        <v>203.2373611094543</v>
      </c>
    </row>
    <row r="15" spans="2:30" x14ac:dyDescent="0.2">
      <c r="B15" s="17">
        <v>39538</v>
      </c>
      <c r="C15" s="15">
        <f t="shared" si="0"/>
        <v>46</v>
      </c>
      <c r="D15" s="37">
        <f t="shared" si="0"/>
        <v>10451.013994812965</v>
      </c>
      <c r="E15" s="37">
        <f t="shared" si="0"/>
        <v>63601.281506538391</v>
      </c>
      <c r="F15" s="37">
        <f t="shared" si="0"/>
        <v>23943.324552536011</v>
      </c>
      <c r="G15" s="37">
        <f t="shared" si="0"/>
        <v>27143.158508300781</v>
      </c>
      <c r="H15" s="37">
        <f t="shared" si="0"/>
        <v>3219.8248790577054</v>
      </c>
      <c r="I15" s="38">
        <f t="shared" si="0"/>
        <v>1.4610664024923403</v>
      </c>
      <c r="J15" s="38">
        <f t="shared" si="0"/>
        <v>7.9354037501892147</v>
      </c>
      <c r="K15" s="37">
        <f t="shared" si="0"/>
        <v>37.702030753691901</v>
      </c>
      <c r="L15" s="37">
        <f t="shared" si="0"/>
        <v>228.8138067233613</v>
      </c>
      <c r="M15" s="37">
        <f t="shared" si="0"/>
        <v>16.477165995177081</v>
      </c>
      <c r="N15" s="37">
        <f t="shared" si="0"/>
        <v>614.3584332472285</v>
      </c>
      <c r="P15" s="3">
        <f t="shared" si="1"/>
        <v>420.48631889641257</v>
      </c>
      <c r="Q15" s="4">
        <f t="shared" si="2"/>
        <v>2.2617923008312197</v>
      </c>
      <c r="R15" s="4">
        <f t="shared" si="3"/>
        <v>4.9571392542916026</v>
      </c>
      <c r="S15" s="3">
        <f t="shared" si="4"/>
        <v>236.36184513193544</v>
      </c>
      <c r="U15" s="4">
        <f t="shared" si="5"/>
        <v>3.3296629908711157</v>
      </c>
      <c r="V15" s="4">
        <f t="shared" si="6"/>
        <v>3.6883781595301035</v>
      </c>
      <c r="W15" s="11">
        <f t="shared" si="7"/>
        <v>246.57150055453741</v>
      </c>
      <c r="Y15" s="11">
        <f t="shared" si="8"/>
        <v>156.22583552538941</v>
      </c>
      <c r="Z15" s="10">
        <f t="shared" si="9"/>
        <v>12.232436613751926</v>
      </c>
      <c r="AA15" s="10">
        <f t="shared" si="10"/>
        <v>7.8299703583687625</v>
      </c>
      <c r="AC15" s="10">
        <f t="shared" si="11"/>
        <v>1.7053321975603104</v>
      </c>
      <c r="AD15" s="11">
        <f t="shared" si="12"/>
        <v>417.15665590554147</v>
      </c>
    </row>
    <row r="16" spans="2:30" x14ac:dyDescent="0.2">
      <c r="B16" s="17">
        <v>39629</v>
      </c>
      <c r="C16" s="15">
        <f t="shared" si="0"/>
        <v>45</v>
      </c>
      <c r="D16" s="37">
        <f t="shared" si="0"/>
        <v>10533.1135430336</v>
      </c>
      <c r="E16" s="37">
        <f t="shared" si="0"/>
        <v>56054.22430229187</v>
      </c>
      <c r="F16" s="37">
        <f t="shared" si="0"/>
        <v>23234.471308708191</v>
      </c>
      <c r="G16" s="37">
        <f t="shared" si="0"/>
        <v>25452.915145874023</v>
      </c>
      <c r="H16" s="37">
        <f t="shared" si="0"/>
        <v>3244.1610960140824</v>
      </c>
      <c r="I16" s="38">
        <f t="shared" si="0"/>
        <v>1.2894300242423837</v>
      </c>
      <c r="J16" s="38">
        <f t="shared" si="0"/>
        <v>7.2269409120073442</v>
      </c>
      <c r="K16" s="37">
        <f t="shared" si="0"/>
        <v>41.476917762406096</v>
      </c>
      <c r="L16" s="37">
        <f t="shared" si="0"/>
        <v>220.64884987436147</v>
      </c>
      <c r="M16" s="37">
        <f t="shared" si="0"/>
        <v>18.797704037896981</v>
      </c>
      <c r="N16" s="37">
        <f t="shared" si="0"/>
        <v>576.96873702630535</v>
      </c>
      <c r="P16" s="3">
        <f t="shared" si="1"/>
        <v>447.46029344656262</v>
      </c>
      <c r="Q16" s="4">
        <f t="shared" si="2"/>
        <v>2.2617923008312197</v>
      </c>
      <c r="R16" s="4">
        <f t="shared" si="3"/>
        <v>4.9571392542916026</v>
      </c>
      <c r="S16" s="3">
        <f t="shared" si="4"/>
        <v>236.36184513193544</v>
      </c>
      <c r="U16" s="4">
        <f t="shared" si="5"/>
        <v>3.3242946227220966</v>
      </c>
      <c r="V16" s="4">
        <f t="shared" si="6"/>
        <v>3.6677572873463773</v>
      </c>
      <c r="W16" s="11">
        <f t="shared" si="7"/>
        <v>221.0995364177877</v>
      </c>
      <c r="Y16" s="11">
        <f t="shared" si="8"/>
        <v>163.36205503503098</v>
      </c>
      <c r="Z16" s="10">
        <f t="shared" si="9"/>
        <v>13.510229512093245</v>
      </c>
      <c r="AA16" s="10">
        <f t="shared" si="10"/>
        <v>8.2701148128897763</v>
      </c>
      <c r="AC16" s="10">
        <f t="shared" si="11"/>
        <v>2.0237957107293325</v>
      </c>
      <c r="AD16" s="11">
        <f t="shared" si="12"/>
        <v>444.13599882384051</v>
      </c>
    </row>
    <row r="17" spans="2:30" x14ac:dyDescent="0.2">
      <c r="B17" s="17">
        <v>39721</v>
      </c>
      <c r="C17" s="15">
        <f t="shared" ref="C17:N26" si="13">VLOOKUP(lookup&amp;$B17,EMdata,MATCH(C$3,TopRow,0),FALSE)</f>
        <v>44</v>
      </c>
      <c r="D17" s="37">
        <f t="shared" si="13"/>
        <v>10777.909770965576</v>
      </c>
      <c r="E17" s="37">
        <f t="shared" si="13"/>
        <v>55764.718047142029</v>
      </c>
      <c r="F17" s="37">
        <f t="shared" si="13"/>
        <v>20695.797982692719</v>
      </c>
      <c r="G17" s="37">
        <f t="shared" si="13"/>
        <v>26411.84751701355</v>
      </c>
      <c r="H17" s="37">
        <f t="shared" si="13"/>
        <v>3623.8140808418393</v>
      </c>
      <c r="I17" s="38">
        <f t="shared" si="13"/>
        <v>1.3277723204277623</v>
      </c>
      <c r="J17" s="38">
        <f t="shared" si="13"/>
        <v>6.6109193605978742</v>
      </c>
      <c r="K17" s="37">
        <f t="shared" si="13"/>
        <v>37.086951550505802</v>
      </c>
      <c r="L17" s="37">
        <f t="shared" si="13"/>
        <v>191.86713520624451</v>
      </c>
      <c r="M17" s="37">
        <f t="shared" si="13"/>
        <v>19.329496690842745</v>
      </c>
      <c r="N17" s="37">
        <f t="shared" si="13"/>
        <v>925.0187291046899</v>
      </c>
      <c r="P17" s="3">
        <f t="shared" si="1"/>
        <v>696.6696886757519</v>
      </c>
      <c r="Q17" s="4">
        <f t="shared" si="2"/>
        <v>2.2617923008312197</v>
      </c>
      <c r="R17" s="4">
        <f t="shared" si="3"/>
        <v>4.9571392542916026</v>
      </c>
      <c r="S17" s="3">
        <f t="shared" si="4"/>
        <v>236.36184513193544</v>
      </c>
      <c r="U17" s="4">
        <f t="shared" si="5"/>
        <v>3.648448395840064</v>
      </c>
      <c r="V17" s="4">
        <f t="shared" si="6"/>
        <v>3.4273078537595132</v>
      </c>
      <c r="W17" s="11">
        <f t="shared" si="7"/>
        <v>300.40167246154607</v>
      </c>
      <c r="Y17" s="11">
        <f t="shared" si="8"/>
        <v>139.237380426915</v>
      </c>
      <c r="Z17" s="10">
        <f t="shared" si="9"/>
        <v>11.848108682332672</v>
      </c>
      <c r="AA17" s="10">
        <f t="shared" si="10"/>
        <v>8.5092872661100412</v>
      </c>
      <c r="AC17" s="10">
        <f t="shared" si="11"/>
        <v>2.3191271971527772</v>
      </c>
      <c r="AD17" s="11">
        <f t="shared" si="12"/>
        <v>693.02124027991181</v>
      </c>
    </row>
    <row r="18" spans="2:30" x14ac:dyDescent="0.2">
      <c r="B18" s="17">
        <v>39813</v>
      </c>
      <c r="C18" s="15">
        <f t="shared" si="13"/>
        <v>48</v>
      </c>
      <c r="D18" s="37">
        <f t="shared" si="13"/>
        <v>19279.626464486122</v>
      </c>
      <c r="E18" s="37">
        <f t="shared" si="13"/>
        <v>79988.073683738708</v>
      </c>
      <c r="F18" s="37">
        <f t="shared" si="13"/>
        <v>21467.382538318634</v>
      </c>
      <c r="G18" s="37">
        <f t="shared" si="13"/>
        <v>32772.39031791687</v>
      </c>
      <c r="H18" s="37">
        <f t="shared" si="13"/>
        <v>5150.8039172962308</v>
      </c>
      <c r="I18" s="38">
        <f t="shared" si="13"/>
        <v>1.7856705164843116</v>
      </c>
      <c r="J18" s="38">
        <f t="shared" si="13"/>
        <v>5.8906609642719996</v>
      </c>
      <c r="K18" s="37">
        <f t="shared" si="13"/>
        <v>26.90210803143918</v>
      </c>
      <c r="L18" s="37">
        <f t="shared" si="13"/>
        <v>111.04559300992065</v>
      </c>
      <c r="M18" s="37">
        <f t="shared" si="13"/>
        <v>24.226182509589361</v>
      </c>
      <c r="N18" s="37">
        <f t="shared" si="13"/>
        <v>1724.7990629846183</v>
      </c>
      <c r="P18" s="3">
        <f t="shared" si="1"/>
        <v>965.91115049626342</v>
      </c>
      <c r="Q18" s="4">
        <f t="shared" si="2"/>
        <v>2.2617923008312197</v>
      </c>
      <c r="R18" s="4">
        <f t="shared" si="3"/>
        <v>4.9571392542916026</v>
      </c>
      <c r="S18" s="3">
        <f t="shared" si="4"/>
        <v>236.36184513193544</v>
      </c>
      <c r="U18" s="4">
        <f t="shared" si="5"/>
        <v>3.6748758163688464</v>
      </c>
      <c r="V18" s="4">
        <f t="shared" si="6"/>
        <v>3.4329455808611482</v>
      </c>
      <c r="W18" s="11">
        <f t="shared" si="7"/>
        <v>493.0778863135684</v>
      </c>
      <c r="Y18" s="11">
        <f t="shared" si="8"/>
        <v>141.8823868280013</v>
      </c>
      <c r="Z18" s="10">
        <f t="shared" si="9"/>
        <v>12.826183484661094</v>
      </c>
      <c r="AA18" s="10">
        <f t="shared" si="10"/>
        <v>9.0400110763641113</v>
      </c>
      <c r="AC18" s="10">
        <f t="shared" si="11"/>
        <v>1.9589423442161853</v>
      </c>
      <c r="AD18" s="11">
        <f t="shared" si="12"/>
        <v>962.23627467989456</v>
      </c>
    </row>
    <row r="19" spans="2:30" x14ac:dyDescent="0.2">
      <c r="B19" s="17">
        <v>39903</v>
      </c>
      <c r="C19" s="15">
        <f t="shared" si="13"/>
        <v>47</v>
      </c>
      <c r="D19" s="37">
        <f t="shared" si="13"/>
        <v>18296.651643097401</v>
      </c>
      <c r="E19" s="37">
        <f t="shared" si="13"/>
        <v>87527.897254288197</v>
      </c>
      <c r="F19" s="37">
        <f t="shared" si="13"/>
        <v>15942.96750831604</v>
      </c>
      <c r="G19" s="37">
        <f t="shared" si="13"/>
        <v>30879.80989074707</v>
      </c>
      <c r="H19" s="37">
        <f t="shared" si="13"/>
        <v>5537.6263116002083</v>
      </c>
      <c r="I19" s="38">
        <f t="shared" si="13"/>
        <v>2.3181790949892509</v>
      </c>
      <c r="J19" s="38">
        <f t="shared" si="13"/>
        <v>5.1814756853212476</v>
      </c>
      <c r="K19" s="37">
        <f t="shared" si="13"/>
        <v>18.214726970988622</v>
      </c>
      <c r="L19" s="37">
        <f t="shared" si="13"/>
        <v>87.135984328207329</v>
      </c>
      <c r="M19" s="37">
        <f t="shared" si="13"/>
        <v>20.903794352492579</v>
      </c>
      <c r="N19" s="37">
        <f t="shared" si="13"/>
        <v>1704.5003647017681</v>
      </c>
      <c r="P19" s="3">
        <f t="shared" si="1"/>
        <v>735.27553086215357</v>
      </c>
      <c r="Q19" s="4">
        <f t="shared" si="2"/>
        <v>2.2617923008312197</v>
      </c>
      <c r="R19" s="4">
        <f t="shared" si="3"/>
        <v>4.9571392542916026</v>
      </c>
      <c r="S19" s="3">
        <f t="shared" si="4"/>
        <v>236.36184513193544</v>
      </c>
      <c r="U19" s="4">
        <f t="shared" si="5"/>
        <v>4.0286863122095848</v>
      </c>
      <c r="V19" s="4">
        <f t="shared" si="6"/>
        <v>3.1244102349359277</v>
      </c>
      <c r="W19" s="11">
        <f t="shared" si="7"/>
        <v>422.71844170115287</v>
      </c>
      <c r="Y19" s="11">
        <f t="shared" si="8"/>
        <v>113.111440503219</v>
      </c>
      <c r="Z19" s="10">
        <f t="shared" si="9"/>
        <v>12.141366753138815</v>
      </c>
      <c r="AA19" s="10">
        <f t="shared" si="10"/>
        <v>10.73398649961786</v>
      </c>
      <c r="AC19" s="10">
        <f t="shared" si="11"/>
        <v>1.7393978079195505</v>
      </c>
      <c r="AD19" s="11">
        <f t="shared" si="12"/>
        <v>731.24684454994394</v>
      </c>
    </row>
    <row r="20" spans="2:30" x14ac:dyDescent="0.2">
      <c r="B20" s="17">
        <v>39994</v>
      </c>
      <c r="C20" s="15">
        <f t="shared" si="13"/>
        <v>46</v>
      </c>
      <c r="D20" s="37">
        <f t="shared" si="13"/>
        <v>18460.541408360004</v>
      </c>
      <c r="E20" s="37">
        <f t="shared" si="13"/>
        <v>81210.623191177845</v>
      </c>
      <c r="F20" s="37">
        <f t="shared" si="13"/>
        <v>13667.152775764465</v>
      </c>
      <c r="G20" s="37">
        <f t="shared" si="13"/>
        <v>23952.910591125488</v>
      </c>
      <c r="H20" s="37">
        <f t="shared" si="13"/>
        <v>4498.7315960526466</v>
      </c>
      <c r="I20" s="38">
        <f t="shared" si="13"/>
        <v>2.8198439667051618</v>
      </c>
      <c r="J20" s="38">
        <f t="shared" si="13"/>
        <v>4.8992127331235</v>
      </c>
      <c r="K20" s="37">
        <f t="shared" si="13"/>
        <v>16.829267205092904</v>
      </c>
      <c r="L20" s="37">
        <f t="shared" si="13"/>
        <v>74.034409248556415</v>
      </c>
      <c r="M20" s="37">
        <f t="shared" si="13"/>
        <v>22.731682978102587</v>
      </c>
      <c r="N20" s="37">
        <f t="shared" si="13"/>
        <v>1102.1607689858483</v>
      </c>
      <c r="P20" s="3">
        <f t="shared" si="1"/>
        <v>390.85877871237847</v>
      </c>
      <c r="Q20" s="4">
        <f t="shared" si="2"/>
        <v>2.2617923008312197</v>
      </c>
      <c r="R20" s="4">
        <f t="shared" si="3"/>
        <v>4.9571392542916026</v>
      </c>
      <c r="S20" s="3">
        <f t="shared" si="4"/>
        <v>236.36184513193544</v>
      </c>
      <c r="U20" s="4">
        <f t="shared" si="5"/>
        <v>3.9036228416453693</v>
      </c>
      <c r="V20" s="4">
        <f t="shared" si="6"/>
        <v>3.1667513414342974</v>
      </c>
      <c r="W20" s="11">
        <f t="shared" si="7"/>
        <v>270.26176523634632</v>
      </c>
      <c r="Y20" s="11">
        <f t="shared" si="8"/>
        <v>168.27979936336408</v>
      </c>
      <c r="Z20" s="10">
        <f t="shared" si="9"/>
        <v>13.923792654192058</v>
      </c>
      <c r="AA20" s="10">
        <f t="shared" si="10"/>
        <v>8.2741913805866965</v>
      </c>
      <c r="AC20" s="10">
        <f t="shared" si="11"/>
        <v>1.4462229918855485</v>
      </c>
      <c r="AD20" s="11">
        <f t="shared" si="12"/>
        <v>386.95515587073311</v>
      </c>
    </row>
    <row r="21" spans="2:30" x14ac:dyDescent="0.2">
      <c r="B21" s="17">
        <v>40086</v>
      </c>
      <c r="C21" s="15">
        <f t="shared" si="13"/>
        <v>46</v>
      </c>
      <c r="D21" s="37">
        <f t="shared" si="13"/>
        <v>13245.873794853687</v>
      </c>
      <c r="E21" s="37">
        <f t="shared" si="13"/>
        <v>80452.391471207142</v>
      </c>
      <c r="F21" s="37">
        <f t="shared" si="13"/>
        <v>15973.647519111633</v>
      </c>
      <c r="G21" s="37">
        <f t="shared" si="13"/>
        <v>21482.76685333252</v>
      </c>
      <c r="H21" s="37">
        <f t="shared" si="13"/>
        <v>4365.4440134316683</v>
      </c>
      <c r="I21" s="38">
        <f t="shared" si="13"/>
        <v>3.0014171075963256</v>
      </c>
      <c r="J21" s="38">
        <f t="shared" si="13"/>
        <v>4.5367290740180284</v>
      </c>
      <c r="K21" s="37">
        <f t="shared" si="13"/>
        <v>19.854782719328355</v>
      </c>
      <c r="L21" s="37">
        <f t="shared" si="13"/>
        <v>120.59338452490576</v>
      </c>
      <c r="M21" s="37">
        <f t="shared" si="13"/>
        <v>16.46423872880673</v>
      </c>
      <c r="N21" s="37">
        <f t="shared" si="13"/>
        <v>735.00492753632034</v>
      </c>
      <c r="P21" s="3">
        <f t="shared" si="1"/>
        <v>244.88596592459169</v>
      </c>
      <c r="Q21" s="4">
        <f t="shared" si="2"/>
        <v>2.2617923008312197</v>
      </c>
      <c r="R21" s="4">
        <f t="shared" si="3"/>
        <v>4.9571392542916026</v>
      </c>
      <c r="S21" s="3">
        <f t="shared" si="4"/>
        <v>236.36184513193544</v>
      </c>
      <c r="U21" s="4">
        <f t="shared" si="5"/>
        <v>3.9282106953526319</v>
      </c>
      <c r="V21" s="4">
        <f t="shared" si="6"/>
        <v>2.9971602847898038</v>
      </c>
      <c r="W21" s="11">
        <f t="shared" si="7"/>
        <v>201.87308204679005</v>
      </c>
      <c r="Y21" s="11">
        <f t="shared" si="8"/>
        <v>214.90851140508354</v>
      </c>
      <c r="Z21" s="10">
        <f t="shared" si="9"/>
        <v>15.600856424331019</v>
      </c>
      <c r="AA21" s="10">
        <f t="shared" si="10"/>
        <v>7.2593013288918939</v>
      </c>
      <c r="AC21" s="10">
        <f t="shared" si="11"/>
        <v>1.2130689413451969</v>
      </c>
      <c r="AD21" s="11">
        <f t="shared" si="12"/>
        <v>240.95775522923907</v>
      </c>
    </row>
    <row r="22" spans="2:30" x14ac:dyDescent="0.2">
      <c r="B22" s="17">
        <v>40178</v>
      </c>
      <c r="C22" s="15">
        <f t="shared" si="13"/>
        <v>48</v>
      </c>
      <c r="D22" s="37">
        <f t="shared" si="13"/>
        <v>13768.993638575077</v>
      </c>
      <c r="E22" s="37">
        <f t="shared" si="13"/>
        <v>90444.980880081654</v>
      </c>
      <c r="F22" s="37">
        <f t="shared" si="13"/>
        <v>23010.228530883789</v>
      </c>
      <c r="G22" s="37">
        <f t="shared" si="13"/>
        <v>23106.466915130615</v>
      </c>
      <c r="H22" s="37">
        <f t="shared" si="13"/>
        <v>4669.0839875340462</v>
      </c>
      <c r="I22" s="38">
        <f t="shared" si="13"/>
        <v>2.9184363233411563</v>
      </c>
      <c r="J22" s="38">
        <f t="shared" si="13"/>
        <v>4.8693706465091395</v>
      </c>
      <c r="K22" s="37">
        <f t="shared" si="13"/>
        <v>25.44113372238132</v>
      </c>
      <c r="L22" s="37">
        <f t="shared" si="13"/>
        <v>167.11626960461771</v>
      </c>
      <c r="M22" s="37">
        <f t="shared" si="13"/>
        <v>15.223612747324234</v>
      </c>
      <c r="N22" s="37">
        <f t="shared" si="13"/>
        <v>693.57716215491291</v>
      </c>
      <c r="P22" s="3">
        <f t="shared" si="1"/>
        <v>237.65369030250926</v>
      </c>
      <c r="Q22" s="4">
        <f t="shared" si="2"/>
        <v>2.2617923008312197</v>
      </c>
      <c r="R22" s="4">
        <f t="shared" si="3"/>
        <v>4.9571392542916026</v>
      </c>
      <c r="S22" s="3">
        <f t="shared" si="4"/>
        <v>236.36184513193544</v>
      </c>
      <c r="U22" s="4">
        <f t="shared" si="5"/>
        <v>3.7514726404006264</v>
      </c>
      <c r="V22" s="4">
        <f t="shared" si="6"/>
        <v>3.0792113795260452</v>
      </c>
      <c r="W22" s="11">
        <f t="shared" si="7"/>
        <v>170.33310948837416</v>
      </c>
      <c r="Y22" s="11">
        <f t="shared" si="8"/>
        <v>217.42356577745147</v>
      </c>
      <c r="Z22" s="10">
        <f t="shared" si="9"/>
        <v>16.597666936915509</v>
      </c>
      <c r="AA22" s="10">
        <f t="shared" si="10"/>
        <v>7.6337939162971891</v>
      </c>
      <c r="AC22" s="10">
        <f t="shared" si="11"/>
        <v>1.3952289781848313</v>
      </c>
      <c r="AD22" s="11">
        <f t="shared" si="12"/>
        <v>233.90221766210863</v>
      </c>
    </row>
    <row r="23" spans="2:30" x14ac:dyDescent="0.2">
      <c r="B23" s="17">
        <v>40268</v>
      </c>
      <c r="C23" s="15">
        <f t="shared" si="13"/>
        <v>49</v>
      </c>
      <c r="D23" s="37">
        <f t="shared" si="13"/>
        <v>15386.808031320572</v>
      </c>
      <c r="E23" s="37">
        <f t="shared" si="13"/>
        <v>94477.852571487427</v>
      </c>
      <c r="F23" s="37">
        <f t="shared" si="13"/>
        <v>27305.077628612518</v>
      </c>
      <c r="G23" s="37">
        <f t="shared" si="13"/>
        <v>25483.155303955078</v>
      </c>
      <c r="H23" s="37">
        <f t="shared" si="13"/>
        <v>5145.5362133979797</v>
      </c>
      <c r="I23" s="38">
        <f t="shared" si="13"/>
        <v>2.6359677261963492</v>
      </c>
      <c r="J23" s="38">
        <f t="shared" si="13"/>
        <v>4.9017819807040821</v>
      </c>
      <c r="K23" s="37">
        <f t="shared" si="13"/>
        <v>28.91432057769061</v>
      </c>
      <c r="L23" s="37">
        <f t="shared" si="13"/>
        <v>176.74207395609801</v>
      </c>
      <c r="M23" s="37">
        <f t="shared" si="13"/>
        <v>16.359613718730497</v>
      </c>
      <c r="N23" s="37">
        <f t="shared" si="13"/>
        <v>581.71816075092568</v>
      </c>
      <c r="P23" s="3">
        <f t="shared" si="1"/>
        <v>220.68485701466983</v>
      </c>
      <c r="Q23" s="4">
        <f t="shared" si="2"/>
        <v>2.2617923008312197</v>
      </c>
      <c r="R23" s="4">
        <f t="shared" si="3"/>
        <v>4.9571392542916026</v>
      </c>
      <c r="S23" s="3">
        <f t="shared" si="4"/>
        <v>236.36184513193544</v>
      </c>
      <c r="U23" s="4">
        <f t="shared" si="5"/>
        <v>3.4948412400017572</v>
      </c>
      <c r="V23" s="4">
        <f t="shared" si="6"/>
        <v>3.2116312973392924</v>
      </c>
      <c r="W23" s="11">
        <f t="shared" si="7"/>
        <v>167.10344187185635</v>
      </c>
      <c r="Y23" s="11">
        <f t="shared" si="8"/>
        <v>195.77643216519365</v>
      </c>
      <c r="Z23" s="10">
        <f t="shared" si="9"/>
        <v>15.81754682151136</v>
      </c>
      <c r="AA23" s="10">
        <f t="shared" si="10"/>
        <v>8.0793927269880559</v>
      </c>
      <c r="AC23" s="10">
        <f t="shared" si="11"/>
        <v>1.3206481837992452</v>
      </c>
      <c r="AD23" s="11">
        <f t="shared" si="12"/>
        <v>217.19001577466807</v>
      </c>
    </row>
    <row r="24" spans="2:30" x14ac:dyDescent="0.2">
      <c r="B24" s="17">
        <v>40359</v>
      </c>
      <c r="C24" s="15">
        <f t="shared" si="13"/>
        <v>49</v>
      </c>
      <c r="D24" s="37">
        <f t="shared" si="13"/>
        <v>15841.10949754715</v>
      </c>
      <c r="E24" s="37">
        <f t="shared" si="13"/>
        <v>93997.686019897461</v>
      </c>
      <c r="F24" s="37">
        <f t="shared" si="13"/>
        <v>26685.300213813782</v>
      </c>
      <c r="G24" s="37">
        <f t="shared" si="13"/>
        <v>27781.878883361816</v>
      </c>
      <c r="H24" s="37">
        <f t="shared" si="13"/>
        <v>5548.075630068779</v>
      </c>
      <c r="I24" s="38">
        <f t="shared" si="13"/>
        <v>2.4228881742910535</v>
      </c>
      <c r="J24" s="38">
        <f t="shared" si="13"/>
        <v>4.9556778815538216</v>
      </c>
      <c r="K24" s="37">
        <f t="shared" si="13"/>
        <v>28.410740290589604</v>
      </c>
      <c r="L24" s="37">
        <f t="shared" si="13"/>
        <v>167.81519133424612</v>
      </c>
      <c r="M24" s="37">
        <f t="shared" si="13"/>
        <v>16.929778564565392</v>
      </c>
      <c r="N24" s="37">
        <f t="shared" si="13"/>
        <v>648.93795151801373</v>
      </c>
      <c r="P24" s="3">
        <f t="shared" si="1"/>
        <v>267.83652601214067</v>
      </c>
      <c r="Q24" s="4">
        <f t="shared" si="2"/>
        <v>2.2617923008312197</v>
      </c>
      <c r="R24" s="4">
        <f t="shared" si="3"/>
        <v>4.9571392542916026</v>
      </c>
      <c r="S24" s="3">
        <f t="shared" si="4"/>
        <v>236.36184513193544</v>
      </c>
      <c r="U24" s="4">
        <f t="shared" si="5"/>
        <v>3.3487989489502081</v>
      </c>
      <c r="V24" s="4">
        <f t="shared" si="6"/>
        <v>3.299835015588847</v>
      </c>
      <c r="W24" s="11">
        <f t="shared" si="7"/>
        <v>212.91215473640585</v>
      </c>
      <c r="Y24" s="11">
        <f t="shared" si="8"/>
        <v>182.66616769944227</v>
      </c>
      <c r="Z24" s="10">
        <f t="shared" si="9"/>
        <v>14.729895125503809</v>
      </c>
      <c r="AA24" s="10">
        <f t="shared" si="10"/>
        <v>8.063833227037577</v>
      </c>
      <c r="AC24" s="10">
        <f t="shared" si="11"/>
        <v>1.2579672886394555</v>
      </c>
      <c r="AD24" s="11">
        <f t="shared" si="12"/>
        <v>264.48772706319045</v>
      </c>
    </row>
    <row r="25" spans="2:30" x14ac:dyDescent="0.2">
      <c r="B25" s="17">
        <v>40451</v>
      </c>
      <c r="C25" s="15">
        <f t="shared" si="13"/>
        <v>53</v>
      </c>
      <c r="D25" s="37">
        <f t="shared" si="13"/>
        <v>20220.245288491249</v>
      </c>
      <c r="E25" s="37">
        <f t="shared" si="13"/>
        <v>118187.41080093384</v>
      </c>
      <c r="F25" s="37">
        <f t="shared" si="13"/>
        <v>37506.739164829254</v>
      </c>
      <c r="G25" s="37">
        <f t="shared" si="13"/>
        <v>34110.209590911865</v>
      </c>
      <c r="H25" s="37">
        <f t="shared" si="13"/>
        <v>6974.3277144432068</v>
      </c>
      <c r="I25" s="38">
        <f t="shared" si="13"/>
        <v>2.3652939282319947</v>
      </c>
      <c r="J25" s="38">
        <f t="shared" si="13"/>
        <v>4.8543863553902868</v>
      </c>
      <c r="K25" s="37">
        <f t="shared" si="13"/>
        <v>31.769582029514819</v>
      </c>
      <c r="L25" s="37">
        <f t="shared" si="13"/>
        <v>185.01437857319192</v>
      </c>
      <c r="M25" s="37">
        <f t="shared" si="13"/>
        <v>17.171412446166574</v>
      </c>
      <c r="N25" s="37">
        <f t="shared" si="13"/>
        <v>566.52310658842737</v>
      </c>
      <c r="P25" s="3">
        <f t="shared" si="1"/>
        <v>239.51488642762084</v>
      </c>
      <c r="Q25" s="4">
        <f t="shared" si="2"/>
        <v>2.2617923008312197</v>
      </c>
      <c r="R25" s="4">
        <f t="shared" si="3"/>
        <v>4.9571392542916026</v>
      </c>
      <c r="S25" s="3">
        <f t="shared" si="4"/>
        <v>236.36184513193544</v>
      </c>
      <c r="U25" s="4">
        <f t="shared" si="5"/>
        <v>3.2540313498326441</v>
      </c>
      <c r="V25" s="4">
        <f t="shared" si="6"/>
        <v>3.4123651272044659</v>
      </c>
      <c r="W25" s="11">
        <f t="shared" si="7"/>
        <v>192.37675753560131</v>
      </c>
      <c r="Y25" s="11">
        <f t="shared" si="8"/>
        <v>199.69583981212898</v>
      </c>
      <c r="Z25" s="10">
        <f t="shared" si="9"/>
        <v>15.510622172019673</v>
      </c>
      <c r="AA25" s="10">
        <f t="shared" si="10"/>
        <v>7.7671233344729886</v>
      </c>
      <c r="AC25" s="10">
        <f t="shared" si="11"/>
        <v>1.2450302702669065</v>
      </c>
      <c r="AD25" s="11">
        <f t="shared" si="12"/>
        <v>236.26085507778819</v>
      </c>
    </row>
    <row r="26" spans="2:30" x14ac:dyDescent="0.2">
      <c r="B26" s="17">
        <v>40543</v>
      </c>
      <c r="C26" s="15">
        <f t="shared" si="13"/>
        <v>54</v>
      </c>
      <c r="D26" s="37">
        <f t="shared" si="13"/>
        <v>20491.007724404335</v>
      </c>
      <c r="E26" s="37">
        <f t="shared" si="13"/>
        <v>122626.95128631592</v>
      </c>
      <c r="F26" s="37">
        <f t="shared" si="13"/>
        <v>30261.664317131042</v>
      </c>
      <c r="G26" s="37">
        <f t="shared" si="13"/>
        <v>33633.513553619385</v>
      </c>
      <c r="H26" s="37">
        <f t="shared" si="13"/>
        <v>7255.3392355442047</v>
      </c>
      <c r="I26" s="38">
        <f t="shared" si="13"/>
        <v>2.7462277118902203</v>
      </c>
      <c r="J26" s="38">
        <f t="shared" si="13"/>
        <v>4.6087129319656892</v>
      </c>
      <c r="K26" s="37">
        <f t="shared" si="13"/>
        <v>24.67782489876512</v>
      </c>
      <c r="L26" s="37">
        <f t="shared" si="13"/>
        <v>147.68265535857503</v>
      </c>
      <c r="M26" s="37">
        <f t="shared" si="13"/>
        <v>16.710036015297195</v>
      </c>
      <c r="N26" s="37">
        <f t="shared" si="13"/>
        <v>526.59728954746333</v>
      </c>
      <c r="P26" s="3">
        <f t="shared" si="1"/>
        <v>191.75295889247582</v>
      </c>
      <c r="Q26" s="4">
        <f t="shared" si="2"/>
        <v>2.2617923008312197</v>
      </c>
      <c r="R26" s="4">
        <f t="shared" si="3"/>
        <v>4.9571392542916026</v>
      </c>
      <c r="S26" s="3">
        <f t="shared" si="4"/>
        <v>236.36184513193544</v>
      </c>
      <c r="U26" s="4">
        <f t="shared" si="5"/>
        <v>3.3876055476208147</v>
      </c>
      <c r="V26" s="4">
        <f t="shared" si="6"/>
        <v>3.3332969211835706</v>
      </c>
      <c r="W26" s="11">
        <f t="shared" si="7"/>
        <v>159.69982112585555</v>
      </c>
      <c r="Y26" s="11">
        <f t="shared" si="8"/>
        <v>178.33179303719965</v>
      </c>
      <c r="Z26" s="10">
        <f t="shared" si="9"/>
        <v>14.508676190463095</v>
      </c>
      <c r="AA26" s="10">
        <f t="shared" si="10"/>
        <v>8.1357765451484116</v>
      </c>
      <c r="AC26" s="10">
        <f t="shared" si="11"/>
        <v>1.2007086641716396</v>
      </c>
      <c r="AD26" s="11">
        <f t="shared" si="12"/>
        <v>188.36535334485501</v>
      </c>
    </row>
    <row r="27" spans="2:30" x14ac:dyDescent="0.2">
      <c r="B27" s="17">
        <v>40633</v>
      </c>
      <c r="C27" s="15">
        <f t="shared" ref="C27:N32" si="14">VLOOKUP(lookup&amp;$B27,EMdata,MATCH(C$3,TopRow,0),FALSE)</f>
        <v>54</v>
      </c>
      <c r="D27" s="37">
        <f t="shared" si="14"/>
        <v>20143.20206502825</v>
      </c>
      <c r="E27" s="37">
        <f t="shared" si="14"/>
        <v>123540.63641738892</v>
      </c>
      <c r="F27" s="37">
        <f t="shared" si="14"/>
        <v>26996.387733459473</v>
      </c>
      <c r="G27" s="37">
        <f t="shared" si="14"/>
        <v>35192.614936828613</v>
      </c>
      <c r="H27" s="37">
        <f t="shared" si="14"/>
        <v>7514.1283550262451</v>
      </c>
      <c r="I27" s="38">
        <f t="shared" si="14"/>
        <v>2.7433098920676438</v>
      </c>
      <c r="J27" s="38">
        <f t="shared" si="14"/>
        <v>4.6399937411197847</v>
      </c>
      <c r="K27" s="37">
        <f t="shared" si="14"/>
        <v>21.852233011209911</v>
      </c>
      <c r="L27" s="37">
        <f t="shared" si="14"/>
        <v>134.02232498242881</v>
      </c>
      <c r="M27" s="37">
        <f t="shared" si="14"/>
        <v>16.304920104971227</v>
      </c>
      <c r="N27" s="37">
        <f t="shared" si="14"/>
        <v>448.50246762804989</v>
      </c>
      <c r="P27" s="3">
        <f t="shared" si="1"/>
        <v>163.48953828545115</v>
      </c>
      <c r="Q27" s="4">
        <f t="shared" si="2"/>
        <v>2.2617923008312197</v>
      </c>
      <c r="R27" s="4">
        <f t="shared" si="3"/>
        <v>4.9571392542916026</v>
      </c>
      <c r="S27" s="3">
        <f t="shared" si="4"/>
        <v>236.36184513193544</v>
      </c>
      <c r="U27" s="4">
        <f t="shared" si="5"/>
        <v>3.3828778968210775</v>
      </c>
      <c r="V27" s="4">
        <f t="shared" si="6"/>
        <v>3.3385097892432811</v>
      </c>
      <c r="W27" s="11">
        <f t="shared" si="7"/>
        <v>141.00420250114303</v>
      </c>
      <c r="Y27" s="11">
        <f t="shared" si="8"/>
        <v>180.41653590714409</v>
      </c>
      <c r="Z27" s="10">
        <f t="shared" si="9"/>
        <v>14.590072070210802</v>
      </c>
      <c r="AA27" s="10">
        <f t="shared" si="10"/>
        <v>8.0868818353324041</v>
      </c>
      <c r="AC27" s="10">
        <f t="shared" si="11"/>
        <v>1.1594657136841424</v>
      </c>
      <c r="AD27" s="11">
        <f t="shared" si="12"/>
        <v>160.10666038863008</v>
      </c>
    </row>
    <row r="28" spans="2:30" x14ac:dyDescent="0.2">
      <c r="B28" s="17">
        <v>40724</v>
      </c>
      <c r="C28" s="15">
        <f t="shared" si="14"/>
        <v>55</v>
      </c>
      <c r="D28" s="37">
        <f t="shared" si="14"/>
        <v>20153.890216827393</v>
      </c>
      <c r="E28" s="37">
        <f t="shared" si="14"/>
        <v>124858.78155517578</v>
      </c>
      <c r="F28" s="37">
        <f t="shared" si="14"/>
        <v>31867.768768310547</v>
      </c>
      <c r="G28" s="37">
        <f t="shared" si="14"/>
        <v>32670.401161193848</v>
      </c>
      <c r="H28" s="37">
        <f t="shared" si="14"/>
        <v>7686.8112499713898</v>
      </c>
      <c r="I28" s="38">
        <f t="shared" si="14"/>
        <v>2.8463382597615809</v>
      </c>
      <c r="J28" s="38">
        <f t="shared" si="14"/>
        <v>4.2195420196940763</v>
      </c>
      <c r="K28" s="37">
        <f t="shared" si="14"/>
        <v>25.468554290882643</v>
      </c>
      <c r="L28" s="37">
        <f t="shared" si="14"/>
        <v>157.37385400356715</v>
      </c>
      <c r="M28" s="37">
        <f t="shared" si="14"/>
        <v>16.183472440285641</v>
      </c>
      <c r="N28" s="37">
        <f t="shared" si="14"/>
        <v>543.03912357550337</v>
      </c>
      <c r="P28" s="3">
        <f t="shared" si="1"/>
        <v>190.78516817638891</v>
      </c>
      <c r="Q28" s="4">
        <f t="shared" si="2"/>
        <v>2.2617923008312197</v>
      </c>
      <c r="R28" s="4">
        <f t="shared" si="3"/>
        <v>4.9571392542916026</v>
      </c>
      <c r="S28" s="3">
        <f t="shared" si="4"/>
        <v>236.36184513193544</v>
      </c>
      <c r="U28" s="4">
        <f t="shared" si="5"/>
        <v>3.4619367020940128</v>
      </c>
      <c r="V28" s="4">
        <f t="shared" si="6"/>
        <v>3.4719927516496685</v>
      </c>
      <c r="W28" s="11">
        <f t="shared" si="7"/>
        <v>156.55976600385611</v>
      </c>
      <c r="Y28" s="11">
        <f t="shared" si="8"/>
        <v>175.68691951430844</v>
      </c>
      <c r="Z28" s="10">
        <f t="shared" si="9"/>
        <v>13.828415093843208</v>
      </c>
      <c r="AA28" s="10">
        <f t="shared" si="10"/>
        <v>7.8710555868770768</v>
      </c>
      <c r="AC28" s="10">
        <f t="shared" si="11"/>
        <v>1.2186091806734676</v>
      </c>
      <c r="AD28" s="11">
        <f t="shared" si="12"/>
        <v>187.32323147429489</v>
      </c>
    </row>
    <row r="29" spans="2:30" x14ac:dyDescent="0.2">
      <c r="B29" s="17">
        <v>40816</v>
      </c>
      <c r="C29" s="15">
        <f t="shared" si="14"/>
        <v>56</v>
      </c>
      <c r="D29" s="37">
        <f t="shared" si="14"/>
        <v>19156.039330005646</v>
      </c>
      <c r="E29" s="37">
        <f t="shared" si="14"/>
        <v>119637.81114196777</v>
      </c>
      <c r="F29" s="37">
        <f t="shared" si="14"/>
        <v>28407.264148712158</v>
      </c>
      <c r="G29" s="37">
        <f t="shared" si="14"/>
        <v>33872.820011138916</v>
      </c>
      <c r="H29" s="37">
        <f t="shared" si="14"/>
        <v>8066.0882248878479</v>
      </c>
      <c r="I29" s="38">
        <f t="shared" si="14"/>
        <v>2.6933260048397174</v>
      </c>
      <c r="J29" s="38">
        <f t="shared" si="14"/>
        <v>4.1596713160365049</v>
      </c>
      <c r="K29" s="37">
        <f t="shared" si="14"/>
        <v>23.721428470934356</v>
      </c>
      <c r="L29" s="37">
        <f t="shared" si="14"/>
        <v>147.74819921866666</v>
      </c>
      <c r="M29" s="37">
        <f t="shared" si="14"/>
        <v>16.055308014838644</v>
      </c>
      <c r="N29" s="37">
        <f t="shared" si="14"/>
        <v>944.39173386396874</v>
      </c>
      <c r="P29" s="3">
        <f t="shared" si="1"/>
        <v>350.64144933326423</v>
      </c>
      <c r="Q29" s="4">
        <f t="shared" si="2"/>
        <v>2.2617923008312197</v>
      </c>
      <c r="R29" s="4">
        <f t="shared" si="3"/>
        <v>4.9571392542916026</v>
      </c>
      <c r="S29" s="3">
        <f t="shared" si="4"/>
        <v>236.36184513193544</v>
      </c>
      <c r="U29" s="4">
        <f t="shared" si="5"/>
        <v>3.3834363596068306</v>
      </c>
      <c r="V29" s="4">
        <f t="shared" si="6"/>
        <v>3.5758754550133425</v>
      </c>
      <c r="W29" s="11">
        <f t="shared" si="7"/>
        <v>248.56385952467795</v>
      </c>
      <c r="Y29" s="11">
        <f t="shared" si="8"/>
        <v>165.06149193798382</v>
      </c>
      <c r="Z29" s="10">
        <f t="shared" si="9"/>
        <v>13.079975972953278</v>
      </c>
      <c r="AA29" s="10">
        <f t="shared" si="10"/>
        <v>7.9243049480418062</v>
      </c>
      <c r="AC29" s="10">
        <f t="shared" si="11"/>
        <v>1.4106694754570779</v>
      </c>
      <c r="AD29" s="11">
        <f t="shared" si="12"/>
        <v>347.2580129736574</v>
      </c>
    </row>
    <row r="30" spans="2:30" x14ac:dyDescent="0.2">
      <c r="B30" s="17">
        <v>40908</v>
      </c>
      <c r="C30" s="15">
        <f t="shared" si="14"/>
        <v>47</v>
      </c>
      <c r="D30" s="37">
        <f t="shared" si="14"/>
        <v>21392.108980894089</v>
      </c>
      <c r="E30" s="37">
        <f t="shared" si="14"/>
        <v>111111.75735473633</v>
      </c>
      <c r="F30" s="37">
        <f t="shared" si="14"/>
        <v>26494.841153144836</v>
      </c>
      <c r="G30" s="37">
        <f t="shared" si="14"/>
        <v>31518.938289642334</v>
      </c>
      <c r="H30" s="37">
        <f t="shared" si="14"/>
        <v>9089.3536987304687</v>
      </c>
      <c r="I30" s="38">
        <f t="shared" si="14"/>
        <v>2.6846372623343746</v>
      </c>
      <c r="J30" s="38">
        <f t="shared" si="14"/>
        <v>3.4676765075216136</v>
      </c>
      <c r="K30" s="37">
        <f t="shared" si="14"/>
        <v>23.845218349447201</v>
      </c>
      <c r="L30" s="37">
        <f t="shared" si="14"/>
        <v>123.85333852220062</v>
      </c>
      <c r="M30" s="37">
        <f t="shared" si="14"/>
        <v>19.252786104892088</v>
      </c>
      <c r="N30" s="37">
        <f t="shared" si="14"/>
        <v>859.68205496049256</v>
      </c>
      <c r="P30" s="3">
        <f t="shared" si="1"/>
        <v>320.22279770227601</v>
      </c>
      <c r="Q30" s="4">
        <f t="shared" si="2"/>
        <v>2.2617923008312197</v>
      </c>
      <c r="R30" s="4">
        <f t="shared" si="3"/>
        <v>4.9571392542916026</v>
      </c>
      <c r="S30" s="3">
        <f t="shared" si="4"/>
        <v>236.36184513193544</v>
      </c>
      <c r="U30" s="4">
        <f t="shared" si="5"/>
        <v>3.3315981005776778</v>
      </c>
      <c r="V30" s="4">
        <f t="shared" si="6"/>
        <v>3.5947683722234411</v>
      </c>
      <c r="W30" s="11">
        <f t="shared" si="7"/>
        <v>217.01297040439434</v>
      </c>
      <c r="Y30" s="11">
        <f t="shared" si="8"/>
        <v>187.78538098661838</v>
      </c>
      <c r="Z30" s="10">
        <f t="shared" si="9"/>
        <v>13.373596013120354</v>
      </c>
      <c r="AA30" s="10">
        <f t="shared" si="10"/>
        <v>7.1217450170273686</v>
      </c>
      <c r="AC30" s="10">
        <f t="shared" si="11"/>
        <v>1.4755928970768641</v>
      </c>
      <c r="AD30" s="11">
        <f t="shared" si="12"/>
        <v>316.89119960169836</v>
      </c>
    </row>
    <row r="31" spans="2:30" x14ac:dyDescent="0.2">
      <c r="B31" s="17">
        <f>DATE(YEAR(B30),MONTH(B30)+4,0)</f>
        <v>40999</v>
      </c>
      <c r="C31" s="15">
        <f t="shared" si="14"/>
        <v>45</v>
      </c>
      <c r="D31" s="37">
        <f t="shared" si="14"/>
        <v>18418.864486694336</v>
      </c>
      <c r="E31" s="37">
        <f t="shared" si="14"/>
        <v>102949.2110748291</v>
      </c>
      <c r="F31" s="37">
        <f t="shared" si="14"/>
        <v>21144.479801654816</v>
      </c>
      <c r="G31" s="37">
        <f t="shared" si="14"/>
        <v>28372.200471878052</v>
      </c>
      <c r="H31" s="37">
        <f t="shared" si="14"/>
        <v>8452.3590211868286</v>
      </c>
      <c r="I31" s="38">
        <f t="shared" si="14"/>
        <v>2.883270592785268</v>
      </c>
      <c r="J31" s="38">
        <f t="shared" si="14"/>
        <v>3.3105821723374742</v>
      </c>
      <c r="K31" s="37">
        <f t="shared" si="14"/>
        <v>20.528150796104459</v>
      </c>
      <c r="L31" s="37">
        <f t="shared" si="14"/>
        <v>114.37650142858699</v>
      </c>
      <c r="M31" s="37">
        <f t="shared" si="14"/>
        <v>17.947874379530287</v>
      </c>
      <c r="N31" s="37">
        <f t="shared" si="14"/>
        <v>677.77041813462802</v>
      </c>
      <c r="P31" s="3">
        <f t="shared" si="1"/>
        <v>235.06999996136162</v>
      </c>
      <c r="Q31" s="4">
        <f t="shared" si="2"/>
        <v>2.2617923008312197</v>
      </c>
      <c r="R31" s="4">
        <f t="shared" si="3"/>
        <v>4.9571392542916026</v>
      </c>
      <c r="S31" s="3">
        <f t="shared" si="4"/>
        <v>236.36184513193544</v>
      </c>
      <c r="U31" s="4">
        <f t="shared" si="5"/>
        <v>3.4887520470133158</v>
      </c>
      <c r="V31" s="4">
        <f t="shared" si="6"/>
        <v>3.5635466112081389</v>
      </c>
      <c r="W31" s="11">
        <f t="shared" si="7"/>
        <v>171.6946323292874</v>
      </c>
      <c r="Y31" s="11">
        <f t="shared" si="8"/>
        <v>183.91776626198012</v>
      </c>
      <c r="Z31" s="10">
        <f t="shared" si="9"/>
        <v>12.772510027030961</v>
      </c>
      <c r="AA31" s="10">
        <f t="shared" si="10"/>
        <v>6.9446852724588153</v>
      </c>
      <c r="AC31" s="10">
        <f t="shared" si="11"/>
        <v>1.3691167672063778</v>
      </c>
      <c r="AD31" s="11">
        <f t="shared" si="12"/>
        <v>231.5812479143483</v>
      </c>
    </row>
    <row r="32" spans="2:30" x14ac:dyDescent="0.2">
      <c r="B32" s="17">
        <f>DATE(YEAR(B31),MONTH(B31)+4,0)</f>
        <v>41090</v>
      </c>
      <c r="C32" s="15">
        <f t="shared" si="14"/>
        <v>44</v>
      </c>
      <c r="D32" s="37">
        <f t="shared" si="14"/>
        <v>14841.113869428635</v>
      </c>
      <c r="E32" s="37">
        <f t="shared" si="14"/>
        <v>92526.335983276367</v>
      </c>
      <c r="F32" s="37">
        <f t="shared" si="14"/>
        <v>18047.725224494934</v>
      </c>
      <c r="G32" s="37">
        <f t="shared" si="14"/>
        <v>25899.605737686157</v>
      </c>
      <c r="H32" s="37">
        <f t="shared" si="14"/>
        <v>8738.1040630340576</v>
      </c>
      <c r="I32" s="38">
        <f t="shared" si="14"/>
        <v>2.8756658117929819</v>
      </c>
      <c r="J32" s="38">
        <f t="shared" si="14"/>
        <v>2.7810673364972356</v>
      </c>
      <c r="K32" s="37">
        <f t="shared" si="14"/>
        <v>19.502700307025659</v>
      </c>
      <c r="L32" s="37">
        <f t="shared" si="14"/>
        <v>120.89145992551103</v>
      </c>
      <c r="M32" s="37">
        <f t="shared" si="14"/>
        <v>16.132405315514031</v>
      </c>
      <c r="N32" s="37">
        <f t="shared" si="14"/>
        <v>886.39256389675563</v>
      </c>
      <c r="P32" s="3">
        <f t="shared" si="1"/>
        <v>308.23907293458711</v>
      </c>
      <c r="Q32" s="4">
        <f t="shared" si="2"/>
        <v>2.2617923008312197</v>
      </c>
      <c r="R32" s="4">
        <f t="shared" si="3"/>
        <v>4.9571392542916026</v>
      </c>
      <c r="S32" s="3">
        <f t="shared" si="4"/>
        <v>236.36184513193544</v>
      </c>
      <c r="U32" s="4">
        <f t="shared" si="5"/>
        <v>3.5501297081383911</v>
      </c>
      <c r="V32" s="4">
        <f t="shared" si="6"/>
        <v>3.6715642182408774</v>
      </c>
      <c r="W32" s="11">
        <f t="shared" si="7"/>
        <v>181.40182273444293</v>
      </c>
      <c r="Y32" s="11">
        <f t="shared" si="8"/>
        <v>174.45269222873858</v>
      </c>
      <c r="Z32" s="10">
        <f t="shared" si="9"/>
        <v>12.801172950131734</v>
      </c>
      <c r="AA32" s="10">
        <f t="shared" si="10"/>
        <v>7.3379050713342471</v>
      </c>
      <c r="AC32" s="10">
        <f t="shared" si="11"/>
        <v>1.6992060404256428</v>
      </c>
      <c r="AD32" s="11">
        <f t="shared" si="12"/>
        <v>304.68894322644871</v>
      </c>
    </row>
    <row r="33" spans="4:25" x14ac:dyDescent="0.2">
      <c r="D33" s="37"/>
      <c r="E33" s="37"/>
      <c r="F33" s="37"/>
      <c r="G33" s="37"/>
      <c r="H33" s="37"/>
    </row>
    <row r="37" spans="4:25" x14ac:dyDescent="0.2">
      <c r="Y37" s="4"/>
    </row>
    <row r="38" spans="4:25" x14ac:dyDescent="0.2">
      <c r="Y38" s="4"/>
    </row>
    <row r="39" spans="4:25" x14ac:dyDescent="0.2">
      <c r="Y39" s="4"/>
    </row>
    <row r="40" spans="4:25" x14ac:dyDescent="0.2">
      <c r="Y40" s="4"/>
    </row>
    <row r="41" spans="4:25" x14ac:dyDescent="0.2">
      <c r="Y41" s="4"/>
    </row>
    <row r="42" spans="4:25" x14ac:dyDescent="0.2">
      <c r="Y42" s="4"/>
    </row>
    <row r="43" spans="4:25" x14ac:dyDescent="0.2">
      <c r="Y43" s="4"/>
    </row>
    <row r="44" spans="4:25" x14ac:dyDescent="0.2">
      <c r="Y44" s="4"/>
    </row>
    <row r="45" spans="4:25" x14ac:dyDescent="0.2">
      <c r="Y45" s="4"/>
    </row>
    <row r="46" spans="4:25" x14ac:dyDescent="0.2">
      <c r="Y46" s="4"/>
    </row>
    <row r="47" spans="4:25" x14ac:dyDescent="0.2">
      <c r="Y47" s="4"/>
    </row>
    <row r="48" spans="4:25" x14ac:dyDescent="0.2">
      <c r="Y48" s="4"/>
    </row>
    <row r="49" spans="18:25" x14ac:dyDescent="0.2">
      <c r="Y49" s="4"/>
    </row>
    <row r="50" spans="18:25" x14ac:dyDescent="0.2">
      <c r="Y50" s="4"/>
    </row>
    <row r="51" spans="18:25" x14ac:dyDescent="0.2">
      <c r="Y51" s="4"/>
    </row>
    <row r="52" spans="18:25" x14ac:dyDescent="0.2">
      <c r="Y52" s="4"/>
    </row>
    <row r="53" spans="18:25" x14ac:dyDescent="0.2">
      <c r="Y53" s="4"/>
    </row>
    <row r="54" spans="18:25" x14ac:dyDescent="0.2">
      <c r="Y54" s="4"/>
    </row>
    <row r="55" spans="18:25" x14ac:dyDescent="0.2">
      <c r="Y55" s="4"/>
    </row>
    <row r="56" spans="18:25" x14ac:dyDescent="0.2">
      <c r="R56" s="6"/>
      <c r="Y56" s="4"/>
    </row>
    <row r="57" spans="18:25" x14ac:dyDescent="0.2">
      <c r="Y57" s="4"/>
    </row>
    <row r="58" spans="18:25" x14ac:dyDescent="0.2">
      <c r="Y58" s="4"/>
    </row>
    <row r="59" spans="18:25" x14ac:dyDescent="0.2">
      <c r="Y59" s="4"/>
    </row>
    <row r="60" spans="18:25" x14ac:dyDescent="0.2">
      <c r="Y60" s="4"/>
    </row>
    <row r="61" spans="18:25" x14ac:dyDescent="0.2">
      <c r="Y61" s="4"/>
    </row>
  </sheetData>
  <mergeCells count="2">
    <mergeCell ref="D4:E4"/>
    <mergeCell ref="B2:C2"/>
  </mergeCells>
  <phoneticPr fontId="5" type="noConversion"/>
  <dataValidations count="1">
    <dataValidation type="list" allowBlank="1" showInputMessage="1" showErrorMessage="1" sqref="D4:E4">
      <formula1>DropdownEM</formula1>
    </dataValidation>
  </dataValidations>
  <pageMargins left="0.75" right="0.75" top="1" bottom="1" header="0.5" footer="0.5"/>
  <headerFooter alignWithMargins="0"/>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M28"/>
  <sheetViews>
    <sheetView topLeftCell="T1" zoomScale="85" workbookViewId="0">
      <pane ySplit="5" topLeftCell="A15" activePane="bottomLeft" state="frozen"/>
      <selection activeCell="D4" sqref="D4:E4"/>
      <selection pane="bottomLeft" activeCell="AC25" sqref="AC25"/>
    </sheetView>
  </sheetViews>
  <sheetFormatPr defaultRowHeight="12.75" x14ac:dyDescent="0.2"/>
  <cols>
    <col min="1" max="1" width="11.85546875" style="1" customWidth="1"/>
    <col min="2" max="2" width="14.85546875" style="1" customWidth="1"/>
    <col min="3" max="7" width="14.85546875" customWidth="1"/>
    <col min="8" max="8" width="1.7109375" customWidth="1"/>
    <col min="9" max="14" width="14.85546875" customWidth="1"/>
    <col min="15" max="15" width="1.7109375" customWidth="1"/>
    <col min="16" max="21" width="14.85546875" customWidth="1"/>
  </cols>
  <sheetData>
    <row r="1" spans="1:39" ht="18" x14ac:dyDescent="0.25">
      <c r="A1" s="33" t="s">
        <v>164</v>
      </c>
    </row>
    <row r="2" spans="1:39" x14ac:dyDescent="0.2">
      <c r="A2" s="91">
        <v>41090</v>
      </c>
      <c r="B2" s="92"/>
    </row>
    <row r="4" spans="1:39" ht="13.5" customHeight="1" x14ac:dyDescent="0.2">
      <c r="B4" s="93" t="s">
        <v>8</v>
      </c>
      <c r="C4" s="94"/>
      <c r="D4" s="94"/>
      <c r="E4" s="94"/>
      <c r="F4" s="94"/>
      <c r="G4" s="94"/>
      <c r="I4" s="93" t="s">
        <v>9</v>
      </c>
      <c r="J4" s="94"/>
      <c r="K4" s="94"/>
      <c r="L4" s="94"/>
      <c r="M4" s="94"/>
      <c r="N4" s="94"/>
      <c r="P4" s="93" t="s">
        <v>10</v>
      </c>
      <c r="Q4" s="94"/>
      <c r="R4" s="94"/>
      <c r="S4" s="94"/>
      <c r="T4" s="94"/>
      <c r="U4" s="94"/>
      <c r="W4" t="s">
        <v>59</v>
      </c>
      <c r="Z4" t="s">
        <v>343</v>
      </c>
      <c r="AC4" t="s">
        <v>287</v>
      </c>
      <c r="AF4" t="s">
        <v>344</v>
      </c>
    </row>
    <row r="5" spans="1:39" x14ac:dyDescent="0.2">
      <c r="A5" s="1" t="s">
        <v>0</v>
      </c>
      <c r="B5" s="1" t="s">
        <v>309</v>
      </c>
      <c r="C5" t="s">
        <v>310</v>
      </c>
      <c r="D5" t="s">
        <v>311</v>
      </c>
      <c r="E5" t="s">
        <v>312</v>
      </c>
      <c r="F5" t="s">
        <v>313</v>
      </c>
      <c r="G5" t="s">
        <v>314</v>
      </c>
      <c r="I5" t="s">
        <v>315</v>
      </c>
      <c r="J5" t="s">
        <v>316</v>
      </c>
      <c r="K5" t="s">
        <v>291</v>
      </c>
      <c r="L5" t="s">
        <v>292</v>
      </c>
      <c r="M5" t="s">
        <v>318</v>
      </c>
      <c r="N5" t="s">
        <v>293</v>
      </c>
      <c r="P5" t="s">
        <v>317</v>
      </c>
      <c r="Q5" t="s">
        <v>321</v>
      </c>
      <c r="R5" t="s">
        <v>291</v>
      </c>
      <c r="S5" t="s">
        <v>292</v>
      </c>
      <c r="T5" t="s">
        <v>319</v>
      </c>
      <c r="U5" t="s">
        <v>293</v>
      </c>
      <c r="W5" s="1" t="s">
        <v>341</v>
      </c>
      <c r="X5" t="s">
        <v>310</v>
      </c>
      <c r="Z5" s="1" t="s">
        <v>342</v>
      </c>
      <c r="AA5" t="s">
        <v>310</v>
      </c>
      <c r="AC5" s="1" t="s">
        <v>315</v>
      </c>
      <c r="AD5" t="s">
        <v>316</v>
      </c>
      <c r="AF5" s="1" t="s">
        <v>345</v>
      </c>
      <c r="AG5" t="s">
        <v>316</v>
      </c>
      <c r="AI5" s="1" t="s">
        <v>288</v>
      </c>
      <c r="AJ5" t="s">
        <v>321</v>
      </c>
      <c r="AL5" s="1"/>
    </row>
    <row r="6" spans="1:39" x14ac:dyDescent="0.2">
      <c r="A6" s="1">
        <v>39172</v>
      </c>
      <c r="B6" s="10">
        <v>4.4916938307340448</v>
      </c>
      <c r="C6" s="10">
        <v>19.633974465876889</v>
      </c>
      <c r="D6" s="10">
        <v>17.869295581819756</v>
      </c>
      <c r="E6" s="10">
        <v>14.611588840660961</v>
      </c>
      <c r="F6" s="10">
        <v>39.306342228926951</v>
      </c>
      <c r="G6" s="10">
        <v>33.936807266823912</v>
      </c>
      <c r="I6" s="10">
        <v>1.0681396067153681</v>
      </c>
      <c r="J6" s="10">
        <v>19.103365808936857</v>
      </c>
      <c r="K6" s="10">
        <v>13.725882415644296</v>
      </c>
      <c r="L6" s="10">
        <v>9.8609553802685213</v>
      </c>
      <c r="M6" s="10">
        <v>39.209766496894503</v>
      </c>
      <c r="N6" s="10">
        <v>34.847476208002838</v>
      </c>
      <c r="P6" s="10">
        <v>21.040195784196026</v>
      </c>
      <c r="Q6" s="10">
        <v>21.061836315479553</v>
      </c>
      <c r="R6" s="10">
        <v>28.377705489090399</v>
      </c>
      <c r="S6" s="10">
        <v>27.649489106320658</v>
      </c>
      <c r="T6" s="10">
        <v>39.548351820632135</v>
      </c>
      <c r="U6" s="10">
        <v>30.978561199794676</v>
      </c>
      <c r="W6" s="10">
        <v>1.0817792836788742</v>
      </c>
      <c r="X6" s="10">
        <v>9.0020747288022562</v>
      </c>
      <c r="Z6" s="10">
        <v>1.0817792836788742</v>
      </c>
      <c r="AA6" s="10">
        <v>9.0020747288022562</v>
      </c>
      <c r="AC6" s="10">
        <v>0.45996696924164304</v>
      </c>
      <c r="AD6" s="10">
        <v>8.7578702631107674</v>
      </c>
      <c r="AF6" s="10">
        <v>0.45996696924164304</v>
      </c>
      <c r="AG6" s="10">
        <v>8.7578702631107674</v>
      </c>
      <c r="AI6" s="10">
        <v>4.1298348302888144</v>
      </c>
      <c r="AJ6" s="10">
        <v>9.6304465204808167</v>
      </c>
      <c r="AL6" s="10"/>
      <c r="AM6" s="10"/>
    </row>
    <row r="7" spans="1:39" x14ac:dyDescent="0.2">
      <c r="A7" s="1">
        <v>39263</v>
      </c>
      <c r="B7" s="10">
        <v>8.7211697100934238</v>
      </c>
      <c r="C7" s="10">
        <v>20.15389310225142</v>
      </c>
      <c r="D7" s="10">
        <v>23.230202551312516</v>
      </c>
      <c r="E7" s="10">
        <v>15.79928337663803</v>
      </c>
      <c r="F7" s="10">
        <v>39.140575246269314</v>
      </c>
      <c r="G7" s="10">
        <v>25.186503470253861</v>
      </c>
      <c r="I7" s="10">
        <v>5.1098604441168982</v>
      </c>
      <c r="J7" s="10">
        <v>19.343266965299222</v>
      </c>
      <c r="K7" s="10">
        <v>19.086833592151041</v>
      </c>
      <c r="L7" s="10">
        <v>10.348173807831106</v>
      </c>
      <c r="M7" s="10">
        <v>40.241663069617751</v>
      </c>
      <c r="N7" s="10">
        <v>24.245323368337402</v>
      </c>
      <c r="P7" s="10">
        <v>27.558747869955113</v>
      </c>
      <c r="Q7" s="10">
        <v>22.390440375766254</v>
      </c>
      <c r="R7" s="10">
        <v>34.516355829539648</v>
      </c>
      <c r="S7" s="10">
        <v>31.913858761231182</v>
      </c>
      <c r="T7" s="10">
        <v>36.015976645387028</v>
      </c>
      <c r="U7" s="10">
        <v>28.645699870614429</v>
      </c>
      <c r="W7" s="10">
        <v>7.7468299251090444</v>
      </c>
      <c r="X7" s="10">
        <v>5.1810049565268912</v>
      </c>
      <c r="Z7" s="10">
        <v>7.7468299251090444</v>
      </c>
      <c r="AA7" s="10">
        <v>5.1810049565268912</v>
      </c>
      <c r="AC7" s="10">
        <v>7.3674492968498262</v>
      </c>
      <c r="AD7" s="10">
        <v>3.3722865166986526</v>
      </c>
      <c r="AF7" s="10">
        <v>7.3674492968498262</v>
      </c>
      <c r="AG7" s="10">
        <v>3.3722865166986526</v>
      </c>
      <c r="AI7" s="10">
        <v>9.8941861570903669</v>
      </c>
      <c r="AJ7" s="10">
        <v>9.9539273520832694</v>
      </c>
      <c r="AL7" s="10"/>
      <c r="AM7" s="10"/>
    </row>
    <row r="8" spans="1:39" x14ac:dyDescent="0.2">
      <c r="A8" s="1">
        <v>39355</v>
      </c>
      <c r="B8" s="10">
        <v>8.4644452430937989</v>
      </c>
      <c r="C8" s="10">
        <v>18.3625183089815</v>
      </c>
      <c r="D8" s="10">
        <v>22.689593323656432</v>
      </c>
      <c r="E8" s="10">
        <v>18.99445604602117</v>
      </c>
      <c r="F8" s="10">
        <v>35.73825455388716</v>
      </c>
      <c r="G8" s="10">
        <v>42.344046256493016</v>
      </c>
      <c r="I8" s="10">
        <v>4.854232684284554</v>
      </c>
      <c r="J8" s="10">
        <v>15.186373871233606</v>
      </c>
      <c r="K8" s="10">
        <v>22.19678847612958</v>
      </c>
      <c r="L8" s="10">
        <v>17.060796380150833</v>
      </c>
      <c r="M8" s="10">
        <v>35.76180984080559</v>
      </c>
      <c r="N8" s="10">
        <v>42.440143551764109</v>
      </c>
      <c r="P8" s="10">
        <v>27.897741834900415</v>
      </c>
      <c r="Q8" s="10">
        <v>27.966883461854675</v>
      </c>
      <c r="R8" s="10">
        <v>24.224688050992803</v>
      </c>
      <c r="S8" s="10">
        <v>25.442656414157749</v>
      </c>
      <c r="T8" s="10">
        <v>35.676495675248013</v>
      </c>
      <c r="U8" s="10">
        <v>41.931613817345962</v>
      </c>
      <c r="W8" s="10">
        <v>5.7901277105218307</v>
      </c>
      <c r="X8" s="10">
        <v>5.7275473713373382</v>
      </c>
      <c r="Z8" s="10">
        <v>4.4977356745689256</v>
      </c>
      <c r="AA8" s="10">
        <v>5.6828782958565194</v>
      </c>
      <c r="AC8" s="10">
        <v>4.0376995391772308</v>
      </c>
      <c r="AD8" s="10">
        <v>2.0143337319847188</v>
      </c>
      <c r="AF8" s="10">
        <v>2.1770538942473161</v>
      </c>
      <c r="AG8" s="10">
        <v>1.2938545371042665</v>
      </c>
      <c r="AI8" s="10">
        <v>18.521542316623083</v>
      </c>
      <c r="AJ8" s="10">
        <v>17.804374864951278</v>
      </c>
      <c r="AL8" s="10"/>
      <c r="AM8" s="10"/>
    </row>
    <row r="9" spans="1:39" x14ac:dyDescent="0.2">
      <c r="A9" s="1">
        <v>39447</v>
      </c>
      <c r="B9" s="10">
        <v>26.468439789111287</v>
      </c>
      <c r="C9" s="10">
        <v>19.839475072668744</v>
      </c>
      <c r="D9" s="10">
        <v>36.010711889524138</v>
      </c>
      <c r="E9" s="10">
        <v>37.132715941993325</v>
      </c>
      <c r="F9" s="10">
        <v>36.60239297243676</v>
      </c>
      <c r="G9" s="10">
        <v>41.832516998280923</v>
      </c>
      <c r="I9" s="10">
        <v>29.475368041798244</v>
      </c>
      <c r="J9" s="10">
        <v>17.35435170024202</v>
      </c>
      <c r="K9" s="10">
        <v>36.491625426630669</v>
      </c>
      <c r="L9" s="10">
        <v>39.785185483452892</v>
      </c>
      <c r="M9" s="10">
        <v>37.290354444192673</v>
      </c>
      <c r="N9" s="10">
        <v>41.477310065692507</v>
      </c>
      <c r="P9" s="10">
        <v>12.213913905667573</v>
      </c>
      <c r="Q9" s="10">
        <v>27.683063817116206</v>
      </c>
      <c r="R9" s="10">
        <v>34.408145471715422</v>
      </c>
      <c r="S9" s="10">
        <v>28.335251145736894</v>
      </c>
      <c r="T9" s="10">
        <v>34.53548570864757</v>
      </c>
      <c r="U9" s="10">
        <v>43.586267306852932</v>
      </c>
      <c r="W9" s="10">
        <v>33.949488559982854</v>
      </c>
      <c r="X9" s="10">
        <v>5.9712056311656436</v>
      </c>
      <c r="Z9" s="10">
        <v>37.065624910136009</v>
      </c>
      <c r="AA9" s="10">
        <v>6.1850397635469845</v>
      </c>
      <c r="AC9" s="10">
        <v>36.050337316377011</v>
      </c>
      <c r="AD9" s="10">
        <v>3.3557488773272581</v>
      </c>
      <c r="AF9" s="10">
        <v>40.107033468407138</v>
      </c>
      <c r="AG9" s="10">
        <v>3.1728398571867489</v>
      </c>
      <c r="AI9" s="10">
        <v>19.866366799680215</v>
      </c>
      <c r="AJ9" s="10">
        <v>14.542497235851503</v>
      </c>
      <c r="AL9" s="10"/>
      <c r="AM9" s="10"/>
    </row>
    <row r="10" spans="1:39" x14ac:dyDescent="0.2">
      <c r="A10" s="1">
        <v>39538</v>
      </c>
      <c r="B10" s="10">
        <v>37.977180737143954</v>
      </c>
      <c r="C10" s="10">
        <v>22.529155578310522</v>
      </c>
      <c r="D10" s="10">
        <v>50.362745605103498</v>
      </c>
      <c r="E10" s="10">
        <v>43.316585884405036</v>
      </c>
      <c r="F10" s="10">
        <v>35.61112811923126</v>
      </c>
      <c r="G10" s="10">
        <v>38.06673023846745</v>
      </c>
      <c r="I10" s="10">
        <v>39.686512328961811</v>
      </c>
      <c r="J10" s="10">
        <v>16.40509411676463</v>
      </c>
      <c r="K10" s="10">
        <v>49.368003817755344</v>
      </c>
      <c r="L10" s="10">
        <v>41.814842986696533</v>
      </c>
      <c r="M10" s="10">
        <v>33.994643345442356</v>
      </c>
      <c r="N10" s="10">
        <v>38.459277973278972</v>
      </c>
      <c r="P10" s="10">
        <v>30.284950686465308</v>
      </c>
      <c r="Q10" s="10">
        <v>40.479690679768929</v>
      </c>
      <c r="R10" s="10">
        <v>53.105197969747017</v>
      </c>
      <c r="S10" s="10">
        <v>47.37859876259585</v>
      </c>
      <c r="T10" s="10">
        <v>39.611105170355621</v>
      </c>
      <c r="U10" s="10">
        <v>36.543984837897895</v>
      </c>
      <c r="W10" s="10">
        <v>43.999585487236857</v>
      </c>
      <c r="X10" s="10">
        <v>10.059411829083853</v>
      </c>
      <c r="Z10" s="10">
        <v>42.362813466129737</v>
      </c>
      <c r="AA10" s="10">
        <v>8.6767022826513838</v>
      </c>
      <c r="AC10" s="10">
        <v>44.292905226372525</v>
      </c>
      <c r="AD10" s="10">
        <v>7.3712188254319244</v>
      </c>
      <c r="AF10" s="10">
        <v>42.4020140409636</v>
      </c>
      <c r="AG10" s="10">
        <v>4.9662226525197584</v>
      </c>
      <c r="AI10" s="10">
        <v>42.154434021531763</v>
      </c>
      <c r="AJ10" s="10">
        <v>18.085621431489287</v>
      </c>
      <c r="AL10" s="10"/>
      <c r="AM10" s="10"/>
    </row>
    <row r="11" spans="1:39" x14ac:dyDescent="0.2">
      <c r="A11" s="1">
        <v>39629</v>
      </c>
      <c r="B11" s="10">
        <v>40.540821224861311</v>
      </c>
      <c r="C11" s="10">
        <v>18.887559924867215</v>
      </c>
      <c r="D11" s="10">
        <v>51.554017422446208</v>
      </c>
      <c r="E11" s="10">
        <v>43.468160339162566</v>
      </c>
      <c r="F11" s="10">
        <v>36.028631579065284</v>
      </c>
      <c r="G11" s="10">
        <v>14.982009096976977</v>
      </c>
      <c r="I11" s="10">
        <v>40.735220255367196</v>
      </c>
      <c r="J11" s="10">
        <v>11.164258236844816</v>
      </c>
      <c r="K11" s="10">
        <v>50.12507113112035</v>
      </c>
      <c r="L11" s="10">
        <v>39.406152536930563</v>
      </c>
      <c r="M11" s="10">
        <v>35.904247021465565</v>
      </c>
      <c r="N11" s="10">
        <v>10.416914500203101</v>
      </c>
      <c r="P11" s="10">
        <v>39.458598059969788</v>
      </c>
      <c r="Q11" s="10">
        <v>47.943910488299139</v>
      </c>
      <c r="R11" s="10">
        <v>55.960412071833446</v>
      </c>
      <c r="S11" s="10">
        <v>57.009451826833121</v>
      </c>
      <c r="T11" s="10">
        <v>36.409699896215827</v>
      </c>
      <c r="U11" s="10">
        <v>37.786323258516319</v>
      </c>
      <c r="W11" s="10">
        <v>35.126249634050843</v>
      </c>
      <c r="X11" s="10">
        <v>17.462587069126467</v>
      </c>
      <c r="Z11" s="10">
        <v>33.549665250012616</v>
      </c>
      <c r="AA11" s="10">
        <v>16.622672943686155</v>
      </c>
      <c r="AC11" s="10">
        <v>35.039371558981557</v>
      </c>
      <c r="AD11" s="10">
        <v>12.89512488667317</v>
      </c>
      <c r="AF11" s="10">
        <v>33.203532233369096</v>
      </c>
      <c r="AG11" s="10">
        <v>10.455677492681236</v>
      </c>
      <c r="AI11" s="10">
        <v>35.943622379961468</v>
      </c>
      <c r="AJ11" s="10">
        <v>39.827452092719071</v>
      </c>
      <c r="AL11" s="10"/>
      <c r="AM11" s="10"/>
    </row>
    <row r="12" spans="1:39" x14ac:dyDescent="0.2">
      <c r="A12" s="1">
        <v>39721</v>
      </c>
      <c r="B12" s="10">
        <v>34.940016651553194</v>
      </c>
      <c r="C12" s="10">
        <v>13.876166614269136</v>
      </c>
      <c r="D12" s="10">
        <v>41.901909273797223</v>
      </c>
      <c r="E12" s="10">
        <v>38.553404024093155</v>
      </c>
      <c r="F12" s="10">
        <v>34.739729795961793</v>
      </c>
      <c r="G12" s="10">
        <v>20.344225496454161</v>
      </c>
      <c r="I12" s="10">
        <v>35.576659709141452</v>
      </c>
      <c r="J12" s="10">
        <v>6.5963046066711328</v>
      </c>
      <c r="K12" s="10">
        <v>39.16170549960043</v>
      </c>
      <c r="L12" s="10">
        <v>34.990244803691105</v>
      </c>
      <c r="M12" s="10">
        <v>34.647442249289838</v>
      </c>
      <c r="N12" s="10">
        <v>17.857407472501219</v>
      </c>
      <c r="P12" s="10">
        <v>31.784800491395359</v>
      </c>
      <c r="Q12" s="10">
        <v>39.248173573246589</v>
      </c>
      <c r="R12" s="10">
        <v>50.1790384159303</v>
      </c>
      <c r="S12" s="10">
        <v>49.561629443064191</v>
      </c>
      <c r="T12" s="10">
        <v>35.016619140403115</v>
      </c>
      <c r="U12" s="10">
        <v>31.872095420846879</v>
      </c>
      <c r="W12" s="10">
        <v>40.487704482923888</v>
      </c>
      <c r="X12" s="10">
        <v>11.229402430710756</v>
      </c>
      <c r="Z12" s="10">
        <v>38.990294458367927</v>
      </c>
      <c r="AA12" s="10">
        <v>10.412425201687636</v>
      </c>
      <c r="AC12" s="10">
        <v>39.054601336451533</v>
      </c>
      <c r="AD12" s="10">
        <v>7.1049504521370377</v>
      </c>
      <c r="AF12" s="10">
        <v>36.862161265488957</v>
      </c>
      <c r="AG12" s="10">
        <v>4.8703434836472992</v>
      </c>
      <c r="AI12" s="10">
        <v>53.517640892153075</v>
      </c>
      <c r="AJ12" s="10">
        <v>30.806772898740853</v>
      </c>
      <c r="AL12" s="10"/>
      <c r="AM12" s="10"/>
    </row>
    <row r="13" spans="1:39" x14ac:dyDescent="0.2">
      <c r="A13" s="1">
        <v>39813</v>
      </c>
      <c r="B13" s="10">
        <v>-21.737827205311621</v>
      </c>
      <c r="C13" s="10">
        <v>10.663798781635304</v>
      </c>
      <c r="D13" s="10">
        <v>-3.0288988877192669</v>
      </c>
      <c r="E13" s="10">
        <v>-1.5560213924101673</v>
      </c>
      <c r="F13" s="10">
        <v>30.76869605721232</v>
      </c>
      <c r="G13" s="10">
        <v>-11.313482409922637</v>
      </c>
      <c r="I13" s="10">
        <v>-25.53868220049409</v>
      </c>
      <c r="J13" s="10">
        <v>2.4931833796634217</v>
      </c>
      <c r="K13" s="10">
        <v>-10.74002793336607</v>
      </c>
      <c r="L13" s="10">
        <v>-7.935733174359239</v>
      </c>
      <c r="M13" s="10">
        <v>29.903716148762037</v>
      </c>
      <c r="N13" s="10">
        <v>-15.385973125235097</v>
      </c>
      <c r="P13" s="10">
        <v>-2.5723107330941075</v>
      </c>
      <c r="Q13" s="10">
        <v>36.668948403242126</v>
      </c>
      <c r="R13" s="10">
        <v>12.825816744328634</v>
      </c>
      <c r="S13" s="10">
        <v>10.192113874660503</v>
      </c>
      <c r="T13" s="10">
        <v>32.106400341246655</v>
      </c>
      <c r="U13" s="10">
        <v>6.6883170429710814</v>
      </c>
      <c r="W13" s="10">
        <v>-32.849035831362663</v>
      </c>
      <c r="X13" s="10">
        <v>7.4219260858796599</v>
      </c>
      <c r="Z13" s="10">
        <v>-34.698885301519041</v>
      </c>
      <c r="AA13" s="10">
        <v>5.9906737917808428</v>
      </c>
      <c r="AC13" s="10">
        <v>-36.119455374075827</v>
      </c>
      <c r="AD13" s="10">
        <v>3.7995533232807022</v>
      </c>
      <c r="AF13" s="10">
        <v>-39.064762941525288</v>
      </c>
      <c r="AG13" s="10">
        <v>0.8018838025178221</v>
      </c>
      <c r="AI13" s="10">
        <v>-5.7734222724878386</v>
      </c>
      <c r="AJ13" s="10">
        <v>23.092695964764598</v>
      </c>
      <c r="AL13" s="10"/>
      <c r="AM13" s="10"/>
    </row>
    <row r="14" spans="1:39" x14ac:dyDescent="0.2">
      <c r="A14" s="1">
        <v>39903</v>
      </c>
      <c r="B14" s="10">
        <v>-37.832784756740836</v>
      </c>
      <c r="C14" s="10">
        <v>4.3538794619188081</v>
      </c>
      <c r="D14" s="10">
        <v>-27.804155372292005</v>
      </c>
      <c r="E14" s="10">
        <v>-29.569505786369266</v>
      </c>
      <c r="F14" s="10">
        <v>34.516804912594289</v>
      </c>
      <c r="G14" s="10">
        <v>-9.8898110845078371</v>
      </c>
      <c r="I14" s="10">
        <v>-38.425900719220294</v>
      </c>
      <c r="J14" s="10">
        <v>1.0017681510335441</v>
      </c>
      <c r="K14" s="10">
        <v>-30.927420459174837</v>
      </c>
      <c r="L14" s="10">
        <v>-31.277654051014668</v>
      </c>
      <c r="M14" s="10">
        <v>36.163385870018629</v>
      </c>
      <c r="N14" s="10">
        <v>-6.0630692534753283</v>
      </c>
      <c r="P14" s="10">
        <v>-34.98935645497</v>
      </c>
      <c r="Q14" s="10">
        <v>12.785734310924891</v>
      </c>
      <c r="R14" s="10">
        <v>-18.787932860995848</v>
      </c>
      <c r="S14" s="10">
        <v>-24.798529243539146</v>
      </c>
      <c r="T14" s="10">
        <v>30.884171610344048</v>
      </c>
      <c r="U14" s="10">
        <v>-25.01349177136931</v>
      </c>
      <c r="W14" s="10">
        <v>-39.103005271822788</v>
      </c>
      <c r="X14" s="10">
        <v>6.5929138615537619</v>
      </c>
      <c r="Z14" s="10">
        <v>-41.84785807168182</v>
      </c>
      <c r="AA14" s="10">
        <v>6.5407976389387779</v>
      </c>
      <c r="AC14" s="10">
        <v>-40.933973677706511</v>
      </c>
      <c r="AD14" s="10">
        <v>3.279530599387126E-2</v>
      </c>
      <c r="AF14" s="10">
        <v>-44.682806708795873</v>
      </c>
      <c r="AG14" s="10">
        <v>-2.2269505619429864</v>
      </c>
      <c r="AI14" s="10">
        <v>-25.536927518463102</v>
      </c>
      <c r="AJ14" s="10">
        <v>30.206601759863894</v>
      </c>
      <c r="AL14" s="10"/>
      <c r="AM14" s="10"/>
    </row>
    <row r="15" spans="1:39" x14ac:dyDescent="0.2">
      <c r="A15" s="1">
        <v>39994</v>
      </c>
      <c r="B15" s="10">
        <v>-42.731693274177744</v>
      </c>
      <c r="C15" s="10">
        <v>13.236447947429731</v>
      </c>
      <c r="D15" s="10">
        <v>-32.555213235675829</v>
      </c>
      <c r="E15" s="10">
        <v>-34.389218618715269</v>
      </c>
      <c r="F15" s="10">
        <v>34.931447607862296</v>
      </c>
      <c r="G15" s="10">
        <v>-11.071536813112692</v>
      </c>
      <c r="I15" s="10">
        <v>-44.016540667046378</v>
      </c>
      <c r="J15" s="10">
        <v>12.446717390075769</v>
      </c>
      <c r="K15" s="10">
        <v>-36.359211714497377</v>
      </c>
      <c r="L15" s="10">
        <v>-37.124753621366736</v>
      </c>
      <c r="M15" s="10">
        <v>36.918032586017361</v>
      </c>
      <c r="N15" s="10">
        <v>-2.5095139553664825</v>
      </c>
      <c r="P15" s="10">
        <v>-35.688464169574132</v>
      </c>
      <c r="Q15" s="10">
        <v>15.296305513308607</v>
      </c>
      <c r="R15" s="10">
        <v>-20.300729958709308</v>
      </c>
      <c r="S15" s="10">
        <v>-25.262995823399226</v>
      </c>
      <c r="T15" s="10">
        <v>29.899652931284304</v>
      </c>
      <c r="U15" s="10">
        <v>-42.155845298331364</v>
      </c>
      <c r="W15" s="10">
        <v>-42.802733383155278</v>
      </c>
      <c r="X15" s="10">
        <v>8.4034678987385156</v>
      </c>
      <c r="Z15" s="10">
        <v>-43.513521227702412</v>
      </c>
      <c r="AA15" s="10">
        <v>6.6631864993953904</v>
      </c>
      <c r="AC15" s="10">
        <v>-44.851397013816886</v>
      </c>
      <c r="AD15" s="10">
        <v>5.1738053606742884</v>
      </c>
      <c r="AF15" s="10">
        <v>-46.398331451409511</v>
      </c>
      <c r="AG15" s="10">
        <v>1.865660002822711</v>
      </c>
      <c r="AI15" s="10">
        <v>-19.608487220976922</v>
      </c>
      <c r="AJ15" s="10">
        <v>21.554199181028967</v>
      </c>
      <c r="AL15" s="10"/>
      <c r="AM15" s="10"/>
    </row>
    <row r="16" spans="1:39" x14ac:dyDescent="0.2">
      <c r="A16" s="1">
        <v>40086</v>
      </c>
      <c r="B16" s="10">
        <v>-31.38910746398783</v>
      </c>
      <c r="C16" s="10">
        <v>20.732312398465069</v>
      </c>
      <c r="D16" s="10">
        <v>-26.422340942725377</v>
      </c>
      <c r="E16" s="10">
        <v>-26.580045064796764</v>
      </c>
      <c r="F16" s="10">
        <v>34.239960078365826</v>
      </c>
      <c r="G16" s="10">
        <v>14.50161905551548</v>
      </c>
      <c r="I16" s="10">
        <v>-32.355801520315339</v>
      </c>
      <c r="J16" s="10">
        <v>23.417594965864417</v>
      </c>
      <c r="K16" s="10">
        <v>-28.750774849293069</v>
      </c>
      <c r="L16" s="10">
        <v>-27.63878573277281</v>
      </c>
      <c r="M16" s="10">
        <v>35.996705941290799</v>
      </c>
      <c r="N16" s="10">
        <v>26.993978677955234</v>
      </c>
      <c r="P16" s="10">
        <v>-26.932473751028052</v>
      </c>
      <c r="Q16" s="10">
        <v>15.304190144586482</v>
      </c>
      <c r="R16" s="10">
        <v>-20.245235999661848</v>
      </c>
      <c r="S16" s="10">
        <v>-23.656257607643504</v>
      </c>
      <c r="T16" s="10">
        <v>29.599691649033886</v>
      </c>
      <c r="U16" s="10">
        <v>-33.794420861203399</v>
      </c>
      <c r="W16" s="10">
        <v>-32.03093755675026</v>
      </c>
      <c r="X16" s="10">
        <v>20.508377725786907</v>
      </c>
      <c r="Z16" s="10">
        <v>-31.748272222321429</v>
      </c>
      <c r="AA16" s="10">
        <v>12.143879915478962</v>
      </c>
      <c r="AC16" s="10">
        <v>-33.143018608639061</v>
      </c>
      <c r="AD16" s="10">
        <v>20.910283212783256</v>
      </c>
      <c r="AF16" s="10">
        <v>-33.17548917187009</v>
      </c>
      <c r="AG16" s="10">
        <v>8.8867585583520814</v>
      </c>
      <c r="AI16" s="10">
        <v>-22.984155556503939</v>
      </c>
      <c r="AJ16" s="10">
        <v>19.35412899966893</v>
      </c>
      <c r="AL16" s="10"/>
      <c r="AM16" s="10"/>
    </row>
    <row r="17" spans="1:39" x14ac:dyDescent="0.2">
      <c r="A17" s="1">
        <v>40178</v>
      </c>
      <c r="B17" s="10">
        <v>17.202630507405956</v>
      </c>
      <c r="C17" s="10">
        <v>27.789296571150967</v>
      </c>
      <c r="D17" s="10">
        <v>3.9091283897626727</v>
      </c>
      <c r="E17" s="10">
        <v>7.5291768102300427</v>
      </c>
      <c r="F17" s="10">
        <v>32.368477030743172</v>
      </c>
      <c r="G17" s="10">
        <v>24.25158356713677</v>
      </c>
      <c r="I17" s="10">
        <v>22.318849528274409</v>
      </c>
      <c r="J17" s="10">
        <v>30.097454027654802</v>
      </c>
      <c r="K17" s="10">
        <v>13.152316131860609</v>
      </c>
      <c r="L17" s="10">
        <v>16.15526006984598</v>
      </c>
      <c r="M17" s="10">
        <v>31.979028316414148</v>
      </c>
      <c r="N17" s="10">
        <v>37.611105605597103</v>
      </c>
      <c r="P17" s="10">
        <v>0.75637935591792438</v>
      </c>
      <c r="Q17" s="10">
        <v>23.191691530523585</v>
      </c>
      <c r="R17" s="10">
        <v>-11.369787163417177</v>
      </c>
      <c r="S17" s="10">
        <v>-6.2470371142160026</v>
      </c>
      <c r="T17" s="10">
        <v>33.391293256230682</v>
      </c>
      <c r="U17" s="10">
        <v>-18.739541365660685</v>
      </c>
      <c r="W17" s="10">
        <v>26.85123167022596</v>
      </c>
      <c r="X17" s="10">
        <v>35.870272996236771</v>
      </c>
      <c r="Z17" s="10">
        <v>20.668957590979598</v>
      </c>
      <c r="AA17" s="10">
        <v>27.51503861009812</v>
      </c>
      <c r="AC17" s="10">
        <v>30.618753243817199</v>
      </c>
      <c r="AD17" s="10">
        <v>36.841441887680126</v>
      </c>
      <c r="AF17" s="10">
        <v>23.84454822971367</v>
      </c>
      <c r="AG17" s="10">
        <v>25.13416161226527</v>
      </c>
      <c r="AI17" s="10">
        <v>8.9922941181670204</v>
      </c>
      <c r="AJ17" s="10">
        <v>32.983067135954933</v>
      </c>
      <c r="AL17" s="10"/>
      <c r="AM17" s="10"/>
    </row>
    <row r="18" spans="1:39" x14ac:dyDescent="0.2">
      <c r="A18" s="1">
        <v>40268</v>
      </c>
      <c r="B18" s="10">
        <v>42.672224457883971</v>
      </c>
      <c r="C18" s="10">
        <v>23.826942534904958</v>
      </c>
      <c r="D18" s="10">
        <v>36.840716399225371</v>
      </c>
      <c r="E18" s="10">
        <v>38.158892540778908</v>
      </c>
      <c r="F18" s="10">
        <v>33.311300637167243</v>
      </c>
      <c r="G18" s="10">
        <v>8.0523205310603316</v>
      </c>
      <c r="I18" s="10">
        <v>42.409604285232305</v>
      </c>
      <c r="J18" s="10">
        <v>23.941812530942229</v>
      </c>
      <c r="K18" s="10">
        <v>38.729166102746191</v>
      </c>
      <c r="L18" s="10">
        <v>38.856507436503883</v>
      </c>
      <c r="M18" s="10">
        <v>34.971121066959576</v>
      </c>
      <c r="N18" s="10">
        <v>11.839732224043731</v>
      </c>
      <c r="P18" s="10">
        <v>43.78501841800859</v>
      </c>
      <c r="Q18" s="10">
        <v>23.604357816585786</v>
      </c>
      <c r="R18" s="10">
        <v>33.064546678634009</v>
      </c>
      <c r="S18" s="10">
        <v>36.588547130653161</v>
      </c>
      <c r="T18" s="10">
        <v>29.524970080288938</v>
      </c>
      <c r="U18" s="10">
        <v>-8.0508595570083159</v>
      </c>
      <c r="W18" s="10">
        <v>46.360747936882433</v>
      </c>
      <c r="X18" s="10">
        <v>29.735212180627933</v>
      </c>
      <c r="Z18" s="10">
        <v>48.612773609890802</v>
      </c>
      <c r="AA18" s="10">
        <v>20.789489772392876</v>
      </c>
      <c r="AC18" s="10">
        <v>45.457028134908903</v>
      </c>
      <c r="AD18" s="10">
        <v>30.679334059243768</v>
      </c>
      <c r="AF18" s="10">
        <v>47.848753640822373</v>
      </c>
      <c r="AG18" s="10">
        <v>17.881824115226429</v>
      </c>
      <c r="AI18" s="10">
        <v>52.519470402989519</v>
      </c>
      <c r="AJ18" s="10">
        <v>27.078736746173206</v>
      </c>
      <c r="AL18" s="10"/>
      <c r="AM18" s="10"/>
    </row>
    <row r="19" spans="1:39" x14ac:dyDescent="0.2">
      <c r="A19" s="1">
        <v>40359</v>
      </c>
      <c r="B19" s="10">
        <v>39.020996312188537</v>
      </c>
      <c r="C19" s="10">
        <v>14.640507232466703</v>
      </c>
      <c r="D19" s="10">
        <v>38.475033029606223</v>
      </c>
      <c r="E19" s="10">
        <v>40.119171128701424</v>
      </c>
      <c r="F19" s="10">
        <v>34.883775512932935</v>
      </c>
      <c r="G19" s="10">
        <v>19.933981089925588</v>
      </c>
      <c r="I19" s="10">
        <v>36.095064751505966</v>
      </c>
      <c r="J19" s="10">
        <v>12.771835773976626</v>
      </c>
      <c r="K19" s="10">
        <v>38.528069916577422</v>
      </c>
      <c r="L19" s="10">
        <v>37.825003482650253</v>
      </c>
      <c r="M19" s="10">
        <v>34.708502779461604</v>
      </c>
      <c r="N19" s="10">
        <v>17.8025595019907</v>
      </c>
      <c r="P19" s="10">
        <v>51.031982092074223</v>
      </c>
      <c r="Q19" s="10">
        <v>18.523851879384679</v>
      </c>
      <c r="R19" s="10">
        <v>38.356216602010029</v>
      </c>
      <c r="S19" s="10">
        <v>45.682424702980697</v>
      </c>
      <c r="T19" s="10">
        <v>35.26920702185695</v>
      </c>
      <c r="U19" s="10">
        <v>31.069450041379465</v>
      </c>
      <c r="W19" s="10">
        <v>39.657495805655827</v>
      </c>
      <c r="X19" s="10">
        <v>23.70051715539514</v>
      </c>
      <c r="Z19" s="10">
        <v>38.974993614482358</v>
      </c>
      <c r="AA19" s="10">
        <v>14.900095077275655</v>
      </c>
      <c r="AC19" s="10">
        <v>39.029989048004452</v>
      </c>
      <c r="AD19" s="10">
        <v>25.506938000408041</v>
      </c>
      <c r="AF19" s="10">
        <v>37.988492778614756</v>
      </c>
      <c r="AG19" s="10">
        <v>13.266772851229835</v>
      </c>
      <c r="AI19" s="10">
        <v>44.188779024362603</v>
      </c>
      <c r="AJ19" s="10">
        <v>18.493586737153755</v>
      </c>
      <c r="AL19" s="10"/>
      <c r="AM19" s="10"/>
    </row>
    <row r="20" spans="1:39" x14ac:dyDescent="0.2">
      <c r="A20" s="1">
        <v>40451</v>
      </c>
      <c r="B20" s="10">
        <v>24.023659317366874</v>
      </c>
      <c r="C20" s="10">
        <v>12.986092104873158</v>
      </c>
      <c r="D20" s="10">
        <v>26.091231003660354</v>
      </c>
      <c r="E20" s="10">
        <v>26.927787467590903</v>
      </c>
      <c r="F20" s="10">
        <v>34.348688092207269</v>
      </c>
      <c r="G20" s="10">
        <v>-6.473762087507728</v>
      </c>
      <c r="I20" s="10">
        <v>20.980658123295569</v>
      </c>
      <c r="J20" s="10">
        <v>10.626616951685497</v>
      </c>
      <c r="K20" s="10">
        <v>24.11800229099623</v>
      </c>
      <c r="L20" s="10">
        <v>22.856827894892429</v>
      </c>
      <c r="M20" s="10">
        <v>35.392181583027579</v>
      </c>
      <c r="N20" s="10">
        <v>-11.471282071334121</v>
      </c>
      <c r="P20" s="10">
        <v>36.190070774064068</v>
      </c>
      <c r="Q20" s="10">
        <v>17.435642169136891</v>
      </c>
      <c r="R20" s="10">
        <v>30.227394162197374</v>
      </c>
      <c r="S20" s="10">
        <v>36.557549014375823</v>
      </c>
      <c r="T20" s="10">
        <v>32.157344691962329</v>
      </c>
      <c r="U20" s="10">
        <v>20.065931086538669</v>
      </c>
      <c r="W20" s="10">
        <v>24.177835436034222</v>
      </c>
      <c r="X20" s="10">
        <v>21.907705418381141</v>
      </c>
      <c r="Z20" s="10">
        <v>14.277834075709617</v>
      </c>
      <c r="AA20" s="10">
        <v>19.775684814007022</v>
      </c>
      <c r="AC20" s="10">
        <v>22.750033330129149</v>
      </c>
      <c r="AD20" s="10">
        <v>21.327951399294975</v>
      </c>
      <c r="AF20" s="10">
        <v>10.448727248663436</v>
      </c>
      <c r="AG20" s="10">
        <v>17.898665573777439</v>
      </c>
      <c r="AI20" s="10">
        <v>33.539811488314974</v>
      </c>
      <c r="AJ20" s="10">
        <v>23.503631385899947</v>
      </c>
      <c r="AL20" s="10"/>
      <c r="AM20" s="10"/>
    </row>
    <row r="21" spans="1:39" x14ac:dyDescent="0.2">
      <c r="A21" s="1">
        <v>40543</v>
      </c>
      <c r="B21" s="10">
        <v>28.978925740554406</v>
      </c>
      <c r="C21" s="10">
        <v>11.057661203521519</v>
      </c>
      <c r="D21" s="10">
        <v>27.423961855894021</v>
      </c>
      <c r="E21" s="10">
        <v>27.381447391651758</v>
      </c>
      <c r="F21" s="10">
        <v>33.549498794869905</v>
      </c>
      <c r="G21" s="10">
        <v>18.267139689996913</v>
      </c>
      <c r="I21" s="10">
        <v>31.547805663660977</v>
      </c>
      <c r="J21" s="10">
        <v>10.516291777915487</v>
      </c>
      <c r="K21" s="10">
        <v>25.466095099104223</v>
      </c>
      <c r="L21" s="10">
        <v>25.053580180851888</v>
      </c>
      <c r="M21" s="10">
        <v>34.227894514113586</v>
      </c>
      <c r="N21" s="10">
        <v>17.874737684543838</v>
      </c>
      <c r="P21" s="10">
        <v>18.306081966540599</v>
      </c>
      <c r="Q21" s="10">
        <v>12.204898257963336</v>
      </c>
      <c r="R21" s="10">
        <v>32.295370307472915</v>
      </c>
      <c r="S21" s="10">
        <v>33.454234498362403</v>
      </c>
      <c r="T21" s="10">
        <v>31.999166539011249</v>
      </c>
      <c r="U21" s="10">
        <v>20.197335794892425</v>
      </c>
      <c r="W21" s="10">
        <v>38.194309240727286</v>
      </c>
      <c r="X21" s="10">
        <v>13.848426618155084</v>
      </c>
      <c r="Z21" s="10">
        <v>30.044122145770391</v>
      </c>
      <c r="AA21" s="10">
        <v>13.057624998532248</v>
      </c>
      <c r="AC21" s="10">
        <v>41.065651745632969</v>
      </c>
      <c r="AD21" s="10">
        <v>14.870417916036427</v>
      </c>
      <c r="AF21" s="10">
        <v>32.119664766162792</v>
      </c>
      <c r="AG21" s="10">
        <v>14.095854624491878</v>
      </c>
      <c r="AI21" s="10">
        <v>20.316015210283322</v>
      </c>
      <c r="AJ21" s="10">
        <v>10.838434832374922</v>
      </c>
      <c r="AL21" s="10"/>
      <c r="AM21" s="10"/>
    </row>
    <row r="22" spans="1:39" x14ac:dyDescent="0.2">
      <c r="A22" s="1">
        <v>40633</v>
      </c>
      <c r="B22" s="10">
        <v>28.096227240797433</v>
      </c>
      <c r="C22" s="10">
        <v>15.742414201765387</v>
      </c>
      <c r="D22" s="10">
        <v>22.711467897824168</v>
      </c>
      <c r="E22" s="10">
        <v>24.635467825096292</v>
      </c>
      <c r="F22" s="10">
        <v>34.989321440800822</v>
      </c>
      <c r="G22" s="10">
        <v>26.572012095501041</v>
      </c>
      <c r="I22" s="10">
        <v>28.5466447394924</v>
      </c>
      <c r="J22" s="10">
        <v>15.374873432263957</v>
      </c>
      <c r="K22" s="10">
        <v>21.437980890518983</v>
      </c>
      <c r="L22" s="10">
        <v>23.231792998525492</v>
      </c>
      <c r="M22" s="10">
        <v>36.831372550174692</v>
      </c>
      <c r="N22" s="10">
        <v>26.114309763747446</v>
      </c>
      <c r="P22" s="10">
        <v>26.240533918012243</v>
      </c>
      <c r="Q22" s="10">
        <v>16.51960391012426</v>
      </c>
      <c r="R22" s="10">
        <v>25.493912903761217</v>
      </c>
      <c r="S22" s="10">
        <v>28.031709320668764</v>
      </c>
      <c r="T22" s="10">
        <v>31.08385339633578</v>
      </c>
      <c r="U22" s="10">
        <v>28.940236763042293</v>
      </c>
      <c r="W22" s="10">
        <v>29.121660142413042</v>
      </c>
      <c r="X22" s="10">
        <v>18.915497650358802</v>
      </c>
      <c r="Z22" s="10">
        <v>23.277937184507437</v>
      </c>
      <c r="AA22" s="10">
        <v>17.886255189547008</v>
      </c>
      <c r="AC22" s="10">
        <v>31.003577302983466</v>
      </c>
      <c r="AD22" s="10">
        <v>20.86390387093644</v>
      </c>
      <c r="AF22" s="10">
        <v>24.639946307969971</v>
      </c>
      <c r="AG22" s="10">
        <v>20.131696638672558</v>
      </c>
      <c r="AI22" s="10">
        <v>15.778473884120658</v>
      </c>
      <c r="AJ22" s="10">
        <v>13.073232399065882</v>
      </c>
      <c r="AL22" s="10"/>
      <c r="AM22" s="10"/>
    </row>
    <row r="23" spans="1:39" x14ac:dyDescent="0.2">
      <c r="A23" s="1">
        <v>40724</v>
      </c>
      <c r="B23" s="10">
        <v>26.685777884012452</v>
      </c>
      <c r="C23" s="10">
        <v>17.474745101604118</v>
      </c>
      <c r="D23" s="10">
        <v>24.937981112544129</v>
      </c>
      <c r="E23" s="10">
        <v>24.473246728728881</v>
      </c>
      <c r="F23" s="10">
        <v>34.283822202043424</v>
      </c>
      <c r="G23" s="10">
        <v>13.087758268893612</v>
      </c>
      <c r="I23" s="10">
        <v>29.089959566293455</v>
      </c>
      <c r="J23" s="10">
        <v>14.91174319220212</v>
      </c>
      <c r="K23" s="10">
        <v>24.610639484000508</v>
      </c>
      <c r="L23" s="10">
        <v>24.870218592383232</v>
      </c>
      <c r="M23" s="10">
        <v>35.345910010866724</v>
      </c>
      <c r="N23" s="10">
        <v>12.60608861216026</v>
      </c>
      <c r="P23" s="10">
        <v>16.646965863520681</v>
      </c>
      <c r="Q23" s="10">
        <v>22.853240341521364</v>
      </c>
      <c r="R23" s="10">
        <v>25.718494825997993</v>
      </c>
      <c r="S23" s="10">
        <v>23.480458797022564</v>
      </c>
      <c r="T23" s="10">
        <v>31.596822212995711</v>
      </c>
      <c r="U23" s="10">
        <v>15.647527207094036</v>
      </c>
      <c r="W23" s="10">
        <v>27.202266612510883</v>
      </c>
      <c r="X23" s="10">
        <v>20.225234172882402</v>
      </c>
      <c r="Z23" s="10">
        <v>25.866089267387558</v>
      </c>
      <c r="AA23" s="10">
        <v>20.474799931628684</v>
      </c>
      <c r="AC23" s="10">
        <v>29.742048899020411</v>
      </c>
      <c r="AD23" s="10">
        <v>18.451564192776672</v>
      </c>
      <c r="AF23" s="10">
        <v>29.068479624554367</v>
      </c>
      <c r="AG23" s="10">
        <v>18.084731285949228</v>
      </c>
      <c r="AI23" s="10">
        <v>6.812509618512852</v>
      </c>
      <c r="AJ23" s="10">
        <v>26.017411236437749</v>
      </c>
      <c r="AL23" s="10"/>
      <c r="AM23" s="10"/>
    </row>
    <row r="24" spans="1:39" x14ac:dyDescent="0.2">
      <c r="A24" s="1">
        <v>40816</v>
      </c>
      <c r="B24" s="10">
        <v>22.242845460036232</v>
      </c>
      <c r="C24" s="10">
        <v>8.9032424650798312</v>
      </c>
      <c r="D24" s="10">
        <v>24.603043409834836</v>
      </c>
      <c r="E24" s="10">
        <v>20.953812947539529</v>
      </c>
      <c r="F24" s="10">
        <v>31.948894187157851</v>
      </c>
      <c r="G24" s="10">
        <v>31.344436419530975</v>
      </c>
      <c r="I24" s="10">
        <v>23.485769155812221</v>
      </c>
      <c r="J24" s="10">
        <v>6.6978921941127423</v>
      </c>
      <c r="K24" s="10">
        <v>24.730017589102182</v>
      </c>
      <c r="L24" s="10">
        <v>20.479390211513106</v>
      </c>
      <c r="M24" s="10">
        <v>32.36922769668368</v>
      </c>
      <c r="N24" s="10">
        <v>34.555052821423551</v>
      </c>
      <c r="P24" s="10">
        <v>17.240391319271264</v>
      </c>
      <c r="Q24" s="10">
        <v>13.504865392323673</v>
      </c>
      <c r="R24" s="10">
        <v>24.275456588886858</v>
      </c>
      <c r="S24" s="10">
        <v>22.248067772725189</v>
      </c>
      <c r="T24" s="10">
        <v>30.867251915926673</v>
      </c>
      <c r="U24" s="10">
        <v>15.79292020779306</v>
      </c>
      <c r="W24" s="10">
        <v>18.214515918671424</v>
      </c>
      <c r="X24" s="10">
        <v>6.1503746226790446</v>
      </c>
      <c r="Z24" s="10">
        <v>18.100295837306525</v>
      </c>
      <c r="AA24" s="10">
        <v>5.2258029626474523</v>
      </c>
      <c r="AC24" s="10">
        <v>19.24099416783751</v>
      </c>
      <c r="AD24" s="10">
        <v>4.1786377158226085</v>
      </c>
      <c r="AF24" s="10">
        <v>19.529290568819601</v>
      </c>
      <c r="AG24" s="10">
        <v>2.1359510302477069</v>
      </c>
      <c r="AI24" s="10">
        <v>10.674619073600633</v>
      </c>
      <c r="AJ24" s="10">
        <v>12.640706650777901</v>
      </c>
      <c r="AL24" s="10"/>
      <c r="AM24" s="10"/>
    </row>
    <row r="25" spans="1:39" x14ac:dyDescent="0.2">
      <c r="A25" s="1">
        <v>40908</v>
      </c>
      <c r="B25" s="10">
        <v>8.6714331322300886</v>
      </c>
      <c r="C25" s="10">
        <v>6.3848873652320615</v>
      </c>
      <c r="D25" s="10">
        <v>11.343636575256056</v>
      </c>
      <c r="E25" s="10">
        <v>8.5694647059715745</v>
      </c>
      <c r="F25" s="10">
        <v>31.796215844661702</v>
      </c>
      <c r="G25" s="10">
        <v>15.749662805308784</v>
      </c>
      <c r="I25" s="10">
        <v>8.2912116022900264</v>
      </c>
      <c r="J25" s="10">
        <v>4.4170591406040849</v>
      </c>
      <c r="K25" s="10">
        <v>8.4667982502262262</v>
      </c>
      <c r="L25" s="10">
        <v>5.8638512428676792</v>
      </c>
      <c r="M25" s="10">
        <v>31.792974564303456</v>
      </c>
      <c r="N25" s="10">
        <v>17.546264091162801</v>
      </c>
      <c r="P25" s="10">
        <v>10.497323417698556</v>
      </c>
      <c r="Q25" s="10">
        <v>10.355892179396609</v>
      </c>
      <c r="R25" s="10">
        <v>19.214399618747557</v>
      </c>
      <c r="S25" s="10">
        <v>16.232563507023379</v>
      </c>
      <c r="T25" s="10">
        <v>31.804544625618092</v>
      </c>
      <c r="U25" s="10">
        <v>6.5024612415862215</v>
      </c>
      <c r="W25" s="10">
        <v>6.091769532929292</v>
      </c>
      <c r="X25" s="10">
        <v>4.9353149301923693</v>
      </c>
      <c r="Z25" s="10">
        <v>13.454660724837675</v>
      </c>
      <c r="AA25" s="10">
        <v>2.839558983890389</v>
      </c>
      <c r="AC25" s="10">
        <v>6.8328693487077707</v>
      </c>
      <c r="AD25" s="10">
        <v>4.7799011763898003</v>
      </c>
      <c r="AF25" s="10">
        <v>15.849396741880106</v>
      </c>
      <c r="AG25" s="10">
        <v>1.6293993250411365</v>
      </c>
      <c r="AI25" s="10">
        <v>0.25628565672530801</v>
      </c>
      <c r="AJ25" s="10">
        <v>5.404766080840151</v>
      </c>
      <c r="AL25" s="10"/>
      <c r="AM25" s="10"/>
    </row>
    <row r="26" spans="1:39" x14ac:dyDescent="0.2">
      <c r="A26" s="1">
        <v>40999</v>
      </c>
      <c r="B26" s="10">
        <v>-1.9228516997925937</v>
      </c>
      <c r="C26" s="10">
        <v>8.177005409639527</v>
      </c>
      <c r="D26" s="10">
        <v>13.896379986586972</v>
      </c>
      <c r="E26" s="10">
        <v>9.5244454940011547</v>
      </c>
      <c r="F26" s="10">
        <v>32.798250328062863</v>
      </c>
      <c r="G26" s="10">
        <v>7.8941617761014493</v>
      </c>
      <c r="I26" s="10">
        <v>-1.9326570523742537</v>
      </c>
      <c r="J26" s="10">
        <v>9.5996378229188828</v>
      </c>
      <c r="K26" s="10">
        <v>16.386611073812475</v>
      </c>
      <c r="L26" s="10">
        <v>10.600124088200102</v>
      </c>
      <c r="M26" s="10">
        <v>33.499069227436685</v>
      </c>
      <c r="N26" s="10">
        <v>10.848318908239518</v>
      </c>
      <c r="P26" s="10">
        <v>-1.7975204203405259</v>
      </c>
      <c r="Q26" s="10">
        <v>4.4138816250582691</v>
      </c>
      <c r="R26" s="10">
        <v>6.4329910180500827</v>
      </c>
      <c r="S26" s="10">
        <v>5.9806683332197741</v>
      </c>
      <c r="T26" s="10">
        <v>30.428506487908201</v>
      </c>
      <c r="U26" s="10">
        <v>-9.0131485380059555</v>
      </c>
      <c r="W26" s="10">
        <v>5.904161234441041</v>
      </c>
      <c r="X26" s="10">
        <v>10.951675192710564</v>
      </c>
      <c r="Z26" s="10">
        <v>13.302775029097823</v>
      </c>
      <c r="AA26" s="10">
        <v>10.692660567310197</v>
      </c>
      <c r="AC26" s="10">
        <v>6.4487735524043188</v>
      </c>
      <c r="AD26" s="10">
        <v>12.685331436056323</v>
      </c>
      <c r="AF26" s="10">
        <v>15.189745764828256</v>
      </c>
      <c r="AG26" s="10">
        <v>13.114435277321611</v>
      </c>
      <c r="AI26" s="10">
        <v>1.0174130874692988</v>
      </c>
      <c r="AJ26" s="10">
        <v>5.193858001218854</v>
      </c>
      <c r="AL26" s="10"/>
      <c r="AM26" s="10"/>
    </row>
    <row r="27" spans="1:39" x14ac:dyDescent="0.2">
      <c r="A27" s="1">
        <v>41090</v>
      </c>
      <c r="B27" s="10">
        <v>-18.567577519954369</v>
      </c>
      <c r="C27" s="10">
        <v>0.85238758414125648</v>
      </c>
      <c r="D27" s="10">
        <v>5.6390307901634129</v>
      </c>
      <c r="E27" s="10">
        <v>-2.4445943358960887</v>
      </c>
      <c r="F27" s="10">
        <v>29.431614817323492</v>
      </c>
      <c r="G27" s="10">
        <v>8.596124457052845</v>
      </c>
      <c r="I27" s="10">
        <v>-21.349669058854836</v>
      </c>
      <c r="J27" s="10">
        <v>3.1503426732618633</v>
      </c>
      <c r="K27" s="10">
        <v>6.4615419793153217</v>
      </c>
      <c r="L27" s="10">
        <v>-3.213689950096843</v>
      </c>
      <c r="M27" s="10">
        <v>29.787668824492506</v>
      </c>
      <c r="N27" s="10">
        <v>8.1634719454794169</v>
      </c>
      <c r="P27" s="10">
        <v>-2.693438845477758</v>
      </c>
      <c r="Q27" s="10">
        <v>-4.3730922957510465</v>
      </c>
      <c r="R27" s="10">
        <v>2.96159233054194</v>
      </c>
      <c r="S27" s="10">
        <v>0.29713063902085946</v>
      </c>
      <c r="T27" s="10">
        <v>28.239214209096598</v>
      </c>
      <c r="U27" s="10">
        <v>10.703612868859436</v>
      </c>
      <c r="W27" s="10">
        <v>-19.980751565001718</v>
      </c>
      <c r="X27" s="10">
        <v>1.7721904308008574</v>
      </c>
      <c r="Z27" s="10">
        <v>-12.006719728640059</v>
      </c>
      <c r="AA27" s="10">
        <v>-0.51316145757197562</v>
      </c>
      <c r="AC27" s="10">
        <v>-22.128836552745213</v>
      </c>
      <c r="AD27" s="10">
        <v>5.1491862757663487</v>
      </c>
      <c r="AF27" s="10">
        <v>-13.946004815648628</v>
      </c>
      <c r="AG27" s="10">
        <v>3.4692772588141629</v>
      </c>
      <c r="AI27" s="10">
        <v>2.9112109856647361</v>
      </c>
      <c r="AJ27" s="10">
        <v>-8.8121727127362668</v>
      </c>
      <c r="AL27" s="10"/>
      <c r="AM27" s="10"/>
    </row>
    <row r="28" spans="1:39" x14ac:dyDescent="0.2">
      <c r="B28" s="10"/>
      <c r="C28" s="10"/>
      <c r="D28" s="10"/>
      <c r="E28" s="10"/>
      <c r="F28" s="10"/>
      <c r="G28" s="10"/>
      <c r="I28" s="10"/>
      <c r="J28" s="10"/>
      <c r="K28" s="10"/>
      <c r="L28" s="10"/>
      <c r="M28" s="10"/>
      <c r="N28" s="10"/>
      <c r="P28" s="10"/>
      <c r="Q28" s="10"/>
      <c r="R28" s="10"/>
      <c r="S28" s="10"/>
      <c r="T28" s="10"/>
      <c r="U28" s="10"/>
    </row>
  </sheetData>
  <mergeCells count="4">
    <mergeCell ref="I4:N4"/>
    <mergeCell ref="A2:B2"/>
    <mergeCell ref="B4:G4"/>
    <mergeCell ref="P4:U4"/>
  </mergeCells>
  <phoneticPr fontId="5" type="noConversion"/>
  <pageMargins left="0.75" right="0.75" top="1" bottom="1" header="0.5" footer="0.5"/>
  <headerFooter alignWithMargins="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F850"/>
  <sheetViews>
    <sheetView zoomScale="85" workbookViewId="0">
      <pane ySplit="4" topLeftCell="A23" activePane="bottomLeft" state="frozen"/>
      <selection activeCell="D4" sqref="D4:E4"/>
      <selection pane="bottomLeft" activeCell="AD34" sqref="AD34"/>
    </sheetView>
  </sheetViews>
  <sheetFormatPr defaultRowHeight="12.75" x14ac:dyDescent="0.2"/>
  <cols>
    <col min="1" max="1" width="10.28515625" style="1" bestFit="1" customWidth="1"/>
    <col min="2" max="2" width="7.140625" style="1" customWidth="1"/>
    <col min="3" max="5" width="7.140625" customWidth="1"/>
    <col min="6" max="6" width="1.7109375" customWidth="1"/>
    <col min="7" max="7" width="7.140625" style="1" customWidth="1"/>
    <col min="8" max="10" width="7.140625" customWidth="1"/>
    <col min="11" max="11" width="1.7109375" customWidth="1"/>
    <col min="12" max="15" width="7.140625" customWidth="1"/>
    <col min="16" max="16" width="1.7109375" customWidth="1"/>
    <col min="17" max="20" width="7.140625" customWidth="1"/>
    <col min="21" max="21" width="1.7109375" customWidth="1"/>
    <col min="22" max="22" width="8.5703125" customWidth="1"/>
    <col min="23" max="23" width="5.7109375" style="35" customWidth="1"/>
    <col min="24" max="24" width="6.5703125" style="35" customWidth="1"/>
    <col min="25" max="25" width="7" style="75" customWidth="1"/>
    <col min="26" max="26" width="8.7109375" style="15" customWidth="1"/>
    <col min="28" max="28" width="9.28515625" bestFit="1" customWidth="1"/>
  </cols>
  <sheetData>
    <row r="1" spans="1:32" ht="18" x14ac:dyDescent="0.25">
      <c r="A1" s="33" t="s">
        <v>165</v>
      </c>
      <c r="B1" s="73"/>
      <c r="AC1" s="4"/>
    </row>
    <row r="2" spans="1:32" x14ac:dyDescent="0.2">
      <c r="A2" s="91">
        <v>41090</v>
      </c>
      <c r="B2" s="92"/>
    </row>
    <row r="3" spans="1:32" x14ac:dyDescent="0.2">
      <c r="Y3" s="35"/>
    </row>
    <row r="4" spans="1:32" x14ac:dyDescent="0.2">
      <c r="A4" s="2" t="s">
        <v>0</v>
      </c>
      <c r="B4" s="13" t="s">
        <v>53</v>
      </c>
      <c r="C4" s="13" t="s">
        <v>54</v>
      </c>
      <c r="D4" s="13" t="s">
        <v>50</v>
      </c>
      <c r="E4" s="13" t="s">
        <v>52</v>
      </c>
      <c r="G4" s="13" t="s">
        <v>53</v>
      </c>
      <c r="H4" s="13" t="s">
        <v>54</v>
      </c>
      <c r="I4" s="13" t="s">
        <v>50</v>
      </c>
      <c r="J4" s="13" t="s">
        <v>52</v>
      </c>
      <c r="L4" s="13" t="s">
        <v>53</v>
      </c>
      <c r="M4" s="13" t="s">
        <v>54</v>
      </c>
      <c r="N4" s="13" t="s">
        <v>50</v>
      </c>
      <c r="O4" s="13" t="s">
        <v>52</v>
      </c>
      <c r="Q4" s="13" t="s">
        <v>53</v>
      </c>
      <c r="R4" s="13" t="s">
        <v>54</v>
      </c>
      <c r="S4" s="13" t="s">
        <v>50</v>
      </c>
      <c r="T4" s="13" t="s">
        <v>52</v>
      </c>
      <c r="V4" s="5" t="s">
        <v>51</v>
      </c>
      <c r="W4" s="13"/>
      <c r="X4" s="13" t="s">
        <v>5</v>
      </c>
      <c r="Y4" s="13" t="s">
        <v>43</v>
      </c>
      <c r="Z4" s="14" t="s">
        <v>7</v>
      </c>
      <c r="AA4" s="13" t="s">
        <v>298</v>
      </c>
    </row>
    <row r="5" spans="1:32" x14ac:dyDescent="0.2">
      <c r="A5" s="1">
        <v>38807</v>
      </c>
      <c r="B5" s="4">
        <v>0.71560419550718235</v>
      </c>
      <c r="C5" s="4">
        <v>1.1244255400296239</v>
      </c>
      <c r="D5" s="4">
        <v>1.3679110595790267</v>
      </c>
      <c r="E5" s="4">
        <v>1.5588853609465836</v>
      </c>
      <c r="G5" s="3">
        <v>114.60592589777653</v>
      </c>
      <c r="H5" s="3">
        <v>136.41752137454461</v>
      </c>
      <c r="I5" s="3">
        <v>194.5671768946126</v>
      </c>
      <c r="J5" s="3">
        <v>263.88630985399283</v>
      </c>
      <c r="L5" s="3">
        <f>G5/B5</f>
        <v>160.15267464516458</v>
      </c>
      <c r="M5" s="3">
        <f>H5/C5</f>
        <v>121.32196976862565</v>
      </c>
      <c r="N5" s="3">
        <f>I5/D5</f>
        <v>142.23671600000841</v>
      </c>
      <c r="O5" s="3">
        <f>J5/E5</f>
        <v>169.27884273270502</v>
      </c>
      <c r="Q5" s="4">
        <v>0.91018919029960732</v>
      </c>
      <c r="R5" s="4">
        <v>1.4718872911165679</v>
      </c>
      <c r="S5" s="4">
        <v>1.6316826627163989</v>
      </c>
      <c r="T5" s="4">
        <v>2.8678978908451573</v>
      </c>
      <c r="V5" t="s">
        <v>53</v>
      </c>
      <c r="X5" s="53">
        <v>1.315638811817547</v>
      </c>
      <c r="Y5" s="53">
        <v>1.7426070296998981</v>
      </c>
      <c r="Z5" s="15">
        <v>152</v>
      </c>
      <c r="AA5" s="3">
        <f>Z5/X5</f>
        <v>115.53322890346547</v>
      </c>
      <c r="AC5" s="4"/>
    </row>
    <row r="6" spans="1:32" x14ac:dyDescent="0.2">
      <c r="A6" s="1">
        <v>38898</v>
      </c>
      <c r="B6" s="4">
        <v>0.64299271567067851</v>
      </c>
      <c r="C6" s="4">
        <v>1.1018976036412187</v>
      </c>
      <c r="D6" s="4">
        <v>1.3465181091204537</v>
      </c>
      <c r="E6" s="4">
        <v>1.546267960235244</v>
      </c>
      <c r="G6" s="3">
        <v>128.3684540423134</v>
      </c>
      <c r="H6" s="3">
        <v>164.50185602700435</v>
      </c>
      <c r="I6" s="3">
        <v>252.27128397960632</v>
      </c>
      <c r="J6" s="3">
        <v>314.7798318234947</v>
      </c>
      <c r="L6" s="3">
        <f t="shared" ref="L6:L29" si="0">G6/B6</f>
        <v>199.64215910038374</v>
      </c>
      <c r="M6" s="3">
        <f t="shared" ref="M6:M30" si="1">H6/C6</f>
        <v>149.28960321123148</v>
      </c>
      <c r="N6" s="3">
        <f t="shared" ref="N6:N30" si="2">I6/D6</f>
        <v>187.3508289794855</v>
      </c>
      <c r="O6" s="3">
        <f t="shared" ref="O6:O30" si="3">J6/E6</f>
        <v>203.57392115633382</v>
      </c>
      <c r="Q6" s="4">
        <v>0.81114015893093239</v>
      </c>
      <c r="R6" s="4">
        <v>1.486696425030881</v>
      </c>
      <c r="S6" s="4">
        <v>1.6393762587393048</v>
      </c>
      <c r="T6" s="4">
        <v>2.8136114617338146</v>
      </c>
      <c r="V6" t="s">
        <v>54</v>
      </c>
      <c r="X6" s="53">
        <v>2.331355461314534</v>
      </c>
      <c r="Y6" s="53">
        <v>2.7493234981435668</v>
      </c>
      <c r="Z6" s="15">
        <v>243</v>
      </c>
      <c r="AA6" s="3">
        <f>Z6/X6</f>
        <v>104.23120971136017</v>
      </c>
      <c r="AC6" s="4"/>
    </row>
    <row r="7" spans="1:32" x14ac:dyDescent="0.2">
      <c r="A7" s="1">
        <v>38990</v>
      </c>
      <c r="B7" s="4">
        <v>0.68943524550034807</v>
      </c>
      <c r="C7" s="4">
        <v>0.92539815141038118</v>
      </c>
      <c r="D7" s="4">
        <v>1.3906358855201864</v>
      </c>
      <c r="E7" s="4">
        <v>1.7523618455715892</v>
      </c>
      <c r="G7" s="3">
        <v>116.24962034851337</v>
      </c>
      <c r="H7" s="3">
        <v>150.56326020037812</v>
      </c>
      <c r="I7" s="3">
        <v>258.41399034519208</v>
      </c>
      <c r="J7" s="3">
        <v>320.64629584890844</v>
      </c>
      <c r="L7" s="3">
        <f t="shared" si="0"/>
        <v>168.6157200509046</v>
      </c>
      <c r="M7" s="3">
        <f t="shared" si="1"/>
        <v>162.70106004740512</v>
      </c>
      <c r="N7" s="3">
        <f t="shared" si="2"/>
        <v>185.8243362161827</v>
      </c>
      <c r="O7" s="3">
        <f t="shared" si="3"/>
        <v>182.97950087147629</v>
      </c>
      <c r="Q7" s="4">
        <v>0.87376598654282034</v>
      </c>
      <c r="R7" s="4">
        <v>1.1963139805063949</v>
      </c>
      <c r="S7" s="4">
        <v>1.6954739085388539</v>
      </c>
      <c r="T7" s="4">
        <v>3.3627941947384459</v>
      </c>
      <c r="V7" t="s">
        <v>50</v>
      </c>
      <c r="X7" s="53">
        <v>2.9659637535967125</v>
      </c>
      <c r="Y7" s="53">
        <v>3.4991851788480264</v>
      </c>
      <c r="Z7" s="15">
        <v>418</v>
      </c>
      <c r="AA7" s="3">
        <f>Z7/X7</f>
        <v>140.93226847196198</v>
      </c>
      <c r="AC7" s="4"/>
    </row>
    <row r="8" spans="1:32" x14ac:dyDescent="0.2">
      <c r="A8" s="1">
        <v>39082</v>
      </c>
      <c r="B8" s="4">
        <v>0.64299874657324185</v>
      </c>
      <c r="C8" s="4">
        <v>1.0048039781123073</v>
      </c>
      <c r="D8" s="4">
        <v>1.4002902983283469</v>
      </c>
      <c r="E8" s="4">
        <v>1.8307412348856555</v>
      </c>
      <c r="G8" s="3">
        <v>95.937605093946345</v>
      </c>
      <c r="H8" s="3">
        <v>115.81385779980069</v>
      </c>
      <c r="I8" s="3">
        <v>218.30909093723994</v>
      </c>
      <c r="J8" s="3">
        <v>266.13714277272913</v>
      </c>
      <c r="L8" s="3">
        <f t="shared" si="0"/>
        <v>149.20340919050051</v>
      </c>
      <c r="M8" s="3">
        <f t="shared" si="1"/>
        <v>115.26015055929261</v>
      </c>
      <c r="N8" s="3">
        <f t="shared" si="2"/>
        <v>155.90273759509384</v>
      </c>
      <c r="O8" s="3">
        <f t="shared" si="3"/>
        <v>145.37125056308219</v>
      </c>
      <c r="Q8" s="4">
        <v>0.83101971430213784</v>
      </c>
      <c r="R8" s="4">
        <v>1.2776960027860405</v>
      </c>
      <c r="S8" s="4">
        <v>1.7449023848580962</v>
      </c>
      <c r="T8" s="4">
        <v>3.6095122162723419</v>
      </c>
      <c r="V8" t="s">
        <v>52</v>
      </c>
      <c r="X8" s="53">
        <v>3.6565554771333098</v>
      </c>
      <c r="Y8" s="53">
        <v>4.2488952619685527</v>
      </c>
      <c r="Z8" s="15">
        <v>570</v>
      </c>
      <c r="AA8" s="3">
        <f>Z8/X8</f>
        <v>155.88441186372273</v>
      </c>
      <c r="AC8" s="4"/>
    </row>
    <row r="9" spans="1:32" x14ac:dyDescent="0.2">
      <c r="A9" s="1">
        <v>39172</v>
      </c>
      <c r="B9" s="4">
        <v>0.77306799825562855</v>
      </c>
      <c r="C9" s="4">
        <v>1.0637654194206378</v>
      </c>
      <c r="D9" s="4">
        <v>1.5178776487439445</v>
      </c>
      <c r="E9" s="4">
        <v>1.5117951324731262</v>
      </c>
      <c r="G9" s="3">
        <v>101.56446354517955</v>
      </c>
      <c r="H9" s="3">
        <v>121.58024484677502</v>
      </c>
      <c r="I9" s="3">
        <v>220.01645555000243</v>
      </c>
      <c r="J9" s="3">
        <v>328.95223276771799</v>
      </c>
      <c r="L9" s="3">
        <f t="shared" si="0"/>
        <v>131.3784347228864</v>
      </c>
      <c r="M9" s="3">
        <f t="shared" si="1"/>
        <v>114.29234549943509</v>
      </c>
      <c r="N9" s="3">
        <f t="shared" si="2"/>
        <v>144.95005953349914</v>
      </c>
      <c r="O9" s="3">
        <f t="shared" si="3"/>
        <v>217.59048279880969</v>
      </c>
      <c r="Q9" s="4">
        <v>1.0055835152633392</v>
      </c>
      <c r="R9" s="4">
        <v>1.4096142641074207</v>
      </c>
      <c r="S9" s="4">
        <v>1.8064496205841367</v>
      </c>
      <c r="T9" s="4">
        <v>2.7514754410118067</v>
      </c>
      <c r="Y9" s="35"/>
      <c r="AC9" s="4"/>
      <c r="AF9" s="1"/>
    </row>
    <row r="10" spans="1:32" x14ac:dyDescent="0.2">
      <c r="A10" s="1">
        <v>39263</v>
      </c>
      <c r="B10" s="4">
        <v>0.82843177474622809</v>
      </c>
      <c r="C10" s="4">
        <v>1.0386893302780982</v>
      </c>
      <c r="D10" s="4">
        <v>1.3901604639985681</v>
      </c>
      <c r="E10" s="4">
        <v>2.0361449820617548</v>
      </c>
      <c r="G10" s="3">
        <v>101.78926895174659</v>
      </c>
      <c r="H10" s="3">
        <v>117.02212370893318</v>
      </c>
      <c r="I10" s="3">
        <v>224.0714114130277</v>
      </c>
      <c r="J10" s="3">
        <v>316.04925757531379</v>
      </c>
      <c r="L10" s="3">
        <f t="shared" si="0"/>
        <v>122.86982712961185</v>
      </c>
      <c r="M10" s="3">
        <f t="shared" si="1"/>
        <v>112.6632577207679</v>
      </c>
      <c r="N10" s="3">
        <f t="shared" si="2"/>
        <v>161.18384691255218</v>
      </c>
      <c r="O10" s="3">
        <f t="shared" si="3"/>
        <v>155.21942708386581</v>
      </c>
      <c r="Q10" s="4">
        <v>1.0526985803183151</v>
      </c>
      <c r="R10" s="4">
        <v>1.3710828640314323</v>
      </c>
      <c r="S10" s="4">
        <v>1.7090800298948567</v>
      </c>
      <c r="T10" s="4">
        <v>2.808794123195681</v>
      </c>
      <c r="V10" s="5" t="s">
        <v>296</v>
      </c>
      <c r="W10" s="13" t="s">
        <v>295</v>
      </c>
      <c r="X10" s="13" t="s">
        <v>5</v>
      </c>
      <c r="Y10" s="13" t="s">
        <v>43</v>
      </c>
      <c r="Z10" s="14" t="s">
        <v>7</v>
      </c>
      <c r="AA10" s="13" t="s">
        <v>298</v>
      </c>
      <c r="AB10" s="30"/>
      <c r="AC10" s="4"/>
      <c r="AF10" s="1"/>
    </row>
    <row r="11" spans="1:32" x14ac:dyDescent="0.2">
      <c r="A11" s="1">
        <v>39355</v>
      </c>
      <c r="B11" s="4">
        <v>0.84979874068167705</v>
      </c>
      <c r="C11" s="4">
        <v>1.11888185755463</v>
      </c>
      <c r="D11" s="4">
        <v>1.3841702591323539</v>
      </c>
      <c r="E11" s="4">
        <v>2.2896882110304362</v>
      </c>
      <c r="G11" s="3">
        <v>141.70860787614592</v>
      </c>
      <c r="H11" s="3">
        <v>176.40802749028882</v>
      </c>
      <c r="I11" s="3">
        <v>327.24494217377122</v>
      </c>
      <c r="J11" s="3">
        <v>453.5000926805904</v>
      </c>
      <c r="L11" s="3">
        <f t="shared" si="0"/>
        <v>166.75549290938289</v>
      </c>
      <c r="M11" s="3">
        <f t="shared" si="1"/>
        <v>157.66457048095947</v>
      </c>
      <c r="N11" s="3">
        <f t="shared" si="2"/>
        <v>236.41957339763948</v>
      </c>
      <c r="O11" s="3">
        <f t="shared" si="3"/>
        <v>198.06194157609792</v>
      </c>
      <c r="Q11" s="4">
        <v>1.0651759744686224</v>
      </c>
      <c r="R11" s="4">
        <v>1.4317005348134506</v>
      </c>
      <c r="S11" s="4">
        <v>1.6584644843318181</v>
      </c>
      <c r="T11" s="4">
        <v>2.9602694214004912</v>
      </c>
      <c r="V11" t="s">
        <v>53</v>
      </c>
      <c r="W11" s="35">
        <v>5</v>
      </c>
      <c r="X11" s="53">
        <v>0.96109397659733931</v>
      </c>
      <c r="Y11" s="53">
        <v>1.169873477608006</v>
      </c>
      <c r="Z11" s="87">
        <v>155.83949723963119</v>
      </c>
      <c r="AA11" s="3">
        <f>Z11/X11</f>
        <v>162.14803238218798</v>
      </c>
      <c r="AC11" s="4"/>
      <c r="AF11" s="1"/>
    </row>
    <row r="12" spans="1:32" x14ac:dyDescent="0.2">
      <c r="A12" s="1">
        <v>39447</v>
      </c>
      <c r="B12" s="4">
        <v>0.9216456983456357</v>
      </c>
      <c r="C12" s="4">
        <v>1.0816741064037754</v>
      </c>
      <c r="D12" s="4">
        <v>1.4784455479754899</v>
      </c>
      <c r="E12" s="4">
        <v>2.3344994443711951</v>
      </c>
      <c r="G12" s="3">
        <v>197.73459868322954</v>
      </c>
      <c r="H12" s="3">
        <v>268.01179017041676</v>
      </c>
      <c r="I12" s="3">
        <v>424.38858636551106</v>
      </c>
      <c r="J12" s="3">
        <v>666.78419121516549</v>
      </c>
      <c r="L12" s="3">
        <f t="shared" si="0"/>
        <v>214.54513273177028</v>
      </c>
      <c r="M12" s="3">
        <f t="shared" si="1"/>
        <v>247.77498932785892</v>
      </c>
      <c r="N12" s="3">
        <f t="shared" si="2"/>
        <v>287.05053557545477</v>
      </c>
      <c r="O12" s="3">
        <f t="shared" si="3"/>
        <v>285.62191043689279</v>
      </c>
      <c r="Q12" s="4">
        <v>1.1716210791149169</v>
      </c>
      <c r="R12" s="4">
        <v>1.3829352777629631</v>
      </c>
      <c r="S12" s="4">
        <v>1.8524897178953879</v>
      </c>
      <c r="T12" s="4">
        <v>3.0610420655123911</v>
      </c>
      <c r="V12" t="s">
        <v>54</v>
      </c>
      <c r="W12" s="35">
        <v>25</v>
      </c>
      <c r="X12" s="53">
        <v>1.1418385772692532</v>
      </c>
      <c r="Y12" s="53">
        <v>1.4099164043744716</v>
      </c>
      <c r="Z12" s="87">
        <v>300.11601050297196</v>
      </c>
      <c r="AA12" s="3">
        <f>Z12/X12</f>
        <v>262.83576021814736</v>
      </c>
      <c r="AC12" s="4"/>
      <c r="AF12" s="1"/>
    </row>
    <row r="13" spans="1:32" x14ac:dyDescent="0.2">
      <c r="A13" s="1">
        <v>39538</v>
      </c>
      <c r="B13" s="4">
        <v>0.9872721776695943</v>
      </c>
      <c r="C13" s="4">
        <v>0.94400468184431607</v>
      </c>
      <c r="D13" s="4">
        <v>1.4916480023626519</v>
      </c>
      <c r="E13" s="4">
        <v>1.7760068671619653</v>
      </c>
      <c r="G13" s="3">
        <v>291.32981527137269</v>
      </c>
      <c r="H13" s="3">
        <v>363.12991777789222</v>
      </c>
      <c r="I13" s="3">
        <v>563.13776226179471</v>
      </c>
      <c r="J13" s="3">
        <v>916.22709011307825</v>
      </c>
      <c r="L13" s="3">
        <f t="shared" si="0"/>
        <v>295.08561251978347</v>
      </c>
      <c r="M13" s="3">
        <f t="shared" si="1"/>
        <v>384.6696152697462</v>
      </c>
      <c r="N13" s="3">
        <f t="shared" si="2"/>
        <v>377.52724595201363</v>
      </c>
      <c r="O13" s="3">
        <f t="shared" si="3"/>
        <v>515.89163705047861</v>
      </c>
      <c r="Q13" s="4">
        <v>1.269443689701429</v>
      </c>
      <c r="R13" s="4">
        <v>1.3488546894519942</v>
      </c>
      <c r="S13" s="4">
        <v>2.0595042950944076</v>
      </c>
      <c r="T13" s="4">
        <v>2.4184322565123519</v>
      </c>
      <c r="V13" t="s">
        <v>50</v>
      </c>
      <c r="W13" s="35">
        <v>22</v>
      </c>
      <c r="X13" s="53">
        <v>2.2446005154885929</v>
      </c>
      <c r="Y13" s="53">
        <v>2.948935346377854</v>
      </c>
      <c r="Z13" s="87">
        <v>612.17840384341673</v>
      </c>
      <c r="AA13" s="3">
        <f>Z13/X13</f>
        <v>272.73378920621025</v>
      </c>
      <c r="AC13" s="4"/>
      <c r="AF13" s="1"/>
    </row>
    <row r="14" spans="1:32" x14ac:dyDescent="0.2">
      <c r="A14" s="1">
        <v>39629</v>
      </c>
      <c r="B14" s="4">
        <v>1.0054957963047104</v>
      </c>
      <c r="C14" s="4">
        <v>0.97238639905241286</v>
      </c>
      <c r="D14" s="4">
        <v>1.4374330698737781</v>
      </c>
      <c r="E14" s="4">
        <v>1.3902609619481687</v>
      </c>
      <c r="G14" s="3">
        <v>248.8596252290447</v>
      </c>
      <c r="H14" s="3">
        <v>304.49395484769809</v>
      </c>
      <c r="I14" s="3">
        <v>529.32097223719734</v>
      </c>
      <c r="J14" s="3">
        <v>911.29954630929319</v>
      </c>
      <c r="L14" s="3">
        <f t="shared" si="0"/>
        <v>247.49941883757916</v>
      </c>
      <c r="M14" s="3">
        <f t="shared" si="1"/>
        <v>313.14090277735926</v>
      </c>
      <c r="N14" s="3">
        <f t="shared" si="2"/>
        <v>368.24043034134269</v>
      </c>
      <c r="O14" s="3">
        <f t="shared" si="3"/>
        <v>655.48812147633907</v>
      </c>
      <c r="Q14" s="4">
        <v>1.2578480322163925</v>
      </c>
      <c r="R14" s="4">
        <v>1.3797454846377675</v>
      </c>
      <c r="S14" s="4">
        <v>1.9755383737912628</v>
      </c>
      <c r="T14" s="4">
        <v>2.3039644022034187</v>
      </c>
      <c r="V14" t="s">
        <v>52</v>
      </c>
      <c r="W14" s="35">
        <v>19</v>
      </c>
      <c r="X14" s="53">
        <v>3.9921788432177863</v>
      </c>
      <c r="Y14" s="53">
        <v>4.7120865593101966</v>
      </c>
      <c r="Z14" s="87">
        <v>1147.0278799259727</v>
      </c>
      <c r="AA14" s="3">
        <f>Z14/X14</f>
        <v>287.31876125104714</v>
      </c>
      <c r="AC14" s="4"/>
      <c r="AF14" s="1"/>
    </row>
    <row r="15" spans="1:32" x14ac:dyDescent="0.2">
      <c r="A15" s="1">
        <v>39721</v>
      </c>
      <c r="B15" s="4">
        <v>1.0269557247071686</v>
      </c>
      <c r="C15" s="4">
        <v>0.89594930421020214</v>
      </c>
      <c r="D15" s="4">
        <v>1.4841939765274865</v>
      </c>
      <c r="E15" s="4">
        <v>1.5249073468333774</v>
      </c>
      <c r="G15" s="3">
        <v>405.52269001772726</v>
      </c>
      <c r="H15" s="3">
        <v>511.26414559572663</v>
      </c>
      <c r="I15" s="3">
        <v>985.90449384532815</v>
      </c>
      <c r="J15" s="3">
        <v>1460.6330261633275</v>
      </c>
      <c r="L15" s="3">
        <f t="shared" si="0"/>
        <v>394.87845508954155</v>
      </c>
      <c r="M15" s="3">
        <f t="shared" si="1"/>
        <v>570.63959221042819</v>
      </c>
      <c r="N15" s="3">
        <f t="shared" si="2"/>
        <v>664.26929999541721</v>
      </c>
      <c r="O15" s="3">
        <f t="shared" si="3"/>
        <v>957.85034362676402</v>
      </c>
      <c r="Q15" s="4">
        <v>1.2990956585671458</v>
      </c>
      <c r="R15" s="4">
        <v>1.3356452764061832</v>
      </c>
      <c r="S15" s="4">
        <v>1.9279437435769029</v>
      </c>
      <c r="T15" s="4">
        <v>2.3177526514730018</v>
      </c>
      <c r="Y15" s="35"/>
    </row>
    <row r="16" spans="1:32" x14ac:dyDescent="0.2">
      <c r="A16" s="1">
        <v>39813</v>
      </c>
      <c r="B16" s="4">
        <v>1.0948450243120613</v>
      </c>
      <c r="C16" s="4">
        <v>0.87555876392105936</v>
      </c>
      <c r="D16" s="4">
        <v>1.6611974468390678</v>
      </c>
      <c r="E16" s="4">
        <v>2.0598687943635463</v>
      </c>
      <c r="G16" s="3">
        <v>574.02058699697625</v>
      </c>
      <c r="H16" s="3">
        <v>899.55768078950348</v>
      </c>
      <c r="I16" s="3">
        <v>1849.5113142566961</v>
      </c>
      <c r="J16" s="3">
        <v>3183.4554371440195</v>
      </c>
      <c r="L16" s="3">
        <f t="shared" si="0"/>
        <v>524.29391763245974</v>
      </c>
      <c r="M16" s="3">
        <f t="shared" si="1"/>
        <v>1027.4098299935558</v>
      </c>
      <c r="N16" s="3">
        <f t="shared" si="2"/>
        <v>1113.3603159431484</v>
      </c>
      <c r="O16" s="3">
        <f t="shared" si="3"/>
        <v>1545.4651509139621</v>
      </c>
      <c r="Q16" s="4">
        <v>1.3972577892593752</v>
      </c>
      <c r="R16" s="4">
        <v>1.3596805118650244</v>
      </c>
      <c r="S16" s="4">
        <v>2.1147867308661059</v>
      </c>
      <c r="T16" s="4">
        <v>2.4104262348786842</v>
      </c>
      <c r="V16" s="5" t="s">
        <v>297</v>
      </c>
      <c r="W16" s="13" t="s">
        <v>295</v>
      </c>
      <c r="X16" s="13" t="s">
        <v>5</v>
      </c>
      <c r="Y16" s="13" t="s">
        <v>43</v>
      </c>
      <c r="Z16" s="14" t="s">
        <v>7</v>
      </c>
      <c r="AA16" s="13" t="s">
        <v>298</v>
      </c>
    </row>
    <row r="17" spans="1:32" x14ac:dyDescent="0.2">
      <c r="A17" s="1">
        <v>39903</v>
      </c>
      <c r="B17" s="4">
        <v>1.2166556118332645</v>
      </c>
      <c r="C17" s="4">
        <v>0.97064255847920844</v>
      </c>
      <c r="D17" s="4">
        <v>1.7745760333647362</v>
      </c>
      <c r="E17" s="4">
        <v>2.9629198712986784</v>
      </c>
      <c r="G17" s="3">
        <v>488.11365069529126</v>
      </c>
      <c r="H17" s="3">
        <v>721.93297708014256</v>
      </c>
      <c r="I17" s="3">
        <v>1453.0452260714071</v>
      </c>
      <c r="J17" s="3">
        <v>2933.8307346939901</v>
      </c>
      <c r="L17" s="3">
        <f t="shared" si="0"/>
        <v>401.19294724642617</v>
      </c>
      <c r="M17" s="3">
        <f t="shared" si="1"/>
        <v>743.76810574971989</v>
      </c>
      <c r="N17" s="3">
        <f t="shared" si="2"/>
        <v>818.81260580101412</v>
      </c>
      <c r="O17" s="3">
        <f t="shared" si="3"/>
        <v>990.18227361243544</v>
      </c>
      <c r="Q17" s="4">
        <v>1.5529542755731549</v>
      </c>
      <c r="R17" s="4">
        <v>1.5318572412398519</v>
      </c>
      <c r="S17" s="4">
        <v>2.3140951522740205</v>
      </c>
      <c r="T17" s="4">
        <v>2.6460890479581631</v>
      </c>
      <c r="V17" t="s">
        <v>53</v>
      </c>
      <c r="W17" s="35">
        <v>1</v>
      </c>
      <c r="X17" s="53">
        <v>1.3141728736449807</v>
      </c>
      <c r="Y17" s="53">
        <v>3.0759555134985215</v>
      </c>
      <c r="Z17" s="87">
        <v>212.09560533798972</v>
      </c>
      <c r="AA17" s="3">
        <f>Z17/X17</f>
        <v>161.39094756211398</v>
      </c>
      <c r="AC17" s="4"/>
      <c r="AF17" s="1"/>
    </row>
    <row r="18" spans="1:32" x14ac:dyDescent="0.2">
      <c r="A18" s="1">
        <v>39994</v>
      </c>
      <c r="B18" s="4">
        <v>1.3637787457185835</v>
      </c>
      <c r="C18" s="4">
        <v>1.2536859810222463</v>
      </c>
      <c r="D18" s="4">
        <v>1.7257339652964525</v>
      </c>
      <c r="E18" s="4">
        <v>4.0797072870059461</v>
      </c>
      <c r="G18" s="3">
        <v>326.54741514506122</v>
      </c>
      <c r="H18" s="3">
        <v>487.36403476571417</v>
      </c>
      <c r="I18" s="3">
        <v>867.42864133890612</v>
      </c>
      <c r="J18" s="3">
        <v>1561.3226568325849</v>
      </c>
      <c r="L18" s="3">
        <f t="shared" si="0"/>
        <v>239.4431033407852</v>
      </c>
      <c r="M18" s="3">
        <f t="shared" si="1"/>
        <v>388.74490274535987</v>
      </c>
      <c r="N18" s="3">
        <f t="shared" si="2"/>
        <v>502.64331512412241</v>
      </c>
      <c r="O18" s="3">
        <f t="shared" si="3"/>
        <v>382.70457829302336</v>
      </c>
      <c r="Q18" s="4">
        <v>1.8198909297332047</v>
      </c>
      <c r="R18" s="4">
        <v>1.8905756041390569</v>
      </c>
      <c r="S18" s="4">
        <v>2.3815742815540943</v>
      </c>
      <c r="T18" s="4">
        <v>3.8217639908968675</v>
      </c>
      <c r="V18" t="s">
        <v>54</v>
      </c>
      <c r="W18" s="35">
        <v>3</v>
      </c>
      <c r="X18" s="53">
        <v>0.71484140901382176</v>
      </c>
      <c r="Y18" s="53">
        <v>0.98788198461562604</v>
      </c>
      <c r="Z18" s="87">
        <v>323.0825153367345</v>
      </c>
      <c r="AA18" s="3">
        <f>Z18/X18</f>
        <v>451.96390592768188</v>
      </c>
      <c r="AC18" s="4"/>
      <c r="AF18" s="1"/>
    </row>
    <row r="19" spans="1:32" x14ac:dyDescent="0.2">
      <c r="A19" s="1">
        <v>40086</v>
      </c>
      <c r="B19" s="4">
        <v>1.3795470333492676</v>
      </c>
      <c r="C19" s="4">
        <v>1.3730649147905558</v>
      </c>
      <c r="D19" s="4">
        <v>2.014537646152688</v>
      </c>
      <c r="E19" s="4">
        <v>4.2656407326112644</v>
      </c>
      <c r="G19" s="3">
        <v>243.83832728137421</v>
      </c>
      <c r="H19" s="3">
        <v>334.48461560173826</v>
      </c>
      <c r="I19" s="3">
        <v>551.77566573120566</v>
      </c>
      <c r="J19" s="3">
        <v>960.19984480378889</v>
      </c>
      <c r="L19" s="3">
        <f t="shared" si="0"/>
        <v>176.75245670267793</v>
      </c>
      <c r="M19" s="3">
        <f t="shared" si="1"/>
        <v>243.60437150399389</v>
      </c>
      <c r="N19" s="3">
        <f t="shared" si="2"/>
        <v>273.8969245796784</v>
      </c>
      <c r="O19" s="3">
        <f t="shared" si="3"/>
        <v>225.10096489443234</v>
      </c>
      <c r="Q19" s="4">
        <v>1.7887694770118241</v>
      </c>
      <c r="R19" s="4">
        <v>2.1965052259412339</v>
      </c>
      <c r="S19" s="4">
        <v>2.967793082010997</v>
      </c>
      <c r="T19" s="4">
        <v>4.2621288666556989</v>
      </c>
      <c r="V19" t="s">
        <v>50</v>
      </c>
      <c r="W19" s="35">
        <v>5</v>
      </c>
      <c r="X19" s="53">
        <v>1.3653010636767657</v>
      </c>
      <c r="Y19" s="53">
        <v>1.7981370462724837</v>
      </c>
      <c r="Z19" s="87">
        <v>519.96167816846457</v>
      </c>
      <c r="AA19" s="3">
        <f>Z19/X19</f>
        <v>380.84030841388488</v>
      </c>
      <c r="AC19" s="4"/>
      <c r="AF19" s="1"/>
    </row>
    <row r="20" spans="1:32" x14ac:dyDescent="0.2">
      <c r="A20" s="1">
        <v>40178</v>
      </c>
      <c r="B20" s="4">
        <v>1.3825936377662447</v>
      </c>
      <c r="C20" s="4">
        <v>1.4488832428290768</v>
      </c>
      <c r="D20" s="4">
        <v>2.0892149353666212</v>
      </c>
      <c r="E20" s="4">
        <v>4.2155207539569766</v>
      </c>
      <c r="G20" s="3">
        <v>198.37062493849086</v>
      </c>
      <c r="H20" s="3">
        <v>282.00664730070559</v>
      </c>
      <c r="I20" s="3">
        <v>501.80853574466806</v>
      </c>
      <c r="J20" s="3">
        <v>931.65706425891824</v>
      </c>
      <c r="L20" s="3">
        <f t="shared" si="0"/>
        <v>143.47717183118516</v>
      </c>
      <c r="M20" s="3">
        <f t="shared" si="1"/>
        <v>194.63724816781087</v>
      </c>
      <c r="N20" s="3">
        <f t="shared" si="2"/>
        <v>240.19000020053434</v>
      </c>
      <c r="O20" s="3">
        <f t="shared" si="3"/>
        <v>221.00639959710816</v>
      </c>
      <c r="Q20" s="4">
        <v>1.7725135456027286</v>
      </c>
      <c r="R20" s="4">
        <v>2.2147120928505006</v>
      </c>
      <c r="S20" s="4">
        <v>3.0029364515349379</v>
      </c>
      <c r="T20" s="4">
        <v>4.7581579250537827</v>
      </c>
      <c r="V20" t="s">
        <v>52</v>
      </c>
      <c r="W20" s="35">
        <v>8</v>
      </c>
      <c r="X20" s="53">
        <v>2.6667002456292908</v>
      </c>
      <c r="Y20" s="53">
        <v>3.2432255824859526</v>
      </c>
      <c r="Z20" s="87">
        <v>845.93593587562157</v>
      </c>
      <c r="AA20" s="3">
        <f>Z20/X20</f>
        <v>317.22198145896095</v>
      </c>
      <c r="AC20" s="4"/>
      <c r="AF20" s="1"/>
    </row>
    <row r="21" spans="1:32" x14ac:dyDescent="0.2">
      <c r="A21" s="1">
        <v>40268</v>
      </c>
      <c r="B21" s="4">
        <v>1.1081740156694146</v>
      </c>
      <c r="C21" s="4">
        <v>1.3251185045388194</v>
      </c>
      <c r="D21" s="4">
        <v>2.2011146859151882</v>
      </c>
      <c r="E21" s="4">
        <v>3.715379932578291</v>
      </c>
      <c r="G21" s="3">
        <v>153.00192477175028</v>
      </c>
      <c r="H21" s="3">
        <v>237.88649278401311</v>
      </c>
      <c r="I21" s="3">
        <v>406.88181430461924</v>
      </c>
      <c r="J21" s="3">
        <v>737.89924859185874</v>
      </c>
      <c r="L21" s="3">
        <f t="shared" si="0"/>
        <v>138.06669585130672</v>
      </c>
      <c r="M21" s="3">
        <f t="shared" si="1"/>
        <v>179.52091980392703</v>
      </c>
      <c r="N21" s="3">
        <f t="shared" si="2"/>
        <v>184.85261895176728</v>
      </c>
      <c r="O21" s="3">
        <f t="shared" si="3"/>
        <v>198.60667333684847</v>
      </c>
      <c r="Q21" s="4">
        <v>1.5741462910418815</v>
      </c>
      <c r="R21" s="4">
        <v>1.9739587906955525</v>
      </c>
      <c r="S21" s="4">
        <v>3.0528180071657207</v>
      </c>
      <c r="T21" s="4">
        <v>4.7174177403560247</v>
      </c>
      <c r="X21" s="53"/>
      <c r="Y21" s="53"/>
      <c r="AA21" s="3"/>
      <c r="AC21" s="4"/>
      <c r="AF21" s="1"/>
    </row>
    <row r="22" spans="1:32" x14ac:dyDescent="0.2">
      <c r="A22" s="1">
        <v>40359</v>
      </c>
      <c r="B22" s="4">
        <v>1.0361957804720536</v>
      </c>
      <c r="C22" s="4">
        <v>1.3123391373595239</v>
      </c>
      <c r="D22" s="4">
        <v>1.9389083655604245</v>
      </c>
      <c r="E22" s="4">
        <v>3.3907077569482063</v>
      </c>
      <c r="G22" s="3">
        <v>182.0331725109767</v>
      </c>
      <c r="H22" s="3">
        <v>324.8491672556068</v>
      </c>
      <c r="I22" s="3">
        <v>570.1324911332598</v>
      </c>
      <c r="J22" s="3">
        <v>862.68819111296693</v>
      </c>
      <c r="L22" s="3">
        <f t="shared" si="0"/>
        <v>175.67449698361918</v>
      </c>
      <c r="M22" s="3">
        <f t="shared" si="1"/>
        <v>247.53446575495389</v>
      </c>
      <c r="N22" s="3">
        <f t="shared" si="2"/>
        <v>294.04818776387509</v>
      </c>
      <c r="O22" s="3">
        <f t="shared" si="3"/>
        <v>254.42717360266582</v>
      </c>
      <c r="Q22" s="4">
        <v>1.494131012944258</v>
      </c>
      <c r="R22" s="4">
        <v>1.9274712284311004</v>
      </c>
      <c r="S22" s="4">
        <v>2.721279046298311</v>
      </c>
      <c r="T22" s="4">
        <v>4.3801498838157586</v>
      </c>
      <c r="Y22" s="35"/>
    </row>
    <row r="23" spans="1:32" x14ac:dyDescent="0.2">
      <c r="A23" s="1">
        <v>40451</v>
      </c>
      <c r="B23" s="4">
        <v>1.0560075824093789</v>
      </c>
      <c r="C23" s="4">
        <v>1.1693406637623387</v>
      </c>
      <c r="D23" s="4">
        <v>1.9464641026475504</v>
      </c>
      <c r="E23" s="4">
        <v>2.9586608420322951</v>
      </c>
      <c r="G23" s="3">
        <v>167.42081222385406</v>
      </c>
      <c r="H23" s="3">
        <v>274.60681446660493</v>
      </c>
      <c r="I23" s="3">
        <v>484.9436554318853</v>
      </c>
      <c r="J23" s="3">
        <v>764.73051175053831</v>
      </c>
      <c r="L23" s="3">
        <f t="shared" si="0"/>
        <v>158.54129744207708</v>
      </c>
      <c r="M23" s="3">
        <f t="shared" si="1"/>
        <v>234.83901909565088</v>
      </c>
      <c r="N23" s="3">
        <f t="shared" si="2"/>
        <v>249.14081629980868</v>
      </c>
      <c r="O23" s="3">
        <f t="shared" si="3"/>
        <v>258.47183999138178</v>
      </c>
      <c r="Q23" s="4">
        <v>1.5558572390738468</v>
      </c>
      <c r="R23" s="4">
        <v>1.8876078039008741</v>
      </c>
      <c r="S23" s="4">
        <v>2.7648512399194112</v>
      </c>
      <c r="T23" s="4">
        <v>3.9987021237685392</v>
      </c>
      <c r="V23" s="5" t="s">
        <v>299</v>
      </c>
      <c r="W23" s="13" t="s">
        <v>295</v>
      </c>
      <c r="X23" s="13" t="s">
        <v>5</v>
      </c>
      <c r="Y23" s="13" t="s">
        <v>43</v>
      </c>
      <c r="Z23" s="14" t="s">
        <v>7</v>
      </c>
      <c r="AA23" s="13" t="s">
        <v>298</v>
      </c>
      <c r="AC23" s="4"/>
      <c r="AF23" s="1"/>
    </row>
    <row r="24" spans="1:32" x14ac:dyDescent="0.2">
      <c r="A24" s="1">
        <v>40543</v>
      </c>
      <c r="B24" s="4">
        <v>1.1256355849062465</v>
      </c>
      <c r="C24" s="4">
        <v>1.3145669277710279</v>
      </c>
      <c r="D24" s="4">
        <v>2.0213776392035867</v>
      </c>
      <c r="E24" s="4">
        <v>3.2887628334815568</v>
      </c>
      <c r="G24" s="3">
        <v>157.55539612539863</v>
      </c>
      <c r="H24" s="3">
        <v>250.26899197750541</v>
      </c>
      <c r="I24" s="3">
        <v>444.32353671073412</v>
      </c>
      <c r="J24" s="3">
        <v>685.12783984125474</v>
      </c>
      <c r="L24" s="3">
        <f t="shared" si="0"/>
        <v>139.97016284672745</v>
      </c>
      <c r="M24" s="3">
        <f t="shared" si="1"/>
        <v>190.38132383404781</v>
      </c>
      <c r="N24" s="3">
        <f t="shared" si="2"/>
        <v>219.81223502887639</v>
      </c>
      <c r="O24" s="3">
        <f t="shared" si="3"/>
        <v>208.32388181544951</v>
      </c>
      <c r="Q24" s="4">
        <v>1.581783750789209</v>
      </c>
      <c r="R24" s="4">
        <v>1.9493953511231361</v>
      </c>
      <c r="S24" s="4">
        <v>2.6902758428906357</v>
      </c>
      <c r="T24" s="4">
        <v>4.5268749241211443</v>
      </c>
      <c r="V24" t="s">
        <v>53</v>
      </c>
      <c r="W24" s="35">
        <v>5</v>
      </c>
      <c r="X24" s="53">
        <v>1.6354601158803317</v>
      </c>
      <c r="Y24" s="53">
        <v>1.9316296085600169</v>
      </c>
      <c r="Z24" s="87">
        <v>236.39369535327293</v>
      </c>
      <c r="AA24" s="3">
        <f>Z24/X24</f>
        <v>144.54262323971594</v>
      </c>
      <c r="AC24" s="4"/>
      <c r="AD24" s="4"/>
      <c r="AE24" s="10"/>
    </row>
    <row r="25" spans="1:32" x14ac:dyDescent="0.2">
      <c r="A25" s="1">
        <v>40633</v>
      </c>
      <c r="B25" s="4">
        <v>1.1010560001808227</v>
      </c>
      <c r="C25" s="4">
        <v>1.1734932600284107</v>
      </c>
      <c r="D25" s="4">
        <v>1.8676795392584249</v>
      </c>
      <c r="E25" s="4">
        <v>2.913421419458162</v>
      </c>
      <c r="G25" s="3">
        <v>143.42547607125641</v>
      </c>
      <c r="H25" s="3">
        <v>210.63462672223227</v>
      </c>
      <c r="I25" s="3">
        <v>440.27595197777907</v>
      </c>
      <c r="J25" s="3">
        <v>596.48216553236989</v>
      </c>
      <c r="L25" s="3">
        <f t="shared" si="0"/>
        <v>130.26174513167553</v>
      </c>
      <c r="M25" s="3">
        <f t="shared" si="1"/>
        <v>179.49368257737819</v>
      </c>
      <c r="N25" s="3">
        <f t="shared" si="2"/>
        <v>235.73420531907399</v>
      </c>
      <c r="O25" s="3">
        <f t="shared" si="3"/>
        <v>204.73597178512665</v>
      </c>
      <c r="Q25" s="4">
        <v>1.5258034394252487</v>
      </c>
      <c r="R25" s="4">
        <v>1.8215954703585795</v>
      </c>
      <c r="S25" s="4">
        <v>2.5677738120246474</v>
      </c>
      <c r="T25" s="4">
        <v>3.7014111833035499</v>
      </c>
      <c r="V25" t="s">
        <v>54</v>
      </c>
      <c r="W25" s="35">
        <v>4</v>
      </c>
      <c r="X25" s="53">
        <v>1.8196734542829107</v>
      </c>
      <c r="Y25" s="53">
        <v>2.5071324976164808</v>
      </c>
      <c r="Z25" s="87">
        <v>467.68070784137376</v>
      </c>
      <c r="AA25" s="3">
        <f>Z25/X25</f>
        <v>257.0135354453887</v>
      </c>
      <c r="AC25" s="4"/>
      <c r="AD25" s="31"/>
      <c r="AE25" s="32"/>
      <c r="AF25" s="7"/>
    </row>
    <row r="26" spans="1:32" x14ac:dyDescent="0.2">
      <c r="A26" s="1">
        <v>40724</v>
      </c>
      <c r="B26" s="4">
        <v>0.95825630180304588</v>
      </c>
      <c r="C26" s="4">
        <v>1.2407516786056711</v>
      </c>
      <c r="D26" s="4">
        <v>2.0523731273871952</v>
      </c>
      <c r="E26" s="4">
        <v>2.9727442066895948</v>
      </c>
      <c r="G26" s="3">
        <v>159.89065862935024</v>
      </c>
      <c r="H26" s="3">
        <v>240.48828907642135</v>
      </c>
      <c r="I26" s="3">
        <v>525.55598769671894</v>
      </c>
      <c r="J26" s="3">
        <v>664.79040366376239</v>
      </c>
      <c r="L26" s="3">
        <f t="shared" si="0"/>
        <v>166.85583838948045</v>
      </c>
      <c r="M26" s="3">
        <f t="shared" si="1"/>
        <v>193.82467356133395</v>
      </c>
      <c r="N26" s="3">
        <f t="shared" si="2"/>
        <v>256.0723392270225</v>
      </c>
      <c r="O26" s="3">
        <f t="shared" si="3"/>
        <v>223.62852551113485</v>
      </c>
      <c r="Q26" s="4">
        <v>1.3753068332284184</v>
      </c>
      <c r="R26" s="4">
        <v>1.819141878980985</v>
      </c>
      <c r="S26" s="4">
        <v>2.7679087140203218</v>
      </c>
      <c r="T26" s="4">
        <v>3.9672653232093693</v>
      </c>
      <c r="V26" t="s">
        <v>50</v>
      </c>
      <c r="W26" s="35">
        <v>10</v>
      </c>
      <c r="X26" s="53">
        <v>2.4116846427803531</v>
      </c>
      <c r="Y26" s="53">
        <v>2.8351883008883405</v>
      </c>
      <c r="Z26" s="87">
        <v>729.4389250751002</v>
      </c>
      <c r="AA26" s="3">
        <f>Z26/X26</f>
        <v>302.46032675074537</v>
      </c>
      <c r="AC26" s="4"/>
      <c r="AD26" s="31"/>
      <c r="AE26" s="32"/>
      <c r="AF26" s="7"/>
    </row>
    <row r="27" spans="1:32" x14ac:dyDescent="0.2">
      <c r="A27" s="1">
        <v>40816</v>
      </c>
      <c r="B27" s="4">
        <v>0.92692980878277054</v>
      </c>
      <c r="C27" s="4">
        <v>1.1883285244651312</v>
      </c>
      <c r="D27" s="4">
        <v>1.9388711626534578</v>
      </c>
      <c r="E27" s="4">
        <v>2.9281163907388126</v>
      </c>
      <c r="G27" s="3">
        <v>248.21443374010011</v>
      </c>
      <c r="H27" s="3">
        <v>415.04922876257251</v>
      </c>
      <c r="I27" s="3">
        <v>887.89529330561561</v>
      </c>
      <c r="J27" s="3">
        <v>1236.0604120183814</v>
      </c>
      <c r="L27" s="3">
        <f t="shared" si="0"/>
        <v>267.78126173981968</v>
      </c>
      <c r="M27" s="3">
        <f t="shared" si="1"/>
        <v>349.27145163782626</v>
      </c>
      <c r="N27" s="3">
        <f t="shared" si="2"/>
        <v>457.94445263215908</v>
      </c>
      <c r="O27" s="3">
        <f t="shared" si="3"/>
        <v>422.13499979982106</v>
      </c>
      <c r="Q27" s="4">
        <v>1.3572605019598389</v>
      </c>
      <c r="R27" s="4">
        <v>1.6884635858383696</v>
      </c>
      <c r="S27" s="4">
        <v>2.5749755720136229</v>
      </c>
      <c r="T27" s="4">
        <v>3.6930851505877076</v>
      </c>
      <c r="V27" t="s">
        <v>52</v>
      </c>
      <c r="W27" s="35">
        <v>10</v>
      </c>
      <c r="X27" s="53">
        <v>2.4134734417529873</v>
      </c>
      <c r="Y27" s="53">
        <v>3.6901848556078041</v>
      </c>
      <c r="Z27" s="87">
        <v>833.62183765101031</v>
      </c>
      <c r="AA27" s="3">
        <f>Z27/X27</f>
        <v>345.40336066243287</v>
      </c>
      <c r="AC27" s="4"/>
      <c r="AD27" s="4"/>
      <c r="AE27" s="10"/>
    </row>
    <row r="28" spans="1:32" x14ac:dyDescent="0.2">
      <c r="A28" s="1">
        <v>40908</v>
      </c>
      <c r="B28" s="4">
        <v>1.0039154442203424</v>
      </c>
      <c r="C28" s="4">
        <v>1.2020599261666436</v>
      </c>
      <c r="D28" s="4">
        <v>1.8883267974522684</v>
      </c>
      <c r="E28" s="4">
        <v>2.867123448510454</v>
      </c>
      <c r="G28" s="3">
        <v>213.23135771785985</v>
      </c>
      <c r="H28" s="3">
        <v>377.23336829131881</v>
      </c>
      <c r="I28" s="3">
        <v>800.33679958558707</v>
      </c>
      <c r="J28" s="3">
        <v>1171.9601635508936</v>
      </c>
      <c r="L28" s="3">
        <f t="shared" si="0"/>
        <v>212.3997184677828</v>
      </c>
      <c r="M28" s="3">
        <f t="shared" si="1"/>
        <v>313.82243104494137</v>
      </c>
      <c r="N28" s="3">
        <f t="shared" si="2"/>
        <v>423.83384097784449</v>
      </c>
      <c r="O28" s="3">
        <f t="shared" si="3"/>
        <v>408.75818031475336</v>
      </c>
      <c r="Q28" s="4">
        <v>1.3794240471074553</v>
      </c>
      <c r="R28" s="4">
        <v>1.6676076386075145</v>
      </c>
      <c r="S28" s="4">
        <v>2.531297109211005</v>
      </c>
      <c r="T28" s="4">
        <v>3.6006907146425053</v>
      </c>
      <c r="W28" s="44"/>
      <c r="X28" s="53"/>
      <c r="Y28" s="76"/>
      <c r="AA28" s="3"/>
      <c r="AC28" s="4"/>
      <c r="AF28" s="1"/>
    </row>
    <row r="29" spans="1:32" x14ac:dyDescent="0.2">
      <c r="A29" s="1">
        <v>40999</v>
      </c>
      <c r="B29" s="4">
        <v>1.1228075378629436</v>
      </c>
      <c r="C29" s="4">
        <v>1.1279494187921837</v>
      </c>
      <c r="D29" s="4">
        <v>2.1557513994337922</v>
      </c>
      <c r="E29" s="4">
        <v>3.3615019417176062</v>
      </c>
      <c r="G29" s="3">
        <v>171.17754207788977</v>
      </c>
      <c r="H29" s="3">
        <v>271.05982227415535</v>
      </c>
      <c r="I29" s="3">
        <v>525.90214331171148</v>
      </c>
      <c r="J29" s="3">
        <v>896.81140006347744</v>
      </c>
      <c r="L29" s="3">
        <f t="shared" si="0"/>
        <v>152.45492776410688</v>
      </c>
      <c r="M29" s="3">
        <f t="shared" si="1"/>
        <v>240.31203683265173</v>
      </c>
      <c r="N29" s="3">
        <f t="shared" si="2"/>
        <v>243.9530566696325</v>
      </c>
      <c r="O29" s="3">
        <f t="shared" si="3"/>
        <v>266.78889841879408</v>
      </c>
      <c r="Q29" s="4">
        <v>1.4794067672169664</v>
      </c>
      <c r="R29" s="4">
        <v>1.6139243551806837</v>
      </c>
      <c r="S29" s="4">
        <v>2.7904121455100412</v>
      </c>
      <c r="T29" s="4">
        <v>3.452238090819145</v>
      </c>
      <c r="Y29" s="35"/>
      <c r="AC29" s="4"/>
      <c r="AF29" s="1"/>
    </row>
    <row r="30" spans="1:32" x14ac:dyDescent="0.2">
      <c r="A30" s="1">
        <v>41090</v>
      </c>
      <c r="B30" s="4">
        <v>1.1504782077687765</v>
      </c>
      <c r="C30" s="4">
        <v>1.4332833142822039</v>
      </c>
      <c r="D30" s="4">
        <v>2.0140419936719773</v>
      </c>
      <c r="E30" s="4">
        <v>3.2114937055908297</v>
      </c>
      <c r="G30" s="3">
        <v>176.71200387143278</v>
      </c>
      <c r="H30" s="3">
        <v>306.28524889963376</v>
      </c>
      <c r="I30" s="3">
        <v>619.01776032915791</v>
      </c>
      <c r="J30" s="3">
        <v>1061.4830931342115</v>
      </c>
      <c r="L30" s="3">
        <f>G30/B30</f>
        <v>153.59874066119505</v>
      </c>
      <c r="M30" s="3">
        <f t="shared" si="1"/>
        <v>213.69484026472679</v>
      </c>
      <c r="N30" s="3">
        <f t="shared" si="2"/>
        <v>307.35096997683354</v>
      </c>
      <c r="O30" s="3">
        <f t="shared" si="3"/>
        <v>330.52628790344357</v>
      </c>
      <c r="Q30" s="4">
        <v>1.4882111583588671</v>
      </c>
      <c r="R30" s="4">
        <v>1.8173924717983381</v>
      </c>
      <c r="S30" s="4">
        <v>2.5543387259352963</v>
      </c>
      <c r="T30" s="4">
        <v>3.3577247506334902</v>
      </c>
      <c r="Y30" s="35"/>
      <c r="AC30" s="4"/>
      <c r="AF30" s="1"/>
    </row>
    <row r="31" spans="1:32" x14ac:dyDescent="0.2">
      <c r="A31" s="1">
        <v>41150</v>
      </c>
      <c r="G31" s="3"/>
      <c r="H31" s="3"/>
      <c r="I31" s="3"/>
      <c r="J31" s="3"/>
      <c r="L31" s="3"/>
      <c r="M31" s="3"/>
      <c r="N31" s="3"/>
      <c r="O31" s="3"/>
      <c r="AF31" s="1"/>
    </row>
    <row r="32" spans="1:32" x14ac:dyDescent="0.2">
      <c r="G32" s="3"/>
      <c r="H32" s="3"/>
      <c r="I32" s="3"/>
      <c r="J32" s="3"/>
      <c r="L32" s="3"/>
      <c r="M32" s="3"/>
      <c r="N32" s="3"/>
      <c r="O32" s="3"/>
      <c r="AF32" s="1"/>
    </row>
    <row r="33" spans="8:32" x14ac:dyDescent="0.2">
      <c r="I33" s="4"/>
      <c r="J33" s="3"/>
      <c r="AF33" s="1"/>
    </row>
    <row r="34" spans="8:32" x14ac:dyDescent="0.2">
      <c r="I34" s="4"/>
      <c r="J34" s="3"/>
    </row>
    <row r="35" spans="8:32" x14ac:dyDescent="0.2">
      <c r="I35" s="4"/>
      <c r="J35" s="3"/>
    </row>
    <row r="36" spans="8:32" x14ac:dyDescent="0.2">
      <c r="I36" s="4"/>
      <c r="J36" s="3"/>
    </row>
    <row r="37" spans="8:32" x14ac:dyDescent="0.2">
      <c r="I37" s="4"/>
      <c r="J37" s="3"/>
    </row>
    <row r="38" spans="8:32" x14ac:dyDescent="0.2">
      <c r="I38" s="4"/>
      <c r="J38" s="3"/>
    </row>
    <row r="39" spans="8:32" x14ac:dyDescent="0.2">
      <c r="I39" s="4"/>
      <c r="J39" s="3"/>
    </row>
    <row r="40" spans="8:32" x14ac:dyDescent="0.2">
      <c r="H40" s="10"/>
      <c r="I40" s="10"/>
      <c r="J40" s="3"/>
    </row>
    <row r="41" spans="8:32" x14ac:dyDescent="0.2">
      <c r="I41" s="4"/>
      <c r="J41" s="3"/>
    </row>
    <row r="42" spans="8:32" x14ac:dyDescent="0.2">
      <c r="I42" s="4"/>
      <c r="J42" s="3"/>
    </row>
    <row r="43" spans="8:32" x14ac:dyDescent="0.2">
      <c r="I43" s="4"/>
      <c r="J43" s="3"/>
    </row>
    <row r="44" spans="8:32" x14ac:dyDescent="0.2">
      <c r="I44" s="4"/>
      <c r="J44" s="3"/>
    </row>
    <row r="45" spans="8:32" x14ac:dyDescent="0.2">
      <c r="I45" s="4"/>
      <c r="J45" s="3"/>
    </row>
    <row r="46" spans="8:32" x14ac:dyDescent="0.2">
      <c r="I46" s="4"/>
      <c r="J46" s="3"/>
    </row>
    <row r="47" spans="8:32" x14ac:dyDescent="0.2">
      <c r="I47" s="4"/>
      <c r="J47" s="3"/>
    </row>
    <row r="48" spans="8:32" x14ac:dyDescent="0.2">
      <c r="I48" s="4"/>
      <c r="J48" s="3"/>
    </row>
    <row r="49" spans="1:26" x14ac:dyDescent="0.2">
      <c r="I49" s="4"/>
      <c r="J49" s="3"/>
    </row>
    <row r="50" spans="1:26" x14ac:dyDescent="0.2">
      <c r="I50" s="4"/>
      <c r="J50" s="3"/>
    </row>
    <row r="51" spans="1:26" x14ac:dyDescent="0.2">
      <c r="I51" s="4"/>
      <c r="J51" s="3"/>
    </row>
    <row r="52" spans="1:26" x14ac:dyDescent="0.2">
      <c r="I52" s="4"/>
      <c r="J52" s="3"/>
    </row>
    <row r="53" spans="1:26" x14ac:dyDescent="0.2">
      <c r="I53" s="4"/>
      <c r="J53" s="3"/>
    </row>
    <row r="54" spans="1:26" x14ac:dyDescent="0.2">
      <c r="I54" s="4"/>
      <c r="J54" s="3"/>
    </row>
    <row r="55" spans="1:26" x14ac:dyDescent="0.2">
      <c r="I55" s="4"/>
      <c r="J55" s="3"/>
    </row>
    <row r="56" spans="1:26" x14ac:dyDescent="0.2">
      <c r="I56" s="4"/>
      <c r="J56" s="3"/>
    </row>
    <row r="57" spans="1:26" x14ac:dyDescent="0.2">
      <c r="H57" s="10"/>
      <c r="I57" s="10"/>
      <c r="J57" s="3"/>
    </row>
    <row r="58" spans="1:26" x14ac:dyDescent="0.2">
      <c r="I58" s="4"/>
      <c r="J58" s="3"/>
    </row>
    <row r="59" spans="1:26" s="23" customFormat="1" x14ac:dyDescent="0.2">
      <c r="A59" s="27"/>
      <c r="B59" s="27"/>
      <c r="G59" s="27"/>
      <c r="I59" s="28"/>
      <c r="J59" s="22"/>
      <c r="W59" s="77"/>
      <c r="X59" s="77"/>
      <c r="Y59" s="78"/>
      <c r="Z59" s="74"/>
    </row>
    <row r="60" spans="1:26" s="23" customFormat="1" x14ac:dyDescent="0.2">
      <c r="A60" s="27"/>
      <c r="B60" s="27"/>
      <c r="G60" s="27"/>
      <c r="I60" s="28"/>
      <c r="J60" s="22"/>
      <c r="W60" s="77"/>
      <c r="X60" s="77"/>
      <c r="Y60" s="78"/>
      <c r="Z60" s="74"/>
    </row>
    <row r="61" spans="1:26" s="23" customFormat="1" x14ac:dyDescent="0.2">
      <c r="A61" s="27"/>
      <c r="B61" s="27"/>
      <c r="G61" s="27"/>
      <c r="I61" s="28"/>
      <c r="J61" s="22"/>
      <c r="W61" s="77"/>
      <c r="X61" s="77"/>
      <c r="Y61" s="78"/>
      <c r="Z61" s="74"/>
    </row>
    <row r="62" spans="1:26" s="23" customFormat="1" x14ac:dyDescent="0.2">
      <c r="A62" s="27"/>
      <c r="B62" s="27"/>
      <c r="G62" s="27"/>
      <c r="H62" s="29"/>
      <c r="I62" s="29"/>
      <c r="J62" s="22"/>
      <c r="W62" s="77"/>
      <c r="X62" s="77"/>
      <c r="Y62" s="78"/>
      <c r="Z62" s="74"/>
    </row>
    <row r="63" spans="1:26" s="23" customFormat="1" x14ac:dyDescent="0.2">
      <c r="A63" s="27"/>
      <c r="B63" s="27"/>
      <c r="G63" s="27"/>
      <c r="I63" s="28"/>
      <c r="J63" s="22"/>
      <c r="W63" s="77"/>
      <c r="X63" s="77"/>
      <c r="Y63" s="78"/>
      <c r="Z63" s="74"/>
    </row>
    <row r="64" spans="1:26" s="23" customFormat="1" x14ac:dyDescent="0.2">
      <c r="A64" s="27"/>
      <c r="B64" s="27"/>
      <c r="G64" s="27"/>
      <c r="I64" s="28"/>
      <c r="J64" s="22"/>
      <c r="W64" s="77"/>
      <c r="X64" s="77"/>
      <c r="Y64" s="78"/>
      <c r="Z64" s="74"/>
    </row>
    <row r="65" spans="1:26" s="23" customFormat="1" x14ac:dyDescent="0.2">
      <c r="A65" s="27"/>
      <c r="B65" s="27"/>
      <c r="G65" s="27"/>
      <c r="I65" s="28"/>
      <c r="J65" s="22"/>
      <c r="W65" s="77"/>
      <c r="X65" s="77"/>
      <c r="Y65" s="78"/>
      <c r="Z65" s="74"/>
    </row>
    <row r="66" spans="1:26" s="23" customFormat="1" x14ac:dyDescent="0.2">
      <c r="A66" s="27"/>
      <c r="B66" s="27"/>
      <c r="G66" s="27"/>
      <c r="I66" s="28"/>
      <c r="J66" s="22"/>
      <c r="W66" s="77"/>
      <c r="X66" s="77"/>
      <c r="Y66" s="78"/>
      <c r="Z66" s="74"/>
    </row>
    <row r="67" spans="1:26" s="23" customFormat="1" x14ac:dyDescent="0.2">
      <c r="A67" s="27"/>
      <c r="B67" s="27"/>
      <c r="G67" s="27"/>
      <c r="I67" s="28"/>
      <c r="J67" s="22"/>
      <c r="W67" s="77"/>
      <c r="X67" s="77"/>
      <c r="Y67" s="78"/>
      <c r="Z67" s="74"/>
    </row>
    <row r="68" spans="1:26" s="23" customFormat="1" x14ac:dyDescent="0.2">
      <c r="A68" s="27"/>
      <c r="B68" s="27"/>
      <c r="G68" s="27"/>
      <c r="I68" s="28"/>
      <c r="J68" s="22"/>
      <c r="W68" s="77"/>
      <c r="X68" s="77"/>
      <c r="Y68" s="78"/>
      <c r="Z68" s="74"/>
    </row>
    <row r="69" spans="1:26" s="23" customFormat="1" x14ac:dyDescent="0.2">
      <c r="A69" s="27"/>
      <c r="B69" s="27"/>
      <c r="G69" s="27"/>
      <c r="I69" s="28"/>
      <c r="J69" s="22"/>
      <c r="W69" s="77"/>
      <c r="X69" s="77"/>
      <c r="Y69" s="78"/>
      <c r="Z69" s="74"/>
    </row>
    <row r="70" spans="1:26" s="23" customFormat="1" x14ac:dyDescent="0.2">
      <c r="A70" s="27"/>
      <c r="B70" s="27"/>
      <c r="G70" s="27"/>
      <c r="I70" s="28"/>
      <c r="J70" s="22"/>
      <c r="W70" s="77"/>
      <c r="X70" s="77"/>
      <c r="Y70" s="78"/>
      <c r="Z70" s="74"/>
    </row>
    <row r="71" spans="1:26" s="23" customFormat="1" x14ac:dyDescent="0.2">
      <c r="A71" s="27"/>
      <c r="B71" s="27"/>
      <c r="G71" s="27"/>
      <c r="I71" s="28"/>
      <c r="J71" s="22"/>
      <c r="W71" s="77"/>
      <c r="X71" s="77"/>
      <c r="Y71" s="78"/>
      <c r="Z71" s="74"/>
    </row>
    <row r="72" spans="1:26" s="23" customFormat="1" x14ac:dyDescent="0.2">
      <c r="A72" s="27"/>
      <c r="B72" s="27"/>
      <c r="G72" s="27"/>
      <c r="I72" s="28"/>
      <c r="J72" s="22"/>
      <c r="W72" s="77"/>
      <c r="X72" s="77"/>
      <c r="Y72" s="78"/>
      <c r="Z72" s="74"/>
    </row>
    <row r="73" spans="1:26" s="23" customFormat="1" x14ac:dyDescent="0.2">
      <c r="A73" s="27"/>
      <c r="B73" s="27"/>
      <c r="G73" s="27"/>
      <c r="I73" s="28"/>
      <c r="J73" s="22"/>
      <c r="W73" s="77"/>
      <c r="X73" s="77"/>
      <c r="Y73" s="78"/>
      <c r="Z73" s="74"/>
    </row>
    <row r="74" spans="1:26" s="23" customFormat="1" x14ac:dyDescent="0.2">
      <c r="A74" s="27"/>
      <c r="B74" s="27"/>
      <c r="G74" s="27"/>
      <c r="I74" s="28"/>
      <c r="J74" s="22"/>
      <c r="W74" s="77"/>
      <c r="X74" s="77"/>
      <c r="Y74" s="78"/>
      <c r="Z74" s="74"/>
    </row>
    <row r="75" spans="1:26" s="23" customFormat="1" x14ac:dyDescent="0.2">
      <c r="A75" s="27"/>
      <c r="B75" s="27"/>
      <c r="G75" s="27"/>
      <c r="I75" s="28"/>
      <c r="J75" s="22"/>
      <c r="W75" s="77"/>
      <c r="X75" s="77"/>
      <c r="Y75" s="78"/>
      <c r="Z75" s="74"/>
    </row>
    <row r="76" spans="1:26" s="23" customFormat="1" x14ac:dyDescent="0.2">
      <c r="A76" s="27"/>
      <c r="B76" s="27"/>
      <c r="G76" s="27"/>
      <c r="I76" s="28"/>
      <c r="J76" s="22"/>
      <c r="W76" s="77"/>
      <c r="X76" s="77"/>
      <c r="Y76" s="78"/>
      <c r="Z76" s="74"/>
    </row>
    <row r="77" spans="1:26" s="23" customFormat="1" x14ac:dyDescent="0.2">
      <c r="A77" s="27"/>
      <c r="B77" s="27"/>
      <c r="G77" s="27"/>
      <c r="I77" s="28"/>
      <c r="J77" s="22"/>
      <c r="W77" s="77"/>
      <c r="X77" s="77"/>
      <c r="Y77" s="78"/>
      <c r="Z77" s="74"/>
    </row>
    <row r="78" spans="1:26" s="23" customFormat="1" x14ac:dyDescent="0.2">
      <c r="A78" s="27"/>
      <c r="B78" s="27"/>
      <c r="G78" s="27"/>
      <c r="I78" s="28"/>
      <c r="J78" s="22"/>
      <c r="W78" s="77"/>
      <c r="X78" s="77"/>
      <c r="Y78" s="78"/>
      <c r="Z78" s="74"/>
    </row>
    <row r="79" spans="1:26" s="23" customFormat="1" x14ac:dyDescent="0.2">
      <c r="A79" s="27"/>
      <c r="B79" s="27"/>
      <c r="G79" s="27"/>
      <c r="I79" s="28"/>
      <c r="J79" s="22"/>
      <c r="W79" s="77"/>
      <c r="X79" s="77"/>
      <c r="Y79" s="78"/>
      <c r="Z79" s="74"/>
    </row>
    <row r="80" spans="1:26" s="23" customFormat="1" x14ac:dyDescent="0.2">
      <c r="A80" s="27"/>
      <c r="B80" s="27"/>
      <c r="G80" s="27"/>
      <c r="I80" s="28"/>
      <c r="J80" s="22"/>
      <c r="W80" s="77"/>
      <c r="X80" s="77"/>
      <c r="Y80" s="78"/>
      <c r="Z80" s="74"/>
    </row>
    <row r="81" spans="1:26" s="23" customFormat="1" x14ac:dyDescent="0.2">
      <c r="A81" s="27"/>
      <c r="B81" s="27"/>
      <c r="G81" s="27"/>
      <c r="I81" s="28"/>
      <c r="J81" s="22"/>
      <c r="W81" s="77"/>
      <c r="X81" s="77"/>
      <c r="Y81" s="78"/>
      <c r="Z81" s="74"/>
    </row>
    <row r="82" spans="1:26" s="23" customFormat="1" x14ac:dyDescent="0.2">
      <c r="A82" s="27"/>
      <c r="B82" s="27"/>
      <c r="G82" s="27"/>
      <c r="I82" s="28"/>
      <c r="J82" s="22"/>
      <c r="W82" s="77"/>
      <c r="X82" s="77"/>
      <c r="Y82" s="78"/>
      <c r="Z82" s="74"/>
    </row>
    <row r="83" spans="1:26" s="23" customFormat="1" x14ac:dyDescent="0.2">
      <c r="A83" s="27"/>
      <c r="B83" s="27"/>
      <c r="G83" s="27"/>
      <c r="I83" s="28"/>
      <c r="J83" s="22"/>
      <c r="W83" s="77"/>
      <c r="X83" s="77"/>
      <c r="Y83" s="78"/>
      <c r="Z83" s="74"/>
    </row>
    <row r="84" spans="1:26" x14ac:dyDescent="0.2">
      <c r="I84" s="4"/>
      <c r="J84" s="3"/>
    </row>
    <row r="85" spans="1:26" x14ac:dyDescent="0.2">
      <c r="I85" s="4"/>
      <c r="J85" s="3"/>
    </row>
    <row r="86" spans="1:26" x14ac:dyDescent="0.2">
      <c r="I86" s="4"/>
      <c r="J86" s="3"/>
    </row>
    <row r="87" spans="1:26" x14ac:dyDescent="0.2">
      <c r="I87" s="4"/>
      <c r="J87" s="3"/>
    </row>
    <row r="88" spans="1:26" x14ac:dyDescent="0.2">
      <c r="I88" s="4"/>
      <c r="J88" s="3"/>
    </row>
    <row r="89" spans="1:26" x14ac:dyDescent="0.2">
      <c r="I89" s="4"/>
      <c r="J89" s="3"/>
    </row>
    <row r="90" spans="1:26" x14ac:dyDescent="0.2">
      <c r="I90" s="4"/>
      <c r="J90" s="3"/>
    </row>
    <row r="91" spans="1:26" x14ac:dyDescent="0.2">
      <c r="I91" s="4"/>
      <c r="J91" s="3"/>
    </row>
    <row r="92" spans="1:26" x14ac:dyDescent="0.2">
      <c r="I92" s="4"/>
      <c r="J92" s="3"/>
    </row>
    <row r="93" spans="1:26" x14ac:dyDescent="0.2">
      <c r="I93" s="4"/>
      <c r="J93" s="3"/>
    </row>
    <row r="94" spans="1:26" x14ac:dyDescent="0.2">
      <c r="I94" s="4"/>
      <c r="J94" s="3"/>
    </row>
    <row r="95" spans="1:26" x14ac:dyDescent="0.2">
      <c r="H95" s="10"/>
      <c r="I95" s="10"/>
      <c r="J95" s="3"/>
    </row>
    <row r="96" spans="1:26" x14ac:dyDescent="0.2">
      <c r="I96" s="4"/>
      <c r="J96" s="3"/>
    </row>
    <row r="97" spans="9:10" x14ac:dyDescent="0.2">
      <c r="I97" s="4"/>
      <c r="J97" s="3"/>
    </row>
    <row r="98" spans="9:10" x14ac:dyDescent="0.2">
      <c r="I98" s="4"/>
      <c r="J98" s="3"/>
    </row>
    <row r="99" spans="9:10" x14ac:dyDescent="0.2">
      <c r="I99" s="4"/>
      <c r="J99" s="3"/>
    </row>
    <row r="100" spans="9:10" x14ac:dyDescent="0.2">
      <c r="I100" s="4"/>
      <c r="J100" s="3"/>
    </row>
    <row r="101" spans="9:10" x14ac:dyDescent="0.2">
      <c r="I101" s="4"/>
      <c r="J101" s="3"/>
    </row>
    <row r="102" spans="9:10" x14ac:dyDescent="0.2">
      <c r="I102" s="4"/>
      <c r="J102" s="3"/>
    </row>
    <row r="103" spans="9:10" x14ac:dyDescent="0.2">
      <c r="I103" s="4"/>
      <c r="J103" s="3"/>
    </row>
    <row r="104" spans="9:10" x14ac:dyDescent="0.2">
      <c r="I104" s="4"/>
      <c r="J104" s="3"/>
    </row>
    <row r="105" spans="9:10" x14ac:dyDescent="0.2">
      <c r="I105" s="4"/>
      <c r="J105" s="3"/>
    </row>
    <row r="106" spans="9:10" x14ac:dyDescent="0.2">
      <c r="I106" s="4"/>
      <c r="J106" s="3"/>
    </row>
    <row r="107" spans="9:10" x14ac:dyDescent="0.2">
      <c r="I107" s="4"/>
      <c r="J107" s="3"/>
    </row>
    <row r="108" spans="9:10" x14ac:dyDescent="0.2">
      <c r="I108" s="4"/>
      <c r="J108" s="3"/>
    </row>
    <row r="109" spans="9:10" x14ac:dyDescent="0.2">
      <c r="I109" s="4"/>
      <c r="J109" s="3"/>
    </row>
    <row r="110" spans="9:10" x14ac:dyDescent="0.2">
      <c r="I110" s="4"/>
      <c r="J110" s="3"/>
    </row>
    <row r="111" spans="9:10" x14ac:dyDescent="0.2">
      <c r="I111" s="4"/>
      <c r="J111" s="3"/>
    </row>
    <row r="112" spans="9:10" x14ac:dyDescent="0.2">
      <c r="I112" s="4"/>
      <c r="J112" s="3"/>
    </row>
    <row r="113" spans="9:10" x14ac:dyDescent="0.2">
      <c r="I113" s="4"/>
      <c r="J113" s="3"/>
    </row>
    <row r="114" spans="9:10" x14ac:dyDescent="0.2">
      <c r="I114" s="4"/>
      <c r="J114" s="3"/>
    </row>
    <row r="115" spans="9:10" x14ac:dyDescent="0.2">
      <c r="I115" s="4"/>
      <c r="J115" s="3"/>
    </row>
    <row r="116" spans="9:10" x14ac:dyDescent="0.2">
      <c r="I116" s="4"/>
      <c r="J116" s="3"/>
    </row>
    <row r="117" spans="9:10" x14ac:dyDescent="0.2">
      <c r="I117" s="4"/>
      <c r="J117" s="3"/>
    </row>
    <row r="118" spans="9:10" x14ac:dyDescent="0.2">
      <c r="I118" s="4"/>
      <c r="J118" s="3"/>
    </row>
    <row r="119" spans="9:10" x14ac:dyDescent="0.2">
      <c r="I119" s="4"/>
      <c r="J119" s="3"/>
    </row>
    <row r="120" spans="9:10" x14ac:dyDescent="0.2">
      <c r="I120" s="4"/>
      <c r="J120" s="3"/>
    </row>
    <row r="121" spans="9:10" x14ac:dyDescent="0.2">
      <c r="I121" s="4"/>
      <c r="J121" s="3"/>
    </row>
    <row r="122" spans="9:10" x14ac:dyDescent="0.2">
      <c r="I122" s="4"/>
      <c r="J122" s="3"/>
    </row>
    <row r="123" spans="9:10" x14ac:dyDescent="0.2">
      <c r="I123" s="4"/>
      <c r="J123" s="3"/>
    </row>
    <row r="124" spans="9:10" x14ac:dyDescent="0.2">
      <c r="I124" s="4"/>
      <c r="J124" s="3"/>
    </row>
    <row r="125" spans="9:10" x14ac:dyDescent="0.2">
      <c r="I125" s="4"/>
      <c r="J125" s="3"/>
    </row>
    <row r="126" spans="9:10" x14ac:dyDescent="0.2">
      <c r="I126" s="4"/>
      <c r="J126" s="3"/>
    </row>
    <row r="127" spans="9:10" x14ac:dyDescent="0.2">
      <c r="I127" s="4"/>
      <c r="J127" s="3"/>
    </row>
    <row r="128" spans="9:10" x14ac:dyDescent="0.2">
      <c r="I128" s="4"/>
      <c r="J128" s="3"/>
    </row>
    <row r="129" spans="9:10" x14ac:dyDescent="0.2">
      <c r="I129" s="4"/>
      <c r="J129" s="3"/>
    </row>
    <row r="130" spans="9:10" x14ac:dyDescent="0.2">
      <c r="I130" s="4"/>
      <c r="J130" s="3"/>
    </row>
    <row r="131" spans="9:10" x14ac:dyDescent="0.2">
      <c r="I131" s="4"/>
      <c r="J131" s="3"/>
    </row>
    <row r="132" spans="9:10" x14ac:dyDescent="0.2">
      <c r="I132" s="4"/>
      <c r="J132" s="3"/>
    </row>
    <row r="133" spans="9:10" x14ac:dyDescent="0.2">
      <c r="I133" s="4"/>
      <c r="J133" s="3"/>
    </row>
    <row r="134" spans="9:10" x14ac:dyDescent="0.2">
      <c r="I134" s="4"/>
      <c r="J134" s="3"/>
    </row>
    <row r="135" spans="9:10" x14ac:dyDescent="0.2">
      <c r="I135" s="4"/>
      <c r="J135" s="3"/>
    </row>
    <row r="136" spans="9:10" x14ac:dyDescent="0.2">
      <c r="I136" s="4"/>
      <c r="J136" s="3"/>
    </row>
    <row r="137" spans="9:10" x14ac:dyDescent="0.2">
      <c r="I137" s="4"/>
      <c r="J137" s="3"/>
    </row>
    <row r="138" spans="9:10" x14ac:dyDescent="0.2">
      <c r="I138" s="4"/>
      <c r="J138" s="3"/>
    </row>
    <row r="139" spans="9:10" x14ac:dyDescent="0.2">
      <c r="I139" s="4"/>
      <c r="J139" s="3"/>
    </row>
    <row r="140" spans="9:10" x14ac:dyDescent="0.2">
      <c r="I140" s="4"/>
      <c r="J140" s="3"/>
    </row>
    <row r="141" spans="9:10" x14ac:dyDescent="0.2">
      <c r="I141" s="4"/>
      <c r="J141" s="3"/>
    </row>
    <row r="142" spans="9:10" x14ac:dyDescent="0.2">
      <c r="I142" s="4"/>
      <c r="J142" s="3"/>
    </row>
    <row r="143" spans="9:10" x14ac:dyDescent="0.2">
      <c r="I143" s="4"/>
      <c r="J143" s="3"/>
    </row>
    <row r="144" spans="9:10" x14ac:dyDescent="0.2">
      <c r="I144" s="4"/>
      <c r="J144" s="3"/>
    </row>
    <row r="145" spans="8:10" x14ac:dyDescent="0.2">
      <c r="I145" s="4"/>
      <c r="J145" s="3"/>
    </row>
    <row r="146" spans="8:10" x14ac:dyDescent="0.2">
      <c r="I146" s="4"/>
      <c r="J146" s="3"/>
    </row>
    <row r="147" spans="8:10" x14ac:dyDescent="0.2">
      <c r="I147" s="4"/>
      <c r="J147" s="3"/>
    </row>
    <row r="148" spans="8:10" x14ac:dyDescent="0.2">
      <c r="I148" s="4"/>
      <c r="J148" s="3"/>
    </row>
    <row r="149" spans="8:10" x14ac:dyDescent="0.2">
      <c r="I149" s="4"/>
      <c r="J149" s="3"/>
    </row>
    <row r="150" spans="8:10" x14ac:dyDescent="0.2">
      <c r="I150" s="4"/>
      <c r="J150" s="3"/>
    </row>
    <row r="151" spans="8:10" x14ac:dyDescent="0.2">
      <c r="I151" s="4"/>
      <c r="J151" s="3"/>
    </row>
    <row r="152" spans="8:10" x14ac:dyDescent="0.2">
      <c r="I152" s="4"/>
      <c r="J152" s="3"/>
    </row>
    <row r="153" spans="8:10" x14ac:dyDescent="0.2">
      <c r="I153" s="4"/>
      <c r="J153" s="3"/>
    </row>
    <row r="154" spans="8:10" x14ac:dyDescent="0.2">
      <c r="I154" s="4"/>
      <c r="J154" s="3"/>
    </row>
    <row r="155" spans="8:10" x14ac:dyDescent="0.2">
      <c r="I155" s="4"/>
      <c r="J155" s="3"/>
    </row>
    <row r="156" spans="8:10" x14ac:dyDescent="0.2">
      <c r="H156" s="10"/>
      <c r="I156" s="10"/>
      <c r="J156" s="3"/>
    </row>
    <row r="157" spans="8:10" x14ac:dyDescent="0.2">
      <c r="I157" s="4"/>
      <c r="J157" s="3"/>
    </row>
    <row r="158" spans="8:10" x14ac:dyDescent="0.2">
      <c r="I158" s="4"/>
      <c r="J158" s="3"/>
    </row>
    <row r="159" spans="8:10" x14ac:dyDescent="0.2">
      <c r="I159" s="4"/>
      <c r="J159" s="3"/>
    </row>
    <row r="160" spans="8:10" x14ac:dyDescent="0.2">
      <c r="I160" s="4"/>
      <c r="J160" s="3"/>
    </row>
    <row r="161" spans="9:10" x14ac:dyDescent="0.2">
      <c r="I161" s="4"/>
      <c r="J161" s="3"/>
    </row>
    <row r="162" spans="9:10" x14ac:dyDescent="0.2">
      <c r="I162" s="4"/>
      <c r="J162" s="3"/>
    </row>
    <row r="163" spans="9:10" x14ac:dyDescent="0.2">
      <c r="I163" s="4"/>
      <c r="J163" s="3"/>
    </row>
    <row r="164" spans="9:10" x14ac:dyDescent="0.2">
      <c r="I164" s="4"/>
      <c r="J164" s="3"/>
    </row>
    <row r="165" spans="9:10" x14ac:dyDescent="0.2">
      <c r="I165" s="4"/>
      <c r="J165" s="3"/>
    </row>
    <row r="166" spans="9:10" x14ac:dyDescent="0.2">
      <c r="I166" s="4"/>
      <c r="J166" s="3"/>
    </row>
    <row r="167" spans="9:10" x14ac:dyDescent="0.2">
      <c r="I167" s="4"/>
      <c r="J167" s="3"/>
    </row>
    <row r="168" spans="9:10" x14ac:dyDescent="0.2">
      <c r="I168" s="4"/>
      <c r="J168" s="3"/>
    </row>
    <row r="169" spans="9:10" x14ac:dyDescent="0.2">
      <c r="I169" s="4"/>
      <c r="J169" s="3"/>
    </row>
    <row r="170" spans="9:10" x14ac:dyDescent="0.2">
      <c r="I170" s="4"/>
      <c r="J170" s="3"/>
    </row>
    <row r="171" spans="9:10" x14ac:dyDescent="0.2">
      <c r="I171" s="4"/>
      <c r="J171" s="3"/>
    </row>
    <row r="172" spans="9:10" x14ac:dyDescent="0.2">
      <c r="I172" s="4"/>
      <c r="J172" s="3"/>
    </row>
    <row r="173" spans="9:10" x14ac:dyDescent="0.2">
      <c r="I173" s="4"/>
      <c r="J173" s="3"/>
    </row>
    <row r="174" spans="9:10" x14ac:dyDescent="0.2">
      <c r="I174" s="4"/>
      <c r="J174" s="3"/>
    </row>
    <row r="175" spans="9:10" x14ac:dyDescent="0.2">
      <c r="I175" s="4"/>
      <c r="J175" s="3"/>
    </row>
    <row r="176" spans="9:10" x14ac:dyDescent="0.2">
      <c r="I176" s="4"/>
      <c r="J176" s="3"/>
    </row>
    <row r="177" spans="9:10" x14ac:dyDescent="0.2">
      <c r="I177" s="4"/>
      <c r="J177" s="3"/>
    </row>
    <row r="178" spans="9:10" x14ac:dyDescent="0.2">
      <c r="I178" s="4"/>
      <c r="J178" s="3"/>
    </row>
    <row r="179" spans="9:10" x14ac:dyDescent="0.2">
      <c r="I179" s="4"/>
      <c r="J179" s="3"/>
    </row>
    <row r="180" spans="9:10" x14ac:dyDescent="0.2">
      <c r="I180" s="4"/>
      <c r="J180" s="3"/>
    </row>
    <row r="181" spans="9:10" x14ac:dyDescent="0.2">
      <c r="I181" s="4"/>
      <c r="J181" s="3"/>
    </row>
    <row r="182" spans="9:10" x14ac:dyDescent="0.2">
      <c r="I182" s="4"/>
      <c r="J182" s="3"/>
    </row>
    <row r="183" spans="9:10" x14ac:dyDescent="0.2">
      <c r="I183" s="4"/>
      <c r="J183" s="3"/>
    </row>
    <row r="184" spans="9:10" x14ac:dyDescent="0.2">
      <c r="I184" s="4"/>
      <c r="J184" s="3"/>
    </row>
    <row r="185" spans="9:10" x14ac:dyDescent="0.2">
      <c r="I185" s="4"/>
      <c r="J185" s="3"/>
    </row>
    <row r="186" spans="9:10" x14ac:dyDescent="0.2">
      <c r="I186" s="4"/>
      <c r="J186" s="3"/>
    </row>
    <row r="187" spans="9:10" x14ac:dyDescent="0.2">
      <c r="I187" s="4"/>
      <c r="J187" s="3"/>
    </row>
    <row r="188" spans="9:10" x14ac:dyDescent="0.2">
      <c r="I188" s="4"/>
      <c r="J188" s="3"/>
    </row>
    <row r="189" spans="9:10" x14ac:dyDescent="0.2">
      <c r="I189" s="4"/>
      <c r="J189" s="3"/>
    </row>
    <row r="190" spans="9:10" x14ac:dyDescent="0.2">
      <c r="I190" s="4"/>
      <c r="J190" s="3"/>
    </row>
    <row r="191" spans="9:10" x14ac:dyDescent="0.2">
      <c r="I191" s="4"/>
      <c r="J191" s="3"/>
    </row>
    <row r="192" spans="9:10" x14ac:dyDescent="0.2">
      <c r="I192" s="4"/>
      <c r="J192" s="3"/>
    </row>
    <row r="193" spans="8:10" x14ac:dyDescent="0.2">
      <c r="I193" s="4"/>
      <c r="J193" s="3"/>
    </row>
    <row r="194" spans="8:10" x14ac:dyDescent="0.2">
      <c r="I194" s="4"/>
      <c r="J194" s="3"/>
    </row>
    <row r="195" spans="8:10" x14ac:dyDescent="0.2">
      <c r="I195" s="4"/>
      <c r="J195" s="3"/>
    </row>
    <row r="196" spans="8:10" x14ac:dyDescent="0.2">
      <c r="I196" s="4"/>
      <c r="J196" s="3"/>
    </row>
    <row r="197" spans="8:10" x14ac:dyDescent="0.2">
      <c r="I197" s="4"/>
      <c r="J197" s="3"/>
    </row>
    <row r="198" spans="8:10" x14ac:dyDescent="0.2">
      <c r="H198" s="10"/>
      <c r="I198" s="10"/>
      <c r="J198" s="3"/>
    </row>
    <row r="199" spans="8:10" x14ac:dyDescent="0.2">
      <c r="I199" s="4"/>
      <c r="J199" s="3"/>
    </row>
    <row r="200" spans="8:10" x14ac:dyDescent="0.2">
      <c r="I200" s="4"/>
      <c r="J200" s="3"/>
    </row>
    <row r="201" spans="8:10" x14ac:dyDescent="0.2">
      <c r="I201" s="4"/>
      <c r="J201" s="3"/>
    </row>
    <row r="202" spans="8:10" x14ac:dyDescent="0.2">
      <c r="I202" s="4"/>
      <c r="J202" s="3"/>
    </row>
    <row r="203" spans="8:10" x14ac:dyDescent="0.2">
      <c r="I203" s="4"/>
      <c r="J203" s="3"/>
    </row>
    <row r="204" spans="8:10" x14ac:dyDescent="0.2">
      <c r="I204" s="4"/>
      <c r="J204" s="3"/>
    </row>
    <row r="205" spans="8:10" x14ac:dyDescent="0.2">
      <c r="I205" s="4"/>
      <c r="J205" s="3"/>
    </row>
    <row r="206" spans="8:10" x14ac:dyDescent="0.2">
      <c r="I206" s="4"/>
      <c r="J206" s="3"/>
    </row>
    <row r="207" spans="8:10" x14ac:dyDescent="0.2">
      <c r="I207" s="4"/>
      <c r="J207" s="3"/>
    </row>
    <row r="208" spans="8:10" x14ac:dyDescent="0.2">
      <c r="I208" s="4"/>
      <c r="J208" s="3"/>
    </row>
    <row r="209" spans="9:10" x14ac:dyDescent="0.2">
      <c r="I209" s="4"/>
      <c r="J209" s="3"/>
    </row>
    <row r="210" spans="9:10" x14ac:dyDescent="0.2">
      <c r="I210" s="4"/>
      <c r="J210" s="3"/>
    </row>
    <row r="211" spans="9:10" x14ac:dyDescent="0.2">
      <c r="I211" s="4"/>
      <c r="J211" s="3"/>
    </row>
    <row r="212" spans="9:10" x14ac:dyDescent="0.2">
      <c r="I212" s="4"/>
      <c r="J212" s="3"/>
    </row>
    <row r="213" spans="9:10" x14ac:dyDescent="0.2">
      <c r="I213" s="4"/>
      <c r="J213" s="3"/>
    </row>
    <row r="214" spans="9:10" x14ac:dyDescent="0.2">
      <c r="I214" s="4"/>
      <c r="J214" s="3"/>
    </row>
    <row r="215" spans="9:10" x14ac:dyDescent="0.2">
      <c r="I215" s="4"/>
      <c r="J215" s="3"/>
    </row>
    <row r="216" spans="9:10" x14ac:dyDescent="0.2">
      <c r="I216" s="4"/>
      <c r="J216" s="3"/>
    </row>
    <row r="217" spans="9:10" x14ac:dyDescent="0.2">
      <c r="I217" s="4"/>
      <c r="J217" s="3"/>
    </row>
    <row r="218" spans="9:10" x14ac:dyDescent="0.2">
      <c r="I218" s="4"/>
      <c r="J218" s="3"/>
    </row>
    <row r="219" spans="9:10" x14ac:dyDescent="0.2">
      <c r="I219" s="4"/>
      <c r="J219" s="3"/>
    </row>
    <row r="220" spans="9:10" x14ac:dyDescent="0.2">
      <c r="I220" s="4"/>
      <c r="J220" s="3"/>
    </row>
    <row r="221" spans="9:10" x14ac:dyDescent="0.2">
      <c r="I221" s="4"/>
      <c r="J221" s="3"/>
    </row>
    <row r="222" spans="9:10" x14ac:dyDescent="0.2">
      <c r="I222" s="4"/>
      <c r="J222" s="3"/>
    </row>
    <row r="223" spans="9:10" x14ac:dyDescent="0.2">
      <c r="I223" s="4"/>
      <c r="J223" s="3"/>
    </row>
    <row r="224" spans="9:10" x14ac:dyDescent="0.2">
      <c r="I224" s="4"/>
      <c r="J224" s="3"/>
    </row>
    <row r="225" spans="9:10" x14ac:dyDescent="0.2">
      <c r="I225" s="4"/>
      <c r="J225" s="3"/>
    </row>
    <row r="226" spans="9:10" x14ac:dyDescent="0.2">
      <c r="I226" s="4"/>
      <c r="J226" s="3"/>
    </row>
    <row r="227" spans="9:10" x14ac:dyDescent="0.2">
      <c r="I227" s="4"/>
      <c r="J227" s="3"/>
    </row>
    <row r="228" spans="9:10" x14ac:dyDescent="0.2">
      <c r="I228" s="4"/>
      <c r="J228" s="3"/>
    </row>
    <row r="229" spans="9:10" x14ac:dyDescent="0.2">
      <c r="I229" s="4"/>
      <c r="J229" s="3"/>
    </row>
    <row r="230" spans="9:10" x14ac:dyDescent="0.2">
      <c r="I230" s="4"/>
      <c r="J230" s="3"/>
    </row>
    <row r="231" spans="9:10" x14ac:dyDescent="0.2">
      <c r="I231" s="4"/>
      <c r="J231" s="3"/>
    </row>
    <row r="232" spans="9:10" x14ac:dyDescent="0.2">
      <c r="I232" s="4"/>
      <c r="J232" s="3"/>
    </row>
    <row r="233" spans="9:10" x14ac:dyDescent="0.2">
      <c r="I233" s="4"/>
      <c r="J233" s="3"/>
    </row>
    <row r="234" spans="9:10" x14ac:dyDescent="0.2">
      <c r="I234" s="4"/>
      <c r="J234" s="3"/>
    </row>
    <row r="235" spans="9:10" x14ac:dyDescent="0.2">
      <c r="I235" s="4"/>
      <c r="J235" s="3"/>
    </row>
    <row r="236" spans="9:10" x14ac:dyDescent="0.2">
      <c r="I236" s="4"/>
      <c r="J236" s="3"/>
    </row>
    <row r="237" spans="9:10" x14ac:dyDescent="0.2">
      <c r="I237" s="4"/>
      <c r="J237" s="3"/>
    </row>
    <row r="238" spans="9:10" x14ac:dyDescent="0.2">
      <c r="I238" s="4"/>
      <c r="J238" s="3"/>
    </row>
    <row r="239" spans="9:10" x14ac:dyDescent="0.2">
      <c r="I239" s="4"/>
      <c r="J239" s="3"/>
    </row>
    <row r="240" spans="9:10" x14ac:dyDescent="0.2">
      <c r="I240" s="4"/>
      <c r="J240" s="3"/>
    </row>
    <row r="241" spans="9:10" x14ac:dyDescent="0.2">
      <c r="I241" s="4"/>
      <c r="J241" s="3"/>
    </row>
    <row r="242" spans="9:10" x14ac:dyDescent="0.2">
      <c r="I242" s="4"/>
      <c r="J242" s="3"/>
    </row>
    <row r="243" spans="9:10" x14ac:dyDescent="0.2">
      <c r="I243" s="4"/>
      <c r="J243" s="3"/>
    </row>
    <row r="244" spans="9:10" x14ac:dyDescent="0.2">
      <c r="I244" s="4"/>
      <c r="J244" s="3"/>
    </row>
    <row r="245" spans="9:10" x14ac:dyDescent="0.2">
      <c r="I245" s="4"/>
      <c r="J245" s="3"/>
    </row>
    <row r="246" spans="9:10" x14ac:dyDescent="0.2">
      <c r="I246" s="4"/>
      <c r="J246" s="3"/>
    </row>
    <row r="247" spans="9:10" x14ac:dyDescent="0.2">
      <c r="I247" s="4"/>
      <c r="J247" s="3"/>
    </row>
    <row r="248" spans="9:10" x14ac:dyDescent="0.2">
      <c r="I248" s="4"/>
      <c r="J248" s="3"/>
    </row>
    <row r="249" spans="9:10" x14ac:dyDescent="0.2">
      <c r="I249" s="4"/>
      <c r="J249" s="3"/>
    </row>
    <row r="250" spans="9:10" x14ac:dyDescent="0.2">
      <c r="I250" s="4"/>
      <c r="J250" s="3"/>
    </row>
    <row r="251" spans="9:10" x14ac:dyDescent="0.2">
      <c r="I251" s="4"/>
      <c r="J251" s="3"/>
    </row>
    <row r="252" spans="9:10" x14ac:dyDescent="0.2">
      <c r="I252" s="4"/>
      <c r="J252" s="3"/>
    </row>
    <row r="253" spans="9:10" x14ac:dyDescent="0.2">
      <c r="I253" s="4"/>
      <c r="J253" s="3"/>
    </row>
    <row r="254" spans="9:10" x14ac:dyDescent="0.2">
      <c r="I254" s="4"/>
      <c r="J254" s="3"/>
    </row>
    <row r="255" spans="9:10" x14ac:dyDescent="0.2">
      <c r="I255" s="4"/>
      <c r="J255" s="3"/>
    </row>
    <row r="256" spans="9:10" x14ac:dyDescent="0.2">
      <c r="I256" s="4"/>
      <c r="J256" s="3"/>
    </row>
    <row r="257" spans="8:10" x14ac:dyDescent="0.2">
      <c r="I257" s="4"/>
      <c r="J257" s="3"/>
    </row>
    <row r="258" spans="8:10" x14ac:dyDescent="0.2">
      <c r="I258" s="4"/>
      <c r="J258" s="3"/>
    </row>
    <row r="259" spans="8:10" x14ac:dyDescent="0.2">
      <c r="I259" s="4"/>
      <c r="J259" s="3"/>
    </row>
    <row r="260" spans="8:10" x14ac:dyDescent="0.2">
      <c r="I260" s="4"/>
      <c r="J260" s="3"/>
    </row>
    <row r="261" spans="8:10" x14ac:dyDescent="0.2">
      <c r="I261" s="4"/>
      <c r="J261" s="3"/>
    </row>
    <row r="262" spans="8:10" x14ac:dyDescent="0.2">
      <c r="I262" s="4"/>
      <c r="J262" s="3"/>
    </row>
    <row r="263" spans="8:10" x14ac:dyDescent="0.2">
      <c r="I263" s="4"/>
      <c r="J263" s="3"/>
    </row>
    <row r="264" spans="8:10" x14ac:dyDescent="0.2">
      <c r="I264" s="4"/>
      <c r="J264" s="3"/>
    </row>
    <row r="265" spans="8:10" x14ac:dyDescent="0.2">
      <c r="H265" s="10"/>
      <c r="I265" s="10"/>
      <c r="J265" s="3"/>
    </row>
    <row r="266" spans="8:10" x14ac:dyDescent="0.2">
      <c r="I266" s="4"/>
      <c r="J266" s="3"/>
    </row>
    <row r="267" spans="8:10" x14ac:dyDescent="0.2">
      <c r="I267" s="4"/>
      <c r="J267" s="3"/>
    </row>
    <row r="268" spans="8:10" x14ac:dyDescent="0.2">
      <c r="I268" s="4"/>
      <c r="J268" s="3"/>
    </row>
    <row r="269" spans="8:10" x14ac:dyDescent="0.2">
      <c r="I269" s="4"/>
      <c r="J269" s="3"/>
    </row>
    <row r="270" spans="8:10" x14ac:dyDescent="0.2">
      <c r="I270" s="4"/>
      <c r="J270" s="3"/>
    </row>
    <row r="271" spans="8:10" x14ac:dyDescent="0.2">
      <c r="I271" s="4"/>
      <c r="J271" s="3"/>
    </row>
    <row r="272" spans="8:10" x14ac:dyDescent="0.2">
      <c r="I272" s="4"/>
      <c r="J272" s="3"/>
    </row>
    <row r="273" spans="8:10" x14ac:dyDescent="0.2">
      <c r="I273" s="4"/>
      <c r="J273" s="3"/>
    </row>
    <row r="274" spans="8:10" x14ac:dyDescent="0.2">
      <c r="I274" s="4"/>
      <c r="J274" s="3"/>
    </row>
    <row r="275" spans="8:10" x14ac:dyDescent="0.2">
      <c r="I275" s="4"/>
      <c r="J275" s="3"/>
    </row>
    <row r="276" spans="8:10" x14ac:dyDescent="0.2">
      <c r="I276" s="4"/>
      <c r="J276" s="3"/>
    </row>
    <row r="277" spans="8:10" x14ac:dyDescent="0.2">
      <c r="H277" s="10"/>
      <c r="I277" s="10"/>
      <c r="J277" s="3"/>
    </row>
    <row r="278" spans="8:10" x14ac:dyDescent="0.2">
      <c r="I278" s="4"/>
      <c r="J278" s="3"/>
    </row>
    <row r="279" spans="8:10" x14ac:dyDescent="0.2">
      <c r="I279" s="4"/>
      <c r="J279" s="3"/>
    </row>
    <row r="280" spans="8:10" x14ac:dyDescent="0.2">
      <c r="I280" s="4"/>
      <c r="J280" s="3"/>
    </row>
    <row r="281" spans="8:10" x14ac:dyDescent="0.2">
      <c r="I281" s="4"/>
      <c r="J281" s="3"/>
    </row>
    <row r="282" spans="8:10" x14ac:dyDescent="0.2">
      <c r="H282" s="10"/>
      <c r="I282" s="10"/>
      <c r="J282" s="3"/>
    </row>
    <row r="283" spans="8:10" x14ac:dyDescent="0.2">
      <c r="I283" s="4"/>
      <c r="J283" s="3"/>
    </row>
    <row r="284" spans="8:10" x14ac:dyDescent="0.2">
      <c r="I284" s="4"/>
      <c r="J284" s="3"/>
    </row>
    <row r="285" spans="8:10" x14ac:dyDescent="0.2">
      <c r="I285" s="4"/>
      <c r="J285" s="3"/>
    </row>
    <row r="286" spans="8:10" x14ac:dyDescent="0.2">
      <c r="I286" s="4"/>
      <c r="J286" s="3"/>
    </row>
    <row r="287" spans="8:10" x14ac:dyDescent="0.2">
      <c r="I287" s="4"/>
      <c r="J287" s="3"/>
    </row>
    <row r="288" spans="8:10" x14ac:dyDescent="0.2">
      <c r="I288" s="4"/>
      <c r="J288" s="3"/>
    </row>
    <row r="289" spans="9:10" x14ac:dyDescent="0.2">
      <c r="I289" s="4"/>
      <c r="J289" s="3"/>
    </row>
    <row r="290" spans="9:10" x14ac:dyDescent="0.2">
      <c r="I290" s="4"/>
      <c r="J290" s="3"/>
    </row>
    <row r="291" spans="9:10" x14ac:dyDescent="0.2">
      <c r="I291" s="4"/>
      <c r="J291" s="3"/>
    </row>
    <row r="292" spans="9:10" x14ac:dyDescent="0.2">
      <c r="I292" s="4"/>
      <c r="J292" s="3"/>
    </row>
    <row r="293" spans="9:10" x14ac:dyDescent="0.2">
      <c r="I293" s="4"/>
      <c r="J293" s="3"/>
    </row>
    <row r="294" spans="9:10" x14ac:dyDescent="0.2">
      <c r="I294" s="4"/>
      <c r="J294" s="3"/>
    </row>
    <row r="295" spans="9:10" x14ac:dyDescent="0.2">
      <c r="I295" s="4"/>
      <c r="J295" s="3"/>
    </row>
    <row r="296" spans="9:10" x14ac:dyDescent="0.2">
      <c r="I296" s="4"/>
      <c r="J296" s="3"/>
    </row>
    <row r="297" spans="9:10" x14ac:dyDescent="0.2">
      <c r="I297" s="4"/>
      <c r="J297" s="3"/>
    </row>
    <row r="298" spans="9:10" x14ac:dyDescent="0.2">
      <c r="I298" s="4"/>
      <c r="J298" s="3"/>
    </row>
    <row r="299" spans="9:10" x14ac:dyDescent="0.2">
      <c r="I299" s="4"/>
      <c r="J299" s="3"/>
    </row>
    <row r="300" spans="9:10" x14ac:dyDescent="0.2">
      <c r="I300" s="4"/>
      <c r="J300" s="3"/>
    </row>
    <row r="301" spans="9:10" x14ac:dyDescent="0.2">
      <c r="I301" s="4"/>
      <c r="J301" s="3"/>
    </row>
    <row r="302" spans="9:10" x14ac:dyDescent="0.2">
      <c r="I302" s="4"/>
      <c r="J302" s="3"/>
    </row>
    <row r="303" spans="9:10" x14ac:dyDescent="0.2">
      <c r="I303" s="4"/>
      <c r="J303" s="3"/>
    </row>
    <row r="304" spans="9:10" x14ac:dyDescent="0.2">
      <c r="I304" s="4"/>
      <c r="J304" s="3"/>
    </row>
    <row r="305" spans="8:10" x14ac:dyDescent="0.2">
      <c r="I305" s="4"/>
      <c r="J305" s="3"/>
    </row>
    <row r="306" spans="8:10" x14ac:dyDescent="0.2">
      <c r="I306" s="4"/>
      <c r="J306" s="3"/>
    </row>
    <row r="307" spans="8:10" x14ac:dyDescent="0.2">
      <c r="I307" s="4"/>
      <c r="J307" s="3"/>
    </row>
    <row r="308" spans="8:10" x14ac:dyDescent="0.2">
      <c r="I308" s="4"/>
      <c r="J308" s="3"/>
    </row>
    <row r="309" spans="8:10" x14ac:dyDescent="0.2">
      <c r="I309" s="4"/>
      <c r="J309" s="3"/>
    </row>
    <row r="310" spans="8:10" x14ac:dyDescent="0.2">
      <c r="I310" s="4"/>
      <c r="J310" s="3"/>
    </row>
    <row r="311" spans="8:10" x14ac:dyDescent="0.2">
      <c r="I311" s="4"/>
      <c r="J311" s="3"/>
    </row>
    <row r="312" spans="8:10" x14ac:dyDescent="0.2">
      <c r="I312" s="4"/>
      <c r="J312" s="3"/>
    </row>
    <row r="313" spans="8:10" x14ac:dyDescent="0.2">
      <c r="I313" s="4"/>
      <c r="J313" s="3"/>
    </row>
    <row r="314" spans="8:10" x14ac:dyDescent="0.2">
      <c r="I314" s="4"/>
      <c r="J314" s="3"/>
    </row>
    <row r="315" spans="8:10" x14ac:dyDescent="0.2">
      <c r="I315" s="4"/>
      <c r="J315" s="3"/>
    </row>
    <row r="316" spans="8:10" x14ac:dyDescent="0.2">
      <c r="I316" s="4"/>
      <c r="J316" s="3"/>
    </row>
    <row r="317" spans="8:10" x14ac:dyDescent="0.2">
      <c r="H317" s="10"/>
      <c r="I317" s="10"/>
      <c r="J317" s="3"/>
    </row>
    <row r="318" spans="8:10" x14ac:dyDescent="0.2">
      <c r="I318" s="4"/>
      <c r="J318" s="3"/>
    </row>
    <row r="319" spans="8:10" x14ac:dyDescent="0.2">
      <c r="I319" s="4"/>
      <c r="J319" s="3"/>
    </row>
    <row r="320" spans="8:10" x14ac:dyDescent="0.2">
      <c r="I320" s="4"/>
      <c r="J320" s="3"/>
    </row>
    <row r="321" spans="9:10" x14ac:dyDescent="0.2">
      <c r="I321" s="4"/>
      <c r="J321" s="3"/>
    </row>
    <row r="322" spans="9:10" x14ac:dyDescent="0.2">
      <c r="I322" s="4"/>
      <c r="J322" s="3"/>
    </row>
    <row r="323" spans="9:10" x14ac:dyDescent="0.2">
      <c r="I323" s="4"/>
      <c r="J323" s="3"/>
    </row>
    <row r="324" spans="9:10" x14ac:dyDescent="0.2">
      <c r="I324" s="4"/>
      <c r="J324" s="3"/>
    </row>
    <row r="325" spans="9:10" x14ac:dyDescent="0.2">
      <c r="I325" s="4"/>
      <c r="J325" s="3"/>
    </row>
    <row r="326" spans="9:10" x14ac:dyDescent="0.2">
      <c r="I326" s="4"/>
      <c r="J326" s="3"/>
    </row>
    <row r="327" spans="9:10" x14ac:dyDescent="0.2">
      <c r="I327" s="4"/>
      <c r="J327" s="3"/>
    </row>
    <row r="328" spans="9:10" x14ac:dyDescent="0.2">
      <c r="I328" s="4"/>
      <c r="J328" s="3"/>
    </row>
    <row r="329" spans="9:10" x14ac:dyDescent="0.2">
      <c r="I329" s="4"/>
      <c r="J329" s="3"/>
    </row>
    <row r="330" spans="9:10" x14ac:dyDescent="0.2">
      <c r="I330" s="4"/>
      <c r="J330" s="3"/>
    </row>
    <row r="331" spans="9:10" x14ac:dyDescent="0.2">
      <c r="I331" s="4"/>
      <c r="J331" s="3"/>
    </row>
    <row r="332" spans="9:10" x14ac:dyDescent="0.2">
      <c r="I332" s="4"/>
      <c r="J332" s="3"/>
    </row>
    <row r="333" spans="9:10" x14ac:dyDescent="0.2">
      <c r="I333" s="4"/>
      <c r="J333" s="3"/>
    </row>
    <row r="334" spans="9:10" x14ac:dyDescent="0.2">
      <c r="I334" s="4"/>
      <c r="J334" s="3"/>
    </row>
    <row r="335" spans="9:10" x14ac:dyDescent="0.2">
      <c r="I335" s="4"/>
      <c r="J335" s="3"/>
    </row>
    <row r="336" spans="9:10" x14ac:dyDescent="0.2">
      <c r="I336" s="4"/>
      <c r="J336" s="3"/>
    </row>
    <row r="337" spans="9:10" x14ac:dyDescent="0.2">
      <c r="I337" s="4"/>
      <c r="J337" s="3"/>
    </row>
    <row r="338" spans="9:10" x14ac:dyDescent="0.2">
      <c r="I338" s="4"/>
      <c r="J338" s="3"/>
    </row>
    <row r="339" spans="9:10" x14ac:dyDescent="0.2">
      <c r="I339" s="4"/>
      <c r="J339" s="3"/>
    </row>
    <row r="340" spans="9:10" x14ac:dyDescent="0.2">
      <c r="I340" s="4"/>
      <c r="J340" s="3"/>
    </row>
    <row r="341" spans="9:10" x14ac:dyDescent="0.2">
      <c r="I341" s="4"/>
      <c r="J341" s="3"/>
    </row>
    <row r="342" spans="9:10" x14ac:dyDescent="0.2">
      <c r="I342" s="4"/>
      <c r="J342" s="3"/>
    </row>
    <row r="343" spans="9:10" x14ac:dyDescent="0.2">
      <c r="I343" s="4"/>
      <c r="J343" s="3"/>
    </row>
    <row r="344" spans="9:10" x14ac:dyDescent="0.2">
      <c r="I344" s="4"/>
      <c r="J344" s="3"/>
    </row>
    <row r="345" spans="9:10" x14ac:dyDescent="0.2">
      <c r="I345" s="4"/>
      <c r="J345" s="3"/>
    </row>
    <row r="346" spans="9:10" x14ac:dyDescent="0.2">
      <c r="I346" s="4"/>
      <c r="J346" s="3"/>
    </row>
    <row r="347" spans="9:10" x14ac:dyDescent="0.2">
      <c r="I347" s="4"/>
      <c r="J347" s="3"/>
    </row>
    <row r="348" spans="9:10" x14ac:dyDescent="0.2">
      <c r="I348" s="4"/>
      <c r="J348" s="3"/>
    </row>
    <row r="349" spans="9:10" x14ac:dyDescent="0.2">
      <c r="I349" s="4"/>
      <c r="J349" s="3"/>
    </row>
    <row r="350" spans="9:10" x14ac:dyDescent="0.2">
      <c r="I350" s="4"/>
      <c r="J350" s="3"/>
    </row>
    <row r="351" spans="9:10" x14ac:dyDescent="0.2">
      <c r="I351" s="4"/>
      <c r="J351" s="3"/>
    </row>
    <row r="352" spans="9:10" x14ac:dyDescent="0.2">
      <c r="I352" s="4"/>
      <c r="J352" s="3"/>
    </row>
    <row r="353" spans="8:10" x14ac:dyDescent="0.2">
      <c r="H353" s="10"/>
      <c r="I353" s="10"/>
      <c r="J353" s="3"/>
    </row>
    <row r="354" spans="8:10" x14ac:dyDescent="0.2">
      <c r="I354" s="4"/>
      <c r="J354" s="3"/>
    </row>
    <row r="355" spans="8:10" x14ac:dyDescent="0.2">
      <c r="I355" s="4"/>
      <c r="J355" s="3"/>
    </row>
    <row r="356" spans="8:10" x14ac:dyDescent="0.2">
      <c r="I356" s="4"/>
      <c r="J356" s="3"/>
    </row>
    <row r="357" spans="8:10" x14ac:dyDescent="0.2">
      <c r="I357" s="4"/>
      <c r="J357" s="3"/>
    </row>
    <row r="358" spans="8:10" x14ac:dyDescent="0.2">
      <c r="I358" s="4"/>
      <c r="J358" s="3"/>
    </row>
    <row r="359" spans="8:10" x14ac:dyDescent="0.2">
      <c r="I359" s="4"/>
      <c r="J359" s="3"/>
    </row>
    <row r="360" spans="8:10" x14ac:dyDescent="0.2">
      <c r="I360" s="4"/>
      <c r="J360" s="3"/>
    </row>
    <row r="361" spans="8:10" x14ac:dyDescent="0.2">
      <c r="I361" s="4"/>
      <c r="J361" s="3"/>
    </row>
    <row r="362" spans="8:10" x14ac:dyDescent="0.2">
      <c r="I362" s="4"/>
      <c r="J362" s="3"/>
    </row>
    <row r="363" spans="8:10" x14ac:dyDescent="0.2">
      <c r="I363" s="4"/>
      <c r="J363" s="3"/>
    </row>
    <row r="364" spans="8:10" x14ac:dyDescent="0.2">
      <c r="I364" s="4"/>
      <c r="J364" s="3"/>
    </row>
    <row r="365" spans="8:10" x14ac:dyDescent="0.2">
      <c r="I365" s="4"/>
      <c r="J365" s="3"/>
    </row>
    <row r="366" spans="8:10" x14ac:dyDescent="0.2">
      <c r="I366" s="4"/>
      <c r="J366" s="3"/>
    </row>
    <row r="367" spans="8:10" x14ac:dyDescent="0.2">
      <c r="I367" s="4"/>
      <c r="J367" s="3"/>
    </row>
    <row r="368" spans="8:10" x14ac:dyDescent="0.2">
      <c r="I368" s="4"/>
      <c r="J368" s="3"/>
    </row>
    <row r="369" spans="9:10" x14ac:dyDescent="0.2">
      <c r="I369" s="4"/>
      <c r="J369" s="3"/>
    </row>
    <row r="370" spans="9:10" x14ac:dyDescent="0.2">
      <c r="I370" s="4"/>
      <c r="J370" s="3"/>
    </row>
    <row r="371" spans="9:10" x14ac:dyDescent="0.2">
      <c r="I371" s="4"/>
      <c r="J371" s="3"/>
    </row>
    <row r="372" spans="9:10" x14ac:dyDescent="0.2">
      <c r="I372" s="4"/>
      <c r="J372" s="3"/>
    </row>
    <row r="373" spans="9:10" x14ac:dyDescent="0.2">
      <c r="I373" s="4"/>
      <c r="J373" s="3"/>
    </row>
    <row r="374" spans="9:10" x14ac:dyDescent="0.2">
      <c r="I374" s="4"/>
      <c r="J374" s="3"/>
    </row>
    <row r="375" spans="9:10" x14ac:dyDescent="0.2">
      <c r="I375" s="4"/>
      <c r="J375" s="3"/>
    </row>
    <row r="376" spans="9:10" x14ac:dyDescent="0.2">
      <c r="I376" s="4"/>
      <c r="J376" s="3"/>
    </row>
    <row r="377" spans="9:10" x14ac:dyDescent="0.2">
      <c r="I377" s="4"/>
      <c r="J377" s="3"/>
    </row>
    <row r="378" spans="9:10" x14ac:dyDescent="0.2">
      <c r="I378" s="4"/>
      <c r="J378" s="3"/>
    </row>
    <row r="379" spans="9:10" x14ac:dyDescent="0.2">
      <c r="I379" s="4"/>
      <c r="J379" s="3"/>
    </row>
    <row r="380" spans="9:10" x14ac:dyDescent="0.2">
      <c r="I380" s="4"/>
      <c r="J380" s="3"/>
    </row>
    <row r="381" spans="9:10" x14ac:dyDescent="0.2">
      <c r="I381" s="4"/>
      <c r="J381" s="3"/>
    </row>
    <row r="382" spans="9:10" x14ac:dyDescent="0.2">
      <c r="I382" s="4"/>
      <c r="J382" s="3"/>
    </row>
    <row r="383" spans="9:10" x14ac:dyDescent="0.2">
      <c r="I383" s="4"/>
      <c r="J383" s="3"/>
    </row>
    <row r="384" spans="9:10" x14ac:dyDescent="0.2">
      <c r="I384" s="4"/>
      <c r="J384" s="3"/>
    </row>
    <row r="385" spans="9:10" x14ac:dyDescent="0.2">
      <c r="I385" s="4"/>
      <c r="J385" s="3"/>
    </row>
    <row r="386" spans="9:10" x14ac:dyDescent="0.2">
      <c r="I386" s="4"/>
      <c r="J386" s="3"/>
    </row>
    <row r="387" spans="9:10" x14ac:dyDescent="0.2">
      <c r="I387" s="4"/>
      <c r="J387" s="3"/>
    </row>
    <row r="388" spans="9:10" x14ac:dyDescent="0.2">
      <c r="I388" s="4"/>
      <c r="J388" s="3"/>
    </row>
    <row r="389" spans="9:10" x14ac:dyDescent="0.2">
      <c r="I389" s="4"/>
      <c r="J389" s="3"/>
    </row>
    <row r="390" spans="9:10" x14ac:dyDescent="0.2">
      <c r="I390" s="4"/>
      <c r="J390" s="3"/>
    </row>
    <row r="391" spans="9:10" x14ac:dyDescent="0.2">
      <c r="I391" s="4"/>
      <c r="J391" s="3"/>
    </row>
    <row r="392" spans="9:10" x14ac:dyDescent="0.2">
      <c r="I392" s="4"/>
      <c r="J392" s="3"/>
    </row>
    <row r="393" spans="9:10" x14ac:dyDescent="0.2">
      <c r="I393" s="4"/>
      <c r="J393" s="3"/>
    </row>
    <row r="394" spans="9:10" x14ac:dyDescent="0.2">
      <c r="I394" s="4"/>
      <c r="J394" s="3"/>
    </row>
    <row r="395" spans="9:10" x14ac:dyDescent="0.2">
      <c r="I395" s="4"/>
      <c r="J395" s="3"/>
    </row>
    <row r="396" spans="9:10" x14ac:dyDescent="0.2">
      <c r="I396" s="4"/>
      <c r="J396" s="3"/>
    </row>
    <row r="397" spans="9:10" x14ac:dyDescent="0.2">
      <c r="I397" s="4"/>
      <c r="J397" s="3"/>
    </row>
    <row r="398" spans="9:10" x14ac:dyDescent="0.2">
      <c r="I398" s="4"/>
      <c r="J398" s="3"/>
    </row>
    <row r="399" spans="9:10" x14ac:dyDescent="0.2">
      <c r="I399" s="4"/>
      <c r="J399" s="3"/>
    </row>
    <row r="400" spans="9:10" x14ac:dyDescent="0.2">
      <c r="I400" s="4"/>
      <c r="J400" s="3"/>
    </row>
    <row r="401" spans="8:10" x14ac:dyDescent="0.2">
      <c r="I401" s="4"/>
      <c r="J401" s="3"/>
    </row>
    <row r="402" spans="8:10" x14ac:dyDescent="0.2">
      <c r="I402" s="4"/>
      <c r="J402" s="3"/>
    </row>
    <row r="403" spans="8:10" x14ac:dyDescent="0.2">
      <c r="I403" s="4"/>
      <c r="J403" s="3"/>
    </row>
    <row r="404" spans="8:10" x14ac:dyDescent="0.2">
      <c r="I404" s="4"/>
      <c r="J404" s="3"/>
    </row>
    <row r="405" spans="8:10" x14ac:dyDescent="0.2">
      <c r="I405" s="4"/>
      <c r="J405" s="3"/>
    </row>
    <row r="406" spans="8:10" x14ac:dyDescent="0.2">
      <c r="I406" s="4"/>
      <c r="J406" s="3"/>
    </row>
    <row r="407" spans="8:10" x14ac:dyDescent="0.2">
      <c r="I407" s="4"/>
      <c r="J407" s="3"/>
    </row>
    <row r="408" spans="8:10" x14ac:dyDescent="0.2">
      <c r="I408" s="4"/>
      <c r="J408" s="3"/>
    </row>
    <row r="409" spans="8:10" x14ac:dyDescent="0.2">
      <c r="I409" s="4"/>
      <c r="J409" s="3"/>
    </row>
    <row r="410" spans="8:10" x14ac:dyDescent="0.2">
      <c r="H410" s="10"/>
      <c r="I410" s="10"/>
      <c r="J410" s="3"/>
    </row>
    <row r="411" spans="8:10" x14ac:dyDescent="0.2">
      <c r="H411" s="10"/>
      <c r="I411" s="10"/>
      <c r="J411" s="3"/>
    </row>
    <row r="412" spans="8:10" x14ac:dyDescent="0.2">
      <c r="I412" s="4"/>
      <c r="J412" s="3"/>
    </row>
    <row r="413" spans="8:10" x14ac:dyDescent="0.2">
      <c r="I413" s="4"/>
      <c r="J413" s="3"/>
    </row>
    <row r="414" spans="8:10" x14ac:dyDescent="0.2">
      <c r="I414" s="4"/>
      <c r="J414" s="3"/>
    </row>
    <row r="415" spans="8:10" x14ac:dyDescent="0.2">
      <c r="I415" s="4"/>
      <c r="J415" s="3"/>
    </row>
    <row r="416" spans="8:10" x14ac:dyDescent="0.2">
      <c r="H416" s="10"/>
      <c r="I416" s="10"/>
      <c r="J416" s="3"/>
    </row>
    <row r="417" spans="8:10" x14ac:dyDescent="0.2">
      <c r="I417" s="4"/>
      <c r="J417" s="3"/>
    </row>
    <row r="418" spans="8:10" x14ac:dyDescent="0.2">
      <c r="I418" s="4"/>
      <c r="J418" s="3"/>
    </row>
    <row r="419" spans="8:10" x14ac:dyDescent="0.2">
      <c r="H419" s="10"/>
      <c r="I419" s="10"/>
      <c r="J419" s="3"/>
    </row>
    <row r="420" spans="8:10" x14ac:dyDescent="0.2">
      <c r="I420" s="4"/>
      <c r="J420" s="3"/>
    </row>
    <row r="421" spans="8:10" x14ac:dyDescent="0.2">
      <c r="I421" s="4"/>
      <c r="J421" s="3"/>
    </row>
    <row r="422" spans="8:10" x14ac:dyDescent="0.2">
      <c r="I422" s="4"/>
      <c r="J422" s="3"/>
    </row>
    <row r="423" spans="8:10" x14ac:dyDescent="0.2">
      <c r="H423" s="10"/>
      <c r="I423" s="10"/>
      <c r="J423" s="3"/>
    </row>
    <row r="424" spans="8:10" x14ac:dyDescent="0.2">
      <c r="I424" s="4"/>
      <c r="J424" s="3"/>
    </row>
    <row r="425" spans="8:10" x14ac:dyDescent="0.2">
      <c r="I425" s="4"/>
      <c r="J425" s="3"/>
    </row>
    <row r="426" spans="8:10" x14ac:dyDescent="0.2">
      <c r="I426" s="4"/>
      <c r="J426" s="3"/>
    </row>
    <row r="427" spans="8:10" x14ac:dyDescent="0.2">
      <c r="I427" s="4"/>
      <c r="J427" s="3"/>
    </row>
    <row r="428" spans="8:10" x14ac:dyDescent="0.2">
      <c r="I428" s="4"/>
      <c r="J428" s="3"/>
    </row>
    <row r="429" spans="8:10" x14ac:dyDescent="0.2">
      <c r="I429" s="4"/>
      <c r="J429" s="3"/>
    </row>
    <row r="430" spans="8:10" x14ac:dyDescent="0.2">
      <c r="I430" s="4"/>
      <c r="J430" s="3"/>
    </row>
    <row r="431" spans="8:10" x14ac:dyDescent="0.2">
      <c r="I431" s="4"/>
      <c r="J431" s="3"/>
    </row>
    <row r="432" spans="8:10" x14ac:dyDescent="0.2">
      <c r="I432" s="4"/>
      <c r="J432" s="3"/>
    </row>
    <row r="433" spans="9:10" x14ac:dyDescent="0.2">
      <c r="I433" s="4"/>
      <c r="J433" s="3"/>
    </row>
    <row r="434" spans="9:10" x14ac:dyDescent="0.2">
      <c r="I434" s="4"/>
      <c r="J434" s="3"/>
    </row>
    <row r="435" spans="9:10" x14ac:dyDescent="0.2">
      <c r="I435" s="4"/>
      <c r="J435" s="3"/>
    </row>
    <row r="436" spans="9:10" x14ac:dyDescent="0.2">
      <c r="I436" s="4"/>
      <c r="J436" s="3"/>
    </row>
    <row r="437" spans="9:10" x14ac:dyDescent="0.2">
      <c r="I437" s="4"/>
      <c r="J437" s="3"/>
    </row>
    <row r="438" spans="9:10" x14ac:dyDescent="0.2">
      <c r="I438" s="4"/>
      <c r="J438" s="3"/>
    </row>
    <row r="439" spans="9:10" x14ac:dyDescent="0.2">
      <c r="I439" s="4"/>
      <c r="J439" s="3"/>
    </row>
    <row r="440" spans="9:10" x14ac:dyDescent="0.2">
      <c r="I440" s="4"/>
      <c r="J440" s="3"/>
    </row>
    <row r="441" spans="9:10" x14ac:dyDescent="0.2">
      <c r="I441" s="4"/>
      <c r="J441" s="3"/>
    </row>
    <row r="442" spans="9:10" x14ac:dyDescent="0.2">
      <c r="I442" s="4"/>
      <c r="J442" s="3"/>
    </row>
    <row r="443" spans="9:10" x14ac:dyDescent="0.2">
      <c r="I443" s="4"/>
      <c r="J443" s="3"/>
    </row>
    <row r="444" spans="9:10" x14ac:dyDescent="0.2">
      <c r="I444" s="4"/>
      <c r="J444" s="3"/>
    </row>
    <row r="445" spans="9:10" x14ac:dyDescent="0.2">
      <c r="I445" s="4"/>
      <c r="J445" s="3"/>
    </row>
    <row r="446" spans="9:10" x14ac:dyDescent="0.2">
      <c r="I446" s="4"/>
      <c r="J446" s="3"/>
    </row>
    <row r="447" spans="9:10" x14ac:dyDescent="0.2">
      <c r="I447" s="4"/>
      <c r="J447" s="3"/>
    </row>
    <row r="448" spans="9:10" x14ac:dyDescent="0.2">
      <c r="I448" s="4"/>
      <c r="J448" s="3"/>
    </row>
    <row r="449" spans="9:10" x14ac:dyDescent="0.2">
      <c r="I449" s="4"/>
      <c r="J449" s="3"/>
    </row>
    <row r="450" spans="9:10" x14ac:dyDescent="0.2">
      <c r="I450" s="4"/>
      <c r="J450" s="3"/>
    </row>
    <row r="451" spans="9:10" x14ac:dyDescent="0.2">
      <c r="I451" s="4"/>
      <c r="J451" s="3"/>
    </row>
    <row r="452" spans="9:10" x14ac:dyDescent="0.2">
      <c r="I452" s="4"/>
      <c r="J452" s="3"/>
    </row>
    <row r="453" spans="9:10" x14ac:dyDescent="0.2">
      <c r="I453" s="4"/>
      <c r="J453" s="3"/>
    </row>
    <row r="454" spans="9:10" x14ac:dyDescent="0.2">
      <c r="I454" s="4"/>
      <c r="J454" s="3"/>
    </row>
    <row r="455" spans="9:10" x14ac:dyDescent="0.2">
      <c r="I455" s="4"/>
      <c r="J455" s="3"/>
    </row>
    <row r="456" spans="9:10" x14ac:dyDescent="0.2">
      <c r="I456" s="4"/>
      <c r="J456" s="3"/>
    </row>
    <row r="457" spans="9:10" x14ac:dyDescent="0.2">
      <c r="I457" s="4"/>
      <c r="J457" s="3"/>
    </row>
    <row r="458" spans="9:10" x14ac:dyDescent="0.2">
      <c r="I458" s="4"/>
      <c r="J458" s="3"/>
    </row>
    <row r="459" spans="9:10" x14ac:dyDescent="0.2">
      <c r="I459" s="4"/>
      <c r="J459" s="3"/>
    </row>
    <row r="460" spans="9:10" x14ac:dyDescent="0.2">
      <c r="I460" s="4"/>
      <c r="J460" s="3"/>
    </row>
    <row r="461" spans="9:10" x14ac:dyDescent="0.2">
      <c r="I461" s="4"/>
      <c r="J461" s="3"/>
    </row>
    <row r="462" spans="9:10" x14ac:dyDescent="0.2">
      <c r="I462" s="4"/>
      <c r="J462" s="3"/>
    </row>
    <row r="463" spans="9:10" x14ac:dyDescent="0.2">
      <c r="I463" s="4"/>
      <c r="J463" s="3"/>
    </row>
    <row r="464" spans="9:10" x14ac:dyDescent="0.2">
      <c r="I464" s="4"/>
      <c r="J464" s="3"/>
    </row>
    <row r="465" spans="8:10" x14ac:dyDescent="0.2">
      <c r="I465" s="4"/>
      <c r="J465" s="3"/>
    </row>
    <row r="466" spans="8:10" x14ac:dyDescent="0.2">
      <c r="I466" s="4"/>
      <c r="J466" s="3"/>
    </row>
    <row r="467" spans="8:10" x14ac:dyDescent="0.2">
      <c r="I467" s="4"/>
      <c r="J467" s="3"/>
    </row>
    <row r="468" spans="8:10" x14ac:dyDescent="0.2">
      <c r="I468" s="4"/>
      <c r="J468" s="3"/>
    </row>
    <row r="469" spans="8:10" x14ac:dyDescent="0.2">
      <c r="I469" s="4"/>
      <c r="J469" s="3"/>
    </row>
    <row r="470" spans="8:10" x14ac:dyDescent="0.2">
      <c r="I470" s="4"/>
      <c r="J470" s="3"/>
    </row>
    <row r="471" spans="8:10" x14ac:dyDescent="0.2">
      <c r="I471" s="4"/>
      <c r="J471" s="3"/>
    </row>
    <row r="472" spans="8:10" x14ac:dyDescent="0.2">
      <c r="H472" s="10"/>
      <c r="I472" s="10"/>
      <c r="J472" s="3"/>
    </row>
    <row r="473" spans="8:10" x14ac:dyDescent="0.2">
      <c r="I473" s="4"/>
      <c r="J473" s="3"/>
    </row>
    <row r="474" spans="8:10" x14ac:dyDescent="0.2">
      <c r="I474" s="4"/>
      <c r="J474" s="3"/>
    </row>
    <row r="475" spans="8:10" x14ac:dyDescent="0.2">
      <c r="I475" s="4"/>
      <c r="J475" s="3"/>
    </row>
    <row r="476" spans="8:10" x14ac:dyDescent="0.2">
      <c r="I476" s="4"/>
      <c r="J476" s="3"/>
    </row>
    <row r="477" spans="8:10" x14ac:dyDescent="0.2">
      <c r="I477" s="4"/>
      <c r="J477" s="3"/>
    </row>
    <row r="478" spans="8:10" x14ac:dyDescent="0.2">
      <c r="I478" s="4"/>
      <c r="J478" s="3"/>
    </row>
    <row r="479" spans="8:10" x14ac:dyDescent="0.2">
      <c r="I479" s="4"/>
      <c r="J479" s="3"/>
    </row>
    <row r="480" spans="8:10" x14ac:dyDescent="0.2">
      <c r="I480" s="4"/>
      <c r="J480" s="3"/>
    </row>
    <row r="481" spans="9:10" x14ac:dyDescent="0.2">
      <c r="I481" s="4"/>
      <c r="J481" s="3"/>
    </row>
    <row r="482" spans="9:10" x14ac:dyDescent="0.2">
      <c r="I482" s="4"/>
      <c r="J482" s="3"/>
    </row>
    <row r="483" spans="9:10" x14ac:dyDescent="0.2">
      <c r="I483" s="4"/>
      <c r="J483" s="3"/>
    </row>
    <row r="484" spans="9:10" x14ac:dyDescent="0.2">
      <c r="I484" s="4"/>
      <c r="J484" s="3"/>
    </row>
    <row r="485" spans="9:10" x14ac:dyDescent="0.2">
      <c r="I485" s="4"/>
      <c r="J485" s="3"/>
    </row>
    <row r="486" spans="9:10" x14ac:dyDescent="0.2">
      <c r="I486" s="4"/>
      <c r="J486" s="3"/>
    </row>
    <row r="487" spans="9:10" x14ac:dyDescent="0.2">
      <c r="I487" s="4"/>
      <c r="J487" s="3"/>
    </row>
    <row r="488" spans="9:10" x14ac:dyDescent="0.2">
      <c r="I488" s="4"/>
      <c r="J488" s="3"/>
    </row>
    <row r="489" spans="9:10" x14ac:dyDescent="0.2">
      <c r="I489" s="4"/>
      <c r="J489" s="3"/>
    </row>
    <row r="490" spans="9:10" x14ac:dyDescent="0.2">
      <c r="I490" s="4"/>
      <c r="J490" s="3"/>
    </row>
    <row r="491" spans="9:10" x14ac:dyDescent="0.2">
      <c r="I491" s="4"/>
      <c r="J491" s="3"/>
    </row>
    <row r="492" spans="9:10" x14ac:dyDescent="0.2">
      <c r="I492" s="4"/>
      <c r="J492" s="3"/>
    </row>
    <row r="493" spans="9:10" x14ac:dyDescent="0.2">
      <c r="I493" s="4"/>
      <c r="J493" s="3"/>
    </row>
    <row r="494" spans="9:10" x14ac:dyDescent="0.2">
      <c r="I494" s="4"/>
      <c r="J494" s="3"/>
    </row>
    <row r="495" spans="9:10" x14ac:dyDescent="0.2">
      <c r="I495" s="4"/>
      <c r="J495" s="3"/>
    </row>
    <row r="496" spans="9:10" x14ac:dyDescent="0.2">
      <c r="I496" s="4"/>
      <c r="J496" s="3"/>
    </row>
    <row r="497" spans="8:10" x14ac:dyDescent="0.2">
      <c r="I497" s="4"/>
      <c r="J497" s="3"/>
    </row>
    <row r="498" spans="8:10" x14ac:dyDescent="0.2">
      <c r="I498" s="4"/>
      <c r="J498" s="3"/>
    </row>
    <row r="499" spans="8:10" x14ac:dyDescent="0.2">
      <c r="I499" s="4"/>
      <c r="J499" s="3"/>
    </row>
    <row r="500" spans="8:10" x14ac:dyDescent="0.2">
      <c r="I500" s="4"/>
      <c r="J500" s="3"/>
    </row>
    <row r="501" spans="8:10" x14ac:dyDescent="0.2">
      <c r="I501" s="4"/>
      <c r="J501" s="3"/>
    </row>
    <row r="502" spans="8:10" x14ac:dyDescent="0.2">
      <c r="I502" s="4"/>
      <c r="J502" s="3"/>
    </row>
    <row r="503" spans="8:10" x14ac:dyDescent="0.2">
      <c r="I503" s="4"/>
      <c r="J503" s="3"/>
    </row>
    <row r="504" spans="8:10" x14ac:dyDescent="0.2">
      <c r="I504" s="4"/>
      <c r="J504" s="3"/>
    </row>
    <row r="505" spans="8:10" x14ac:dyDescent="0.2">
      <c r="I505" s="4"/>
      <c r="J505" s="3"/>
    </row>
    <row r="506" spans="8:10" x14ac:dyDescent="0.2">
      <c r="I506" s="4"/>
      <c r="J506" s="3"/>
    </row>
    <row r="507" spans="8:10" x14ac:dyDescent="0.2">
      <c r="I507" s="4"/>
      <c r="J507" s="3"/>
    </row>
    <row r="508" spans="8:10" x14ac:dyDescent="0.2">
      <c r="H508" s="10"/>
      <c r="I508" s="10"/>
      <c r="J508" s="3"/>
    </row>
    <row r="509" spans="8:10" x14ac:dyDescent="0.2">
      <c r="I509" s="4"/>
      <c r="J509" s="3"/>
    </row>
    <row r="510" spans="8:10" x14ac:dyDescent="0.2">
      <c r="I510" s="4"/>
      <c r="J510" s="3"/>
    </row>
    <row r="511" spans="8:10" x14ac:dyDescent="0.2">
      <c r="I511" s="4"/>
      <c r="J511" s="3"/>
    </row>
    <row r="512" spans="8:10" x14ac:dyDescent="0.2">
      <c r="I512" s="4"/>
      <c r="J512" s="3"/>
    </row>
    <row r="513" spans="9:10" x14ac:dyDescent="0.2">
      <c r="I513" s="4"/>
      <c r="J513" s="3"/>
    </row>
    <row r="514" spans="9:10" x14ac:dyDescent="0.2">
      <c r="I514" s="4"/>
      <c r="J514" s="3"/>
    </row>
    <row r="515" spans="9:10" x14ac:dyDescent="0.2">
      <c r="I515" s="4"/>
      <c r="J515" s="3"/>
    </row>
    <row r="516" spans="9:10" x14ac:dyDescent="0.2">
      <c r="I516" s="4"/>
      <c r="J516" s="3"/>
    </row>
    <row r="517" spans="9:10" x14ac:dyDescent="0.2">
      <c r="I517" s="4"/>
      <c r="J517" s="3"/>
    </row>
    <row r="518" spans="9:10" x14ac:dyDescent="0.2">
      <c r="I518" s="4"/>
      <c r="J518" s="3"/>
    </row>
    <row r="519" spans="9:10" x14ac:dyDescent="0.2">
      <c r="I519" s="4"/>
      <c r="J519" s="3"/>
    </row>
    <row r="520" spans="9:10" x14ac:dyDescent="0.2">
      <c r="I520" s="4"/>
      <c r="J520" s="3"/>
    </row>
    <row r="521" spans="9:10" x14ac:dyDescent="0.2">
      <c r="I521" s="4"/>
      <c r="J521" s="3"/>
    </row>
    <row r="522" spans="9:10" x14ac:dyDescent="0.2">
      <c r="I522" s="4"/>
      <c r="J522" s="3"/>
    </row>
    <row r="523" spans="9:10" x14ac:dyDescent="0.2">
      <c r="I523" s="4"/>
      <c r="J523" s="3"/>
    </row>
    <row r="524" spans="9:10" x14ac:dyDescent="0.2">
      <c r="I524" s="4"/>
      <c r="J524" s="3"/>
    </row>
    <row r="525" spans="9:10" x14ac:dyDescent="0.2">
      <c r="I525" s="4"/>
      <c r="J525" s="3"/>
    </row>
    <row r="526" spans="9:10" x14ac:dyDescent="0.2">
      <c r="I526" s="4"/>
      <c r="J526" s="3"/>
    </row>
    <row r="527" spans="9:10" x14ac:dyDescent="0.2">
      <c r="I527" s="4"/>
      <c r="J527" s="3"/>
    </row>
    <row r="528" spans="9:10" x14ac:dyDescent="0.2">
      <c r="I528" s="4"/>
      <c r="J528" s="3"/>
    </row>
    <row r="529" spans="9:10" x14ac:dyDescent="0.2">
      <c r="I529" s="4"/>
      <c r="J529" s="3"/>
    </row>
    <row r="530" spans="9:10" x14ac:dyDescent="0.2">
      <c r="I530" s="4"/>
      <c r="J530" s="3"/>
    </row>
    <row r="531" spans="9:10" x14ac:dyDescent="0.2">
      <c r="I531" s="4"/>
      <c r="J531" s="3"/>
    </row>
    <row r="532" spans="9:10" x14ac:dyDescent="0.2">
      <c r="I532" s="4"/>
      <c r="J532" s="3"/>
    </row>
    <row r="533" spans="9:10" x14ac:dyDescent="0.2">
      <c r="I533" s="4"/>
      <c r="J533" s="3"/>
    </row>
    <row r="534" spans="9:10" x14ac:dyDescent="0.2">
      <c r="I534" s="4"/>
      <c r="J534" s="3"/>
    </row>
    <row r="535" spans="9:10" x14ac:dyDescent="0.2">
      <c r="I535" s="4"/>
      <c r="J535" s="3"/>
    </row>
    <row r="536" spans="9:10" x14ac:dyDescent="0.2">
      <c r="I536" s="4"/>
      <c r="J536" s="3"/>
    </row>
    <row r="537" spans="9:10" x14ac:dyDescent="0.2">
      <c r="I537" s="4"/>
      <c r="J537" s="3"/>
    </row>
    <row r="538" spans="9:10" x14ac:dyDescent="0.2">
      <c r="I538" s="4"/>
      <c r="J538" s="3"/>
    </row>
    <row r="539" spans="9:10" x14ac:dyDescent="0.2">
      <c r="I539" s="4"/>
      <c r="J539" s="3"/>
    </row>
    <row r="540" spans="9:10" x14ac:dyDescent="0.2">
      <c r="I540" s="4"/>
      <c r="J540" s="3"/>
    </row>
    <row r="541" spans="9:10" x14ac:dyDescent="0.2">
      <c r="I541" s="4"/>
      <c r="J541" s="3"/>
    </row>
    <row r="542" spans="9:10" x14ac:dyDescent="0.2">
      <c r="I542" s="4"/>
      <c r="J542" s="3"/>
    </row>
    <row r="543" spans="9:10" x14ac:dyDescent="0.2">
      <c r="I543" s="4"/>
      <c r="J543" s="3"/>
    </row>
    <row r="544" spans="9:10" x14ac:dyDescent="0.2">
      <c r="I544" s="4"/>
      <c r="J544" s="3"/>
    </row>
    <row r="545" spans="9:10" x14ac:dyDescent="0.2">
      <c r="I545" s="4"/>
      <c r="J545" s="3"/>
    </row>
    <row r="546" spans="9:10" x14ac:dyDescent="0.2">
      <c r="I546" s="4"/>
      <c r="J546" s="3"/>
    </row>
    <row r="547" spans="9:10" x14ac:dyDescent="0.2">
      <c r="I547" s="4"/>
      <c r="J547" s="3"/>
    </row>
    <row r="548" spans="9:10" x14ac:dyDescent="0.2">
      <c r="I548" s="4"/>
      <c r="J548" s="3"/>
    </row>
    <row r="549" spans="9:10" x14ac:dyDescent="0.2">
      <c r="I549" s="4"/>
      <c r="J549" s="3"/>
    </row>
    <row r="550" spans="9:10" x14ac:dyDescent="0.2">
      <c r="I550" s="4"/>
      <c r="J550" s="3"/>
    </row>
    <row r="551" spans="9:10" x14ac:dyDescent="0.2">
      <c r="I551" s="4"/>
      <c r="J551" s="3"/>
    </row>
    <row r="552" spans="9:10" x14ac:dyDescent="0.2">
      <c r="I552" s="4"/>
      <c r="J552" s="3"/>
    </row>
    <row r="553" spans="9:10" x14ac:dyDescent="0.2">
      <c r="I553" s="4"/>
      <c r="J553" s="3"/>
    </row>
    <row r="554" spans="9:10" x14ac:dyDescent="0.2">
      <c r="I554" s="4"/>
      <c r="J554" s="3"/>
    </row>
    <row r="555" spans="9:10" x14ac:dyDescent="0.2">
      <c r="I555" s="4"/>
      <c r="J555" s="3"/>
    </row>
    <row r="556" spans="9:10" x14ac:dyDescent="0.2">
      <c r="I556" s="4"/>
      <c r="J556" s="3"/>
    </row>
    <row r="557" spans="9:10" x14ac:dyDescent="0.2">
      <c r="I557" s="4"/>
      <c r="J557" s="3"/>
    </row>
    <row r="558" spans="9:10" x14ac:dyDescent="0.2">
      <c r="I558" s="4"/>
      <c r="J558" s="3"/>
    </row>
    <row r="559" spans="9:10" x14ac:dyDescent="0.2">
      <c r="I559" s="4"/>
      <c r="J559" s="3"/>
    </row>
    <row r="560" spans="9:10" x14ac:dyDescent="0.2">
      <c r="I560" s="4"/>
      <c r="J560" s="3"/>
    </row>
    <row r="561" spans="9:10" x14ac:dyDescent="0.2">
      <c r="I561" s="4"/>
      <c r="J561" s="3"/>
    </row>
    <row r="562" spans="9:10" x14ac:dyDescent="0.2">
      <c r="I562" s="4"/>
      <c r="J562" s="3"/>
    </row>
    <row r="563" spans="9:10" x14ac:dyDescent="0.2">
      <c r="I563" s="4"/>
      <c r="J563" s="3"/>
    </row>
    <row r="564" spans="9:10" x14ac:dyDescent="0.2">
      <c r="I564" s="4"/>
      <c r="J564" s="3"/>
    </row>
    <row r="565" spans="9:10" x14ac:dyDescent="0.2">
      <c r="I565" s="4"/>
      <c r="J565" s="3"/>
    </row>
    <row r="566" spans="9:10" x14ac:dyDescent="0.2">
      <c r="I566" s="4"/>
      <c r="J566" s="3"/>
    </row>
    <row r="567" spans="9:10" x14ac:dyDescent="0.2">
      <c r="I567" s="4"/>
      <c r="J567" s="3"/>
    </row>
    <row r="568" spans="9:10" x14ac:dyDescent="0.2">
      <c r="I568" s="4"/>
      <c r="J568" s="3"/>
    </row>
    <row r="569" spans="9:10" x14ac:dyDescent="0.2">
      <c r="I569" s="4"/>
      <c r="J569" s="3"/>
    </row>
    <row r="570" spans="9:10" x14ac:dyDescent="0.2">
      <c r="I570" s="4"/>
      <c r="J570" s="3"/>
    </row>
    <row r="571" spans="9:10" x14ac:dyDescent="0.2">
      <c r="I571" s="4"/>
      <c r="J571" s="3"/>
    </row>
    <row r="572" spans="9:10" x14ac:dyDescent="0.2">
      <c r="I572" s="4"/>
      <c r="J572" s="3"/>
    </row>
    <row r="573" spans="9:10" x14ac:dyDescent="0.2">
      <c r="I573" s="4"/>
      <c r="J573" s="3"/>
    </row>
    <row r="574" spans="9:10" x14ac:dyDescent="0.2">
      <c r="I574" s="4"/>
      <c r="J574" s="3"/>
    </row>
    <row r="575" spans="9:10" x14ac:dyDescent="0.2">
      <c r="I575" s="4"/>
      <c r="J575" s="3"/>
    </row>
    <row r="576" spans="9:10" x14ac:dyDescent="0.2">
      <c r="I576" s="4"/>
      <c r="J576" s="3"/>
    </row>
    <row r="577" spans="9:10" x14ac:dyDescent="0.2">
      <c r="I577" s="4"/>
      <c r="J577" s="3"/>
    </row>
    <row r="578" spans="9:10" x14ac:dyDescent="0.2">
      <c r="I578" s="4"/>
      <c r="J578" s="3"/>
    </row>
    <row r="579" spans="9:10" x14ac:dyDescent="0.2">
      <c r="I579" s="4"/>
      <c r="J579" s="3"/>
    </row>
    <row r="580" spans="9:10" x14ac:dyDescent="0.2">
      <c r="I580" s="4"/>
      <c r="J580" s="3"/>
    </row>
    <row r="581" spans="9:10" x14ac:dyDescent="0.2">
      <c r="I581" s="4"/>
      <c r="J581" s="3"/>
    </row>
    <row r="582" spans="9:10" x14ac:dyDescent="0.2">
      <c r="I582" s="4"/>
      <c r="J582" s="3"/>
    </row>
    <row r="583" spans="9:10" x14ac:dyDescent="0.2">
      <c r="I583" s="4"/>
      <c r="J583" s="3"/>
    </row>
    <row r="584" spans="9:10" x14ac:dyDescent="0.2">
      <c r="I584" s="4"/>
      <c r="J584" s="3"/>
    </row>
    <row r="585" spans="9:10" x14ac:dyDescent="0.2">
      <c r="I585" s="4"/>
      <c r="J585" s="3"/>
    </row>
    <row r="586" spans="9:10" x14ac:dyDescent="0.2">
      <c r="I586" s="4"/>
      <c r="J586" s="3"/>
    </row>
    <row r="587" spans="9:10" x14ac:dyDescent="0.2">
      <c r="I587" s="4"/>
      <c r="J587" s="3"/>
    </row>
    <row r="588" spans="9:10" x14ac:dyDescent="0.2">
      <c r="I588" s="4"/>
      <c r="J588" s="3"/>
    </row>
    <row r="589" spans="9:10" x14ac:dyDescent="0.2">
      <c r="I589" s="4"/>
      <c r="J589" s="3"/>
    </row>
    <row r="590" spans="9:10" x14ac:dyDescent="0.2">
      <c r="I590" s="4"/>
      <c r="J590" s="3"/>
    </row>
    <row r="591" spans="9:10" x14ac:dyDescent="0.2">
      <c r="I591" s="4"/>
      <c r="J591" s="3"/>
    </row>
    <row r="592" spans="9:10" x14ac:dyDescent="0.2">
      <c r="I592" s="4"/>
      <c r="J592" s="3"/>
    </row>
    <row r="593" spans="8:10" x14ac:dyDescent="0.2">
      <c r="H593" s="10"/>
      <c r="I593" s="10"/>
      <c r="J593" s="3"/>
    </row>
    <row r="594" spans="8:10" x14ac:dyDescent="0.2">
      <c r="I594" s="4"/>
      <c r="J594" s="3"/>
    </row>
    <row r="595" spans="8:10" x14ac:dyDescent="0.2">
      <c r="I595" s="4"/>
      <c r="J595" s="3"/>
    </row>
    <row r="596" spans="8:10" x14ac:dyDescent="0.2">
      <c r="I596" s="4"/>
      <c r="J596" s="3"/>
    </row>
    <row r="597" spans="8:10" x14ac:dyDescent="0.2">
      <c r="I597" s="4"/>
      <c r="J597" s="3"/>
    </row>
    <row r="598" spans="8:10" x14ac:dyDescent="0.2">
      <c r="I598" s="4"/>
      <c r="J598" s="3"/>
    </row>
    <row r="599" spans="8:10" x14ac:dyDescent="0.2">
      <c r="I599" s="4"/>
      <c r="J599" s="3"/>
    </row>
    <row r="600" spans="8:10" x14ac:dyDescent="0.2">
      <c r="I600" s="4"/>
      <c r="J600" s="3"/>
    </row>
    <row r="601" spans="8:10" x14ac:dyDescent="0.2">
      <c r="I601" s="4"/>
      <c r="J601" s="3"/>
    </row>
    <row r="602" spans="8:10" x14ac:dyDescent="0.2">
      <c r="I602" s="4"/>
      <c r="J602" s="3"/>
    </row>
    <row r="603" spans="8:10" x14ac:dyDescent="0.2">
      <c r="I603" s="4"/>
      <c r="J603" s="3"/>
    </row>
    <row r="604" spans="8:10" x14ac:dyDescent="0.2">
      <c r="I604" s="4"/>
      <c r="J604" s="3"/>
    </row>
    <row r="605" spans="8:10" x14ac:dyDescent="0.2">
      <c r="I605" s="4"/>
      <c r="J605" s="3"/>
    </row>
    <row r="606" spans="8:10" x14ac:dyDescent="0.2">
      <c r="I606" s="4"/>
      <c r="J606" s="3"/>
    </row>
    <row r="607" spans="8:10" x14ac:dyDescent="0.2">
      <c r="I607" s="4"/>
      <c r="J607" s="3"/>
    </row>
    <row r="608" spans="8:10" x14ac:dyDescent="0.2">
      <c r="I608" s="4"/>
      <c r="J608" s="3"/>
    </row>
    <row r="609" spans="8:10" x14ac:dyDescent="0.2">
      <c r="I609" s="4"/>
      <c r="J609" s="3"/>
    </row>
    <row r="610" spans="8:10" x14ac:dyDescent="0.2">
      <c r="I610" s="4"/>
      <c r="J610" s="3"/>
    </row>
    <row r="611" spans="8:10" x14ac:dyDescent="0.2">
      <c r="I611" s="4"/>
      <c r="J611" s="3"/>
    </row>
    <row r="612" spans="8:10" x14ac:dyDescent="0.2">
      <c r="I612" s="4"/>
      <c r="J612" s="3"/>
    </row>
    <row r="613" spans="8:10" x14ac:dyDescent="0.2">
      <c r="I613" s="4"/>
      <c r="J613" s="3"/>
    </row>
    <row r="614" spans="8:10" x14ac:dyDescent="0.2">
      <c r="I614" s="4"/>
      <c r="J614" s="3"/>
    </row>
    <row r="615" spans="8:10" x14ac:dyDescent="0.2">
      <c r="I615" s="4"/>
      <c r="J615" s="3"/>
    </row>
    <row r="616" spans="8:10" x14ac:dyDescent="0.2">
      <c r="H616" s="10"/>
      <c r="I616" s="10"/>
      <c r="J616" s="3"/>
    </row>
    <row r="617" spans="8:10" x14ac:dyDescent="0.2">
      <c r="I617" s="4"/>
      <c r="J617" s="3"/>
    </row>
    <row r="618" spans="8:10" x14ac:dyDescent="0.2">
      <c r="I618" s="4"/>
      <c r="J618" s="3"/>
    </row>
    <row r="619" spans="8:10" x14ac:dyDescent="0.2">
      <c r="I619" s="4"/>
      <c r="J619" s="3"/>
    </row>
    <row r="620" spans="8:10" x14ac:dyDescent="0.2">
      <c r="I620" s="4"/>
      <c r="J620" s="3"/>
    </row>
    <row r="621" spans="8:10" x14ac:dyDescent="0.2">
      <c r="I621" s="4"/>
      <c r="J621" s="3"/>
    </row>
    <row r="622" spans="8:10" x14ac:dyDescent="0.2">
      <c r="I622" s="4"/>
      <c r="J622" s="3"/>
    </row>
    <row r="623" spans="8:10" x14ac:dyDescent="0.2">
      <c r="I623" s="4"/>
      <c r="J623" s="3"/>
    </row>
    <row r="624" spans="8:10" x14ac:dyDescent="0.2">
      <c r="I624" s="4"/>
      <c r="J624" s="3"/>
    </row>
    <row r="625" spans="8:10" x14ac:dyDescent="0.2">
      <c r="I625" s="4"/>
      <c r="J625" s="3"/>
    </row>
    <row r="626" spans="8:10" x14ac:dyDescent="0.2">
      <c r="I626" s="4"/>
      <c r="J626" s="3"/>
    </row>
    <row r="627" spans="8:10" x14ac:dyDescent="0.2">
      <c r="I627" s="4"/>
      <c r="J627" s="3"/>
    </row>
    <row r="628" spans="8:10" x14ac:dyDescent="0.2">
      <c r="I628" s="4"/>
      <c r="J628" s="3"/>
    </row>
    <row r="629" spans="8:10" x14ac:dyDescent="0.2">
      <c r="I629" s="4"/>
      <c r="J629" s="3"/>
    </row>
    <row r="630" spans="8:10" x14ac:dyDescent="0.2">
      <c r="I630" s="4"/>
      <c r="J630" s="3"/>
    </row>
    <row r="631" spans="8:10" x14ac:dyDescent="0.2">
      <c r="H631" s="10"/>
      <c r="I631" s="10"/>
      <c r="J631" s="3"/>
    </row>
    <row r="632" spans="8:10" x14ac:dyDescent="0.2">
      <c r="I632" s="4"/>
      <c r="J632" s="3"/>
    </row>
    <row r="633" spans="8:10" x14ac:dyDescent="0.2">
      <c r="I633" s="4"/>
      <c r="J633" s="3"/>
    </row>
    <row r="634" spans="8:10" x14ac:dyDescent="0.2">
      <c r="I634" s="4"/>
      <c r="J634" s="3"/>
    </row>
    <row r="635" spans="8:10" x14ac:dyDescent="0.2">
      <c r="I635" s="4"/>
      <c r="J635" s="3"/>
    </row>
    <row r="636" spans="8:10" x14ac:dyDescent="0.2">
      <c r="I636" s="4"/>
      <c r="J636" s="3"/>
    </row>
    <row r="637" spans="8:10" x14ac:dyDescent="0.2">
      <c r="I637" s="4"/>
      <c r="J637" s="3"/>
    </row>
    <row r="638" spans="8:10" x14ac:dyDescent="0.2">
      <c r="H638" s="10"/>
      <c r="I638" s="10"/>
      <c r="J638" s="3"/>
    </row>
    <row r="639" spans="8:10" x14ac:dyDescent="0.2">
      <c r="I639" s="4"/>
      <c r="J639" s="3"/>
    </row>
    <row r="640" spans="8:10" x14ac:dyDescent="0.2">
      <c r="I640" s="4"/>
      <c r="J640" s="3"/>
    </row>
    <row r="641" spans="9:10" x14ac:dyDescent="0.2">
      <c r="I641" s="4"/>
      <c r="J641" s="3"/>
    </row>
    <row r="642" spans="9:10" x14ac:dyDescent="0.2">
      <c r="I642" s="4"/>
      <c r="J642" s="3"/>
    </row>
    <row r="643" spans="9:10" x14ac:dyDescent="0.2">
      <c r="I643" s="4"/>
      <c r="J643" s="3"/>
    </row>
    <row r="644" spans="9:10" x14ac:dyDescent="0.2">
      <c r="I644" s="4"/>
      <c r="J644" s="3"/>
    </row>
    <row r="645" spans="9:10" x14ac:dyDescent="0.2">
      <c r="I645" s="4"/>
      <c r="J645" s="3"/>
    </row>
    <row r="646" spans="9:10" x14ac:dyDescent="0.2">
      <c r="I646" s="4"/>
      <c r="J646" s="3"/>
    </row>
    <row r="647" spans="9:10" x14ac:dyDescent="0.2">
      <c r="I647" s="4"/>
      <c r="J647" s="3"/>
    </row>
    <row r="648" spans="9:10" x14ac:dyDescent="0.2">
      <c r="I648" s="4"/>
      <c r="J648" s="3"/>
    </row>
    <row r="649" spans="9:10" x14ac:dyDescent="0.2">
      <c r="I649" s="4"/>
      <c r="J649" s="3"/>
    </row>
    <row r="650" spans="9:10" x14ac:dyDescent="0.2">
      <c r="I650" s="4"/>
      <c r="J650" s="3"/>
    </row>
    <row r="651" spans="9:10" x14ac:dyDescent="0.2">
      <c r="I651" s="4"/>
      <c r="J651" s="3"/>
    </row>
    <row r="652" spans="9:10" x14ac:dyDescent="0.2">
      <c r="I652" s="4"/>
      <c r="J652" s="3"/>
    </row>
    <row r="653" spans="9:10" x14ac:dyDescent="0.2">
      <c r="I653" s="4"/>
      <c r="J653" s="3"/>
    </row>
    <row r="654" spans="9:10" x14ac:dyDescent="0.2">
      <c r="I654" s="4"/>
      <c r="J654" s="3"/>
    </row>
    <row r="655" spans="9:10" x14ac:dyDescent="0.2">
      <c r="I655" s="4"/>
      <c r="J655" s="3"/>
    </row>
    <row r="656" spans="9:10" x14ac:dyDescent="0.2">
      <c r="I656" s="4"/>
      <c r="J656" s="3"/>
    </row>
    <row r="657" spans="8:10" x14ac:dyDescent="0.2">
      <c r="I657" s="4"/>
      <c r="J657" s="3"/>
    </row>
    <row r="658" spans="8:10" x14ac:dyDescent="0.2">
      <c r="I658" s="4"/>
      <c r="J658" s="3"/>
    </row>
    <row r="659" spans="8:10" x14ac:dyDescent="0.2">
      <c r="I659" s="4"/>
      <c r="J659" s="3"/>
    </row>
    <row r="660" spans="8:10" x14ac:dyDescent="0.2">
      <c r="I660" s="4"/>
      <c r="J660" s="3"/>
    </row>
    <row r="661" spans="8:10" x14ac:dyDescent="0.2">
      <c r="I661" s="4"/>
      <c r="J661" s="3"/>
    </row>
    <row r="662" spans="8:10" x14ac:dyDescent="0.2">
      <c r="I662" s="4"/>
      <c r="J662" s="3"/>
    </row>
    <row r="663" spans="8:10" x14ac:dyDescent="0.2">
      <c r="I663" s="4"/>
      <c r="J663" s="3"/>
    </row>
    <row r="664" spans="8:10" x14ac:dyDescent="0.2">
      <c r="H664" s="10"/>
      <c r="I664" s="10"/>
      <c r="J664" s="3"/>
    </row>
    <row r="665" spans="8:10" x14ac:dyDescent="0.2">
      <c r="I665" s="4"/>
      <c r="J665" s="3"/>
    </row>
    <row r="666" spans="8:10" x14ac:dyDescent="0.2">
      <c r="I666" s="4"/>
      <c r="J666" s="3"/>
    </row>
    <row r="667" spans="8:10" x14ac:dyDescent="0.2">
      <c r="I667" s="4"/>
      <c r="J667" s="3"/>
    </row>
    <row r="668" spans="8:10" x14ac:dyDescent="0.2">
      <c r="I668" s="4"/>
      <c r="J668" s="3"/>
    </row>
    <row r="669" spans="8:10" x14ac:dyDescent="0.2">
      <c r="I669" s="4"/>
      <c r="J669" s="3"/>
    </row>
    <row r="670" spans="8:10" x14ac:dyDescent="0.2">
      <c r="I670" s="4"/>
      <c r="J670" s="3"/>
    </row>
    <row r="671" spans="8:10" x14ac:dyDescent="0.2">
      <c r="I671" s="4"/>
      <c r="J671" s="3"/>
    </row>
    <row r="672" spans="8:10" x14ac:dyDescent="0.2">
      <c r="I672" s="4"/>
      <c r="J672" s="3"/>
    </row>
    <row r="673" spans="9:10" x14ac:dyDescent="0.2">
      <c r="I673" s="4"/>
      <c r="J673" s="3"/>
    </row>
    <row r="674" spans="9:10" x14ac:dyDescent="0.2">
      <c r="I674" s="4"/>
      <c r="J674" s="3"/>
    </row>
    <row r="675" spans="9:10" x14ac:dyDescent="0.2">
      <c r="I675" s="4"/>
      <c r="J675" s="3"/>
    </row>
    <row r="676" spans="9:10" x14ac:dyDescent="0.2">
      <c r="I676" s="4"/>
      <c r="J676" s="3"/>
    </row>
    <row r="677" spans="9:10" x14ac:dyDescent="0.2">
      <c r="I677" s="4"/>
      <c r="J677" s="3"/>
    </row>
    <row r="678" spans="9:10" x14ac:dyDescent="0.2">
      <c r="I678" s="4"/>
      <c r="J678" s="3"/>
    </row>
    <row r="679" spans="9:10" x14ac:dyDescent="0.2">
      <c r="I679" s="4"/>
      <c r="J679" s="3"/>
    </row>
    <row r="680" spans="9:10" x14ac:dyDescent="0.2">
      <c r="I680" s="4"/>
      <c r="J680" s="3"/>
    </row>
    <row r="681" spans="9:10" x14ac:dyDescent="0.2">
      <c r="I681" s="4"/>
      <c r="J681" s="3"/>
    </row>
    <row r="682" spans="9:10" x14ac:dyDescent="0.2">
      <c r="I682" s="4"/>
      <c r="J682" s="3"/>
    </row>
    <row r="683" spans="9:10" x14ac:dyDescent="0.2">
      <c r="I683" s="4"/>
      <c r="J683" s="3"/>
    </row>
    <row r="684" spans="9:10" x14ac:dyDescent="0.2">
      <c r="I684" s="4"/>
      <c r="J684" s="3"/>
    </row>
    <row r="685" spans="9:10" x14ac:dyDescent="0.2">
      <c r="I685" s="4"/>
      <c r="J685" s="3"/>
    </row>
    <row r="686" spans="9:10" x14ac:dyDescent="0.2">
      <c r="I686" s="4"/>
      <c r="J686" s="3"/>
    </row>
    <row r="687" spans="9:10" x14ac:dyDescent="0.2">
      <c r="I687" s="4"/>
      <c r="J687" s="3"/>
    </row>
    <row r="688" spans="9:10" x14ac:dyDescent="0.2">
      <c r="I688" s="4"/>
      <c r="J688" s="3"/>
    </row>
    <row r="689" spans="9:16" x14ac:dyDescent="0.2">
      <c r="I689" s="4"/>
      <c r="J689" s="3"/>
    </row>
    <row r="690" spans="9:16" x14ac:dyDescent="0.2">
      <c r="I690" s="4"/>
      <c r="J690" s="3"/>
    </row>
    <row r="691" spans="9:16" x14ac:dyDescent="0.2">
      <c r="I691" s="4"/>
      <c r="J691" s="3"/>
    </row>
    <row r="692" spans="9:16" x14ac:dyDescent="0.2">
      <c r="I692" s="4"/>
      <c r="J692" s="3"/>
    </row>
    <row r="693" spans="9:16" x14ac:dyDescent="0.2">
      <c r="I693" s="4"/>
      <c r="J693" s="3"/>
    </row>
    <row r="694" spans="9:16" x14ac:dyDescent="0.2">
      <c r="I694" s="4"/>
      <c r="J694" s="3"/>
    </row>
    <row r="695" spans="9:16" x14ac:dyDescent="0.2">
      <c r="I695" s="4"/>
      <c r="J695" s="3"/>
    </row>
    <row r="696" spans="9:16" x14ac:dyDescent="0.2">
      <c r="I696" s="4"/>
      <c r="J696" s="3"/>
    </row>
    <row r="697" spans="9:16" x14ac:dyDescent="0.2">
      <c r="I697" s="4"/>
      <c r="J697" s="3"/>
    </row>
    <row r="698" spans="9:16" x14ac:dyDescent="0.2">
      <c r="I698" s="4"/>
      <c r="J698" s="3"/>
    </row>
    <row r="699" spans="9:16" x14ac:dyDescent="0.2">
      <c r="I699" s="4"/>
      <c r="J699" s="3"/>
    </row>
    <row r="700" spans="9:16" x14ac:dyDescent="0.2">
      <c r="I700" s="4"/>
      <c r="J700" s="3"/>
      <c r="M700" s="1"/>
      <c r="O700" s="4"/>
      <c r="P700" s="3"/>
    </row>
    <row r="701" spans="9:16" x14ac:dyDescent="0.2">
      <c r="I701" s="4"/>
      <c r="J701" s="3"/>
      <c r="M701" s="1"/>
      <c r="O701" s="4"/>
      <c r="P701" s="3"/>
    </row>
    <row r="702" spans="9:16" x14ac:dyDescent="0.2">
      <c r="I702" s="4"/>
      <c r="J702" s="3"/>
      <c r="M702" s="1"/>
      <c r="O702" s="4"/>
      <c r="P702" s="3"/>
    </row>
    <row r="703" spans="9:16" x14ac:dyDescent="0.2">
      <c r="I703" s="4"/>
      <c r="J703" s="3"/>
      <c r="M703" s="1"/>
      <c r="O703" s="4"/>
      <c r="P703" s="3"/>
    </row>
    <row r="704" spans="9:16" x14ac:dyDescent="0.2">
      <c r="I704" s="4"/>
      <c r="J704" s="3"/>
      <c r="M704" s="1"/>
      <c r="O704" s="4"/>
      <c r="P704" s="3"/>
    </row>
    <row r="705" spans="9:16" x14ac:dyDescent="0.2">
      <c r="I705" s="4"/>
      <c r="J705" s="3"/>
      <c r="M705" s="1"/>
      <c r="O705" s="4"/>
      <c r="P705" s="3"/>
    </row>
    <row r="706" spans="9:16" x14ac:dyDescent="0.2">
      <c r="I706" s="4"/>
      <c r="J706" s="3"/>
      <c r="M706" s="1"/>
      <c r="O706" s="4"/>
      <c r="P706" s="3"/>
    </row>
    <row r="707" spans="9:16" x14ac:dyDescent="0.2">
      <c r="I707" s="4"/>
      <c r="J707" s="3"/>
      <c r="M707" s="1"/>
      <c r="O707" s="4"/>
      <c r="P707" s="3"/>
    </row>
    <row r="708" spans="9:16" x14ac:dyDescent="0.2">
      <c r="I708" s="4"/>
      <c r="J708" s="3"/>
      <c r="M708" s="1"/>
      <c r="O708" s="4"/>
      <c r="P708" s="3"/>
    </row>
    <row r="709" spans="9:16" x14ac:dyDescent="0.2">
      <c r="I709" s="4"/>
      <c r="J709" s="3"/>
      <c r="M709" s="1"/>
      <c r="O709" s="4"/>
      <c r="P709" s="3"/>
    </row>
    <row r="710" spans="9:16" x14ac:dyDescent="0.2">
      <c r="I710" s="4"/>
      <c r="J710" s="3"/>
      <c r="M710" s="1"/>
      <c r="O710" s="4"/>
      <c r="P710" s="3"/>
    </row>
    <row r="711" spans="9:16" x14ac:dyDescent="0.2">
      <c r="I711" s="4"/>
      <c r="J711" s="3"/>
      <c r="M711" s="1"/>
      <c r="O711" s="4"/>
      <c r="P711" s="3"/>
    </row>
    <row r="712" spans="9:16" x14ac:dyDescent="0.2">
      <c r="I712" s="4"/>
      <c r="J712" s="3"/>
      <c r="M712" s="1"/>
      <c r="O712" s="4"/>
      <c r="P712" s="3"/>
    </row>
    <row r="713" spans="9:16" x14ac:dyDescent="0.2">
      <c r="I713" s="4"/>
      <c r="J713" s="3"/>
      <c r="M713" s="1"/>
      <c r="O713" s="4"/>
      <c r="P713" s="3"/>
    </row>
    <row r="714" spans="9:16" x14ac:dyDescent="0.2">
      <c r="I714" s="4"/>
      <c r="J714" s="3"/>
      <c r="M714" s="1"/>
      <c r="O714" s="4"/>
      <c r="P714" s="3"/>
    </row>
    <row r="715" spans="9:16" x14ac:dyDescent="0.2">
      <c r="I715" s="4"/>
      <c r="J715" s="3"/>
      <c r="M715" s="1"/>
      <c r="O715" s="4"/>
      <c r="P715" s="3"/>
    </row>
    <row r="716" spans="9:16" x14ac:dyDescent="0.2">
      <c r="I716" s="4"/>
      <c r="J716" s="3"/>
      <c r="M716" s="1"/>
      <c r="O716" s="4"/>
      <c r="P716" s="3"/>
    </row>
    <row r="717" spans="9:16" x14ac:dyDescent="0.2">
      <c r="I717" s="4"/>
      <c r="J717" s="3"/>
      <c r="M717" s="1"/>
      <c r="O717" s="4"/>
      <c r="P717" s="3"/>
    </row>
    <row r="718" spans="9:16" x14ac:dyDescent="0.2">
      <c r="I718" s="4"/>
      <c r="J718" s="3"/>
      <c r="M718" s="1"/>
      <c r="O718" s="4"/>
      <c r="P718" s="3"/>
    </row>
    <row r="719" spans="9:16" x14ac:dyDescent="0.2">
      <c r="I719" s="4"/>
      <c r="J719" s="3"/>
      <c r="M719" s="1"/>
      <c r="O719" s="4"/>
      <c r="P719" s="3"/>
    </row>
    <row r="720" spans="9:16" x14ac:dyDescent="0.2">
      <c r="I720" s="4"/>
      <c r="J720" s="3"/>
      <c r="M720" s="1"/>
      <c r="O720" s="4"/>
      <c r="P720" s="3"/>
    </row>
    <row r="721" spans="9:16" x14ac:dyDescent="0.2">
      <c r="I721" s="4"/>
      <c r="J721" s="3"/>
      <c r="M721" s="1"/>
      <c r="O721" s="4"/>
      <c r="P721" s="3"/>
    </row>
    <row r="722" spans="9:16" x14ac:dyDescent="0.2">
      <c r="I722" s="4"/>
      <c r="J722" s="3"/>
      <c r="M722" s="1"/>
      <c r="O722" s="4"/>
      <c r="P722" s="3"/>
    </row>
    <row r="723" spans="9:16" x14ac:dyDescent="0.2">
      <c r="I723" s="4"/>
      <c r="J723" s="3"/>
      <c r="M723" s="1"/>
      <c r="O723" s="4"/>
      <c r="P723" s="3"/>
    </row>
    <row r="724" spans="9:16" x14ac:dyDescent="0.2">
      <c r="I724" s="4"/>
      <c r="J724" s="3"/>
      <c r="M724" s="1"/>
      <c r="O724" s="4"/>
      <c r="P724" s="3"/>
    </row>
    <row r="725" spans="9:16" x14ac:dyDescent="0.2">
      <c r="I725" s="4"/>
      <c r="J725" s="3"/>
    </row>
    <row r="726" spans="9:16" x14ac:dyDescent="0.2">
      <c r="I726" s="4"/>
      <c r="J726" s="3"/>
    </row>
    <row r="727" spans="9:16" x14ac:dyDescent="0.2">
      <c r="I727" s="4"/>
      <c r="J727" s="3"/>
    </row>
    <row r="728" spans="9:16" x14ac:dyDescent="0.2">
      <c r="I728" s="4"/>
      <c r="J728" s="3"/>
    </row>
    <row r="729" spans="9:16" x14ac:dyDescent="0.2">
      <c r="I729" s="4"/>
      <c r="J729" s="3"/>
    </row>
    <row r="730" spans="9:16" x14ac:dyDescent="0.2">
      <c r="I730" s="4"/>
      <c r="J730" s="3"/>
    </row>
    <row r="731" spans="9:16" x14ac:dyDescent="0.2">
      <c r="I731" s="4"/>
      <c r="J731" s="3"/>
    </row>
    <row r="732" spans="9:16" x14ac:dyDescent="0.2">
      <c r="I732" s="4"/>
      <c r="J732" s="3"/>
    </row>
    <row r="733" spans="9:16" x14ac:dyDescent="0.2">
      <c r="I733" s="4"/>
      <c r="J733" s="3"/>
    </row>
    <row r="734" spans="9:16" x14ac:dyDescent="0.2">
      <c r="I734" s="4"/>
      <c r="J734" s="3"/>
    </row>
    <row r="735" spans="9:16" x14ac:dyDescent="0.2">
      <c r="I735" s="4"/>
      <c r="J735" s="3"/>
    </row>
    <row r="736" spans="9:16" x14ac:dyDescent="0.2">
      <c r="I736" s="4"/>
      <c r="J736" s="3"/>
    </row>
    <row r="737" spans="9:10" x14ac:dyDescent="0.2">
      <c r="I737" s="4"/>
      <c r="J737" s="3"/>
    </row>
    <row r="738" spans="9:10" x14ac:dyDescent="0.2">
      <c r="I738" s="4"/>
      <c r="J738" s="3"/>
    </row>
    <row r="739" spans="9:10" x14ac:dyDescent="0.2">
      <c r="I739" s="4"/>
      <c r="J739" s="3"/>
    </row>
    <row r="740" spans="9:10" x14ac:dyDescent="0.2">
      <c r="I740" s="4"/>
      <c r="J740" s="3"/>
    </row>
    <row r="741" spans="9:10" x14ac:dyDescent="0.2">
      <c r="I741" s="4"/>
      <c r="J741" s="3"/>
    </row>
    <row r="742" spans="9:10" x14ac:dyDescent="0.2">
      <c r="I742" s="4"/>
      <c r="J742" s="3"/>
    </row>
    <row r="743" spans="9:10" x14ac:dyDescent="0.2">
      <c r="I743" s="4"/>
      <c r="J743" s="3"/>
    </row>
    <row r="744" spans="9:10" x14ac:dyDescent="0.2">
      <c r="I744" s="4"/>
      <c r="J744" s="3"/>
    </row>
    <row r="745" spans="9:10" x14ac:dyDescent="0.2">
      <c r="I745" s="4"/>
      <c r="J745" s="3"/>
    </row>
    <row r="746" spans="9:10" x14ac:dyDescent="0.2">
      <c r="I746" s="4"/>
      <c r="J746" s="3"/>
    </row>
    <row r="747" spans="9:10" x14ac:dyDescent="0.2">
      <c r="I747" s="4"/>
      <c r="J747" s="3"/>
    </row>
    <row r="748" spans="9:10" x14ac:dyDescent="0.2">
      <c r="I748" s="4"/>
      <c r="J748" s="3"/>
    </row>
    <row r="749" spans="9:10" x14ac:dyDescent="0.2">
      <c r="I749" s="4"/>
      <c r="J749" s="3"/>
    </row>
    <row r="750" spans="9:10" x14ac:dyDescent="0.2">
      <c r="I750" s="4"/>
      <c r="J750" s="3"/>
    </row>
    <row r="751" spans="9:10" x14ac:dyDescent="0.2">
      <c r="I751" s="4"/>
      <c r="J751" s="3"/>
    </row>
    <row r="752" spans="9:10" x14ac:dyDescent="0.2">
      <c r="I752" s="4"/>
      <c r="J752" s="3"/>
    </row>
    <row r="753" spans="9:10" x14ac:dyDescent="0.2">
      <c r="I753" s="4"/>
      <c r="J753" s="3"/>
    </row>
    <row r="754" spans="9:10" x14ac:dyDescent="0.2">
      <c r="I754" s="4"/>
      <c r="J754" s="3"/>
    </row>
    <row r="755" spans="9:10" x14ac:dyDescent="0.2">
      <c r="I755" s="4"/>
      <c r="J755" s="3"/>
    </row>
    <row r="756" spans="9:10" x14ac:dyDescent="0.2">
      <c r="I756" s="4"/>
      <c r="J756" s="3"/>
    </row>
    <row r="757" spans="9:10" x14ac:dyDescent="0.2">
      <c r="I757" s="4"/>
      <c r="J757" s="3"/>
    </row>
    <row r="758" spans="9:10" x14ac:dyDescent="0.2">
      <c r="I758" s="4"/>
      <c r="J758" s="3"/>
    </row>
    <row r="759" spans="9:10" x14ac:dyDescent="0.2">
      <c r="I759" s="4"/>
      <c r="J759" s="3"/>
    </row>
    <row r="760" spans="9:10" x14ac:dyDescent="0.2">
      <c r="I760" s="4"/>
      <c r="J760" s="3"/>
    </row>
    <row r="761" spans="9:10" x14ac:dyDescent="0.2">
      <c r="I761" s="4"/>
      <c r="J761" s="3"/>
    </row>
    <row r="762" spans="9:10" x14ac:dyDescent="0.2">
      <c r="I762" s="4"/>
      <c r="J762" s="3"/>
    </row>
    <row r="763" spans="9:10" x14ac:dyDescent="0.2">
      <c r="I763" s="4"/>
      <c r="J763" s="3"/>
    </row>
    <row r="764" spans="9:10" x14ac:dyDescent="0.2">
      <c r="I764" s="4"/>
      <c r="J764" s="3"/>
    </row>
    <row r="765" spans="9:10" x14ac:dyDescent="0.2">
      <c r="I765" s="4"/>
      <c r="J765" s="3"/>
    </row>
    <row r="766" spans="9:10" x14ac:dyDescent="0.2">
      <c r="I766" s="4"/>
      <c r="J766" s="3"/>
    </row>
    <row r="767" spans="9:10" x14ac:dyDescent="0.2">
      <c r="I767" s="4"/>
      <c r="J767" s="3"/>
    </row>
    <row r="768" spans="9:10" x14ac:dyDescent="0.2">
      <c r="I768" s="4"/>
      <c r="J768" s="3"/>
    </row>
    <row r="769" spans="9:10" x14ac:dyDescent="0.2">
      <c r="I769" s="4"/>
      <c r="J769" s="3"/>
    </row>
    <row r="770" spans="9:10" x14ac:dyDescent="0.2">
      <c r="I770" s="4"/>
      <c r="J770" s="3"/>
    </row>
    <row r="771" spans="9:10" x14ac:dyDescent="0.2">
      <c r="I771" s="4"/>
      <c r="J771" s="3"/>
    </row>
    <row r="772" spans="9:10" x14ac:dyDescent="0.2">
      <c r="I772" s="4"/>
      <c r="J772" s="3"/>
    </row>
    <row r="773" spans="9:10" x14ac:dyDescent="0.2">
      <c r="I773" s="4"/>
      <c r="J773" s="3"/>
    </row>
    <row r="774" spans="9:10" x14ac:dyDescent="0.2">
      <c r="I774" s="4"/>
      <c r="J774" s="3"/>
    </row>
    <row r="775" spans="9:10" x14ac:dyDescent="0.2">
      <c r="I775" s="4"/>
      <c r="J775" s="3"/>
    </row>
    <row r="776" spans="9:10" x14ac:dyDescent="0.2">
      <c r="I776" s="4"/>
      <c r="J776" s="3"/>
    </row>
    <row r="777" spans="9:10" x14ac:dyDescent="0.2">
      <c r="I777" s="4"/>
      <c r="J777" s="3"/>
    </row>
    <row r="778" spans="9:10" x14ac:dyDescent="0.2">
      <c r="I778" s="4"/>
      <c r="J778" s="3"/>
    </row>
    <row r="779" spans="9:10" x14ac:dyDescent="0.2">
      <c r="I779" s="4"/>
      <c r="J779" s="3"/>
    </row>
    <row r="780" spans="9:10" x14ac:dyDescent="0.2">
      <c r="I780" s="4"/>
      <c r="J780" s="3"/>
    </row>
    <row r="781" spans="9:10" x14ac:dyDescent="0.2">
      <c r="I781" s="4"/>
      <c r="J781" s="3"/>
    </row>
    <row r="782" spans="9:10" x14ac:dyDescent="0.2">
      <c r="I782" s="4"/>
      <c r="J782" s="3"/>
    </row>
    <row r="783" spans="9:10" x14ac:dyDescent="0.2">
      <c r="I783" s="4"/>
      <c r="J783" s="3"/>
    </row>
    <row r="784" spans="9:10" x14ac:dyDescent="0.2">
      <c r="I784" s="4"/>
      <c r="J784" s="3"/>
    </row>
    <row r="785" spans="9:10" x14ac:dyDescent="0.2">
      <c r="I785" s="4"/>
      <c r="J785" s="3"/>
    </row>
    <row r="786" spans="9:10" x14ac:dyDescent="0.2">
      <c r="I786" s="4"/>
      <c r="J786" s="3"/>
    </row>
    <row r="787" spans="9:10" x14ac:dyDescent="0.2">
      <c r="I787" s="4"/>
      <c r="J787" s="3"/>
    </row>
    <row r="788" spans="9:10" x14ac:dyDescent="0.2">
      <c r="I788" s="4"/>
      <c r="J788" s="3"/>
    </row>
    <row r="789" spans="9:10" x14ac:dyDescent="0.2">
      <c r="I789" s="4"/>
      <c r="J789" s="3"/>
    </row>
    <row r="790" spans="9:10" x14ac:dyDescent="0.2">
      <c r="I790" s="4"/>
      <c r="J790" s="3"/>
    </row>
    <row r="791" spans="9:10" x14ac:dyDescent="0.2">
      <c r="I791" s="4"/>
      <c r="J791" s="3"/>
    </row>
    <row r="792" spans="9:10" x14ac:dyDescent="0.2">
      <c r="I792" s="4"/>
      <c r="J792" s="3"/>
    </row>
    <row r="793" spans="9:10" x14ac:dyDescent="0.2">
      <c r="I793" s="4"/>
      <c r="J793" s="3"/>
    </row>
    <row r="794" spans="9:10" x14ac:dyDescent="0.2">
      <c r="I794" s="4"/>
      <c r="J794" s="3"/>
    </row>
    <row r="795" spans="9:10" x14ac:dyDescent="0.2">
      <c r="I795" s="4"/>
      <c r="J795" s="3"/>
    </row>
    <row r="796" spans="9:10" x14ac:dyDescent="0.2">
      <c r="I796" s="4"/>
      <c r="J796" s="3"/>
    </row>
    <row r="797" spans="9:10" x14ac:dyDescent="0.2">
      <c r="I797" s="4"/>
      <c r="J797" s="3"/>
    </row>
    <row r="798" spans="9:10" x14ac:dyDescent="0.2">
      <c r="I798" s="4"/>
      <c r="J798" s="3"/>
    </row>
    <row r="799" spans="9:10" x14ac:dyDescent="0.2">
      <c r="I799" s="4"/>
      <c r="J799" s="3"/>
    </row>
    <row r="800" spans="9:10" x14ac:dyDescent="0.2">
      <c r="I800" s="4"/>
      <c r="J800" s="3"/>
    </row>
    <row r="801" spans="9:10" x14ac:dyDescent="0.2">
      <c r="I801" s="4"/>
      <c r="J801" s="3"/>
    </row>
    <row r="802" spans="9:10" x14ac:dyDescent="0.2">
      <c r="I802" s="4"/>
      <c r="J802" s="3"/>
    </row>
    <row r="803" spans="9:10" x14ac:dyDescent="0.2">
      <c r="I803" s="4"/>
      <c r="J803" s="3"/>
    </row>
    <row r="804" spans="9:10" x14ac:dyDescent="0.2">
      <c r="I804" s="4"/>
      <c r="J804" s="3"/>
    </row>
    <row r="805" spans="9:10" x14ac:dyDescent="0.2">
      <c r="I805" s="4"/>
      <c r="J805" s="3"/>
    </row>
    <row r="806" spans="9:10" x14ac:dyDescent="0.2">
      <c r="I806" s="4"/>
      <c r="J806" s="3"/>
    </row>
    <row r="807" spans="9:10" x14ac:dyDescent="0.2">
      <c r="I807" s="4"/>
      <c r="J807" s="3"/>
    </row>
    <row r="808" spans="9:10" x14ac:dyDescent="0.2">
      <c r="I808" s="4"/>
      <c r="J808" s="3"/>
    </row>
    <row r="809" spans="9:10" x14ac:dyDescent="0.2">
      <c r="I809" s="4"/>
      <c r="J809" s="3"/>
    </row>
    <row r="810" spans="9:10" x14ac:dyDescent="0.2">
      <c r="I810" s="4"/>
      <c r="J810" s="3"/>
    </row>
    <row r="811" spans="9:10" x14ac:dyDescent="0.2">
      <c r="I811" s="4"/>
      <c r="J811" s="3"/>
    </row>
    <row r="812" spans="9:10" x14ac:dyDescent="0.2">
      <c r="I812" s="4"/>
      <c r="J812" s="3"/>
    </row>
    <row r="813" spans="9:10" x14ac:dyDescent="0.2">
      <c r="I813" s="4"/>
      <c r="J813" s="3"/>
    </row>
    <row r="814" spans="9:10" x14ac:dyDescent="0.2">
      <c r="I814" s="4"/>
      <c r="J814" s="3"/>
    </row>
    <row r="815" spans="9:10" x14ac:dyDescent="0.2">
      <c r="I815" s="4"/>
      <c r="J815" s="3"/>
    </row>
    <row r="816" spans="9:10" x14ac:dyDescent="0.2">
      <c r="I816" s="4"/>
      <c r="J816" s="3"/>
    </row>
    <row r="817" spans="9:10" x14ac:dyDescent="0.2">
      <c r="I817" s="4"/>
      <c r="J817" s="3"/>
    </row>
    <row r="818" spans="9:10" x14ac:dyDescent="0.2">
      <c r="I818" s="4"/>
      <c r="J818" s="3"/>
    </row>
    <row r="819" spans="9:10" x14ac:dyDescent="0.2">
      <c r="I819" s="4"/>
      <c r="J819" s="3"/>
    </row>
    <row r="820" spans="9:10" x14ac:dyDescent="0.2">
      <c r="I820" s="4"/>
      <c r="J820" s="3"/>
    </row>
    <row r="821" spans="9:10" x14ac:dyDescent="0.2">
      <c r="I821" s="4"/>
      <c r="J821" s="3"/>
    </row>
    <row r="822" spans="9:10" x14ac:dyDescent="0.2">
      <c r="I822" s="4"/>
      <c r="J822" s="3"/>
    </row>
    <row r="823" spans="9:10" x14ac:dyDescent="0.2">
      <c r="I823" s="4"/>
      <c r="J823" s="3"/>
    </row>
    <row r="824" spans="9:10" x14ac:dyDescent="0.2">
      <c r="I824" s="4"/>
      <c r="J824" s="3"/>
    </row>
    <row r="825" spans="9:10" x14ac:dyDescent="0.2">
      <c r="I825" s="4"/>
      <c r="J825" s="3"/>
    </row>
    <row r="826" spans="9:10" x14ac:dyDescent="0.2">
      <c r="I826" s="4"/>
      <c r="J826" s="3"/>
    </row>
    <row r="827" spans="9:10" x14ac:dyDescent="0.2">
      <c r="I827" s="4"/>
      <c r="J827" s="3"/>
    </row>
    <row r="828" spans="9:10" x14ac:dyDescent="0.2">
      <c r="I828" s="4"/>
      <c r="J828" s="3"/>
    </row>
    <row r="829" spans="9:10" x14ac:dyDescent="0.2">
      <c r="I829" s="4"/>
      <c r="J829" s="3"/>
    </row>
    <row r="830" spans="9:10" x14ac:dyDescent="0.2">
      <c r="I830" s="4"/>
      <c r="J830" s="3"/>
    </row>
    <row r="831" spans="9:10" x14ac:dyDescent="0.2">
      <c r="I831" s="4"/>
      <c r="J831" s="3"/>
    </row>
    <row r="832" spans="9:10" x14ac:dyDescent="0.2">
      <c r="I832" s="4"/>
      <c r="J832" s="3"/>
    </row>
    <row r="833" spans="9:10" x14ac:dyDescent="0.2">
      <c r="I833" s="4"/>
      <c r="J833" s="3"/>
    </row>
    <row r="834" spans="9:10" x14ac:dyDescent="0.2">
      <c r="I834" s="4"/>
      <c r="J834" s="3"/>
    </row>
    <row r="835" spans="9:10" x14ac:dyDescent="0.2">
      <c r="I835" s="4"/>
      <c r="J835" s="3"/>
    </row>
    <row r="836" spans="9:10" x14ac:dyDescent="0.2">
      <c r="I836" s="4"/>
      <c r="J836" s="3"/>
    </row>
    <row r="837" spans="9:10" x14ac:dyDescent="0.2">
      <c r="I837" s="4"/>
      <c r="J837" s="3"/>
    </row>
    <row r="838" spans="9:10" x14ac:dyDescent="0.2">
      <c r="I838" s="4"/>
      <c r="J838" s="3"/>
    </row>
    <row r="839" spans="9:10" x14ac:dyDescent="0.2">
      <c r="I839" s="4"/>
      <c r="J839" s="3"/>
    </row>
    <row r="840" spans="9:10" x14ac:dyDescent="0.2">
      <c r="I840" s="4"/>
      <c r="J840" s="3"/>
    </row>
    <row r="841" spans="9:10" x14ac:dyDescent="0.2">
      <c r="I841" s="4"/>
      <c r="J841" s="3"/>
    </row>
    <row r="842" spans="9:10" x14ac:dyDescent="0.2">
      <c r="I842" s="4"/>
      <c r="J842" s="3"/>
    </row>
    <row r="843" spans="9:10" x14ac:dyDescent="0.2">
      <c r="I843" s="4"/>
      <c r="J843" s="3"/>
    </row>
    <row r="844" spans="9:10" x14ac:dyDescent="0.2">
      <c r="I844" s="4"/>
      <c r="J844" s="3"/>
    </row>
    <row r="845" spans="9:10" x14ac:dyDescent="0.2">
      <c r="I845" s="4"/>
      <c r="J845" s="3"/>
    </row>
    <row r="846" spans="9:10" x14ac:dyDescent="0.2">
      <c r="I846" s="4"/>
      <c r="J846" s="3"/>
    </row>
    <row r="847" spans="9:10" x14ac:dyDescent="0.2">
      <c r="I847" s="4"/>
      <c r="J847" s="3"/>
    </row>
    <row r="848" spans="9:10" x14ac:dyDescent="0.2">
      <c r="I848" s="4"/>
      <c r="J848" s="3"/>
    </row>
    <row r="849" spans="9:10" x14ac:dyDescent="0.2">
      <c r="I849" s="4"/>
      <c r="J849" s="3"/>
    </row>
    <row r="850" spans="9:10" x14ac:dyDescent="0.2">
      <c r="I850" s="4"/>
      <c r="J850" s="3"/>
    </row>
  </sheetData>
  <mergeCells count="1">
    <mergeCell ref="A2:B2"/>
  </mergeCells>
  <phoneticPr fontId="5" type="noConversion"/>
  <pageMargins left="0.75" right="0.75" top="1" bottom="1" header="0.5" footer="0.5"/>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check</vt:lpstr>
      <vt:lpstr>M</vt:lpstr>
      <vt:lpstr>D.EM</vt:lpstr>
      <vt:lpstr>D.US</vt:lpstr>
      <vt:lpstr>Leverage &amp; Liquidity</vt:lpstr>
      <vt:lpstr>Year over Year</vt:lpstr>
      <vt:lpstr>rtg breakdown</vt:lpstr>
      <vt:lpstr>DropdownEM</vt:lpstr>
      <vt:lpstr>EMdata</vt:lpstr>
      <vt:lpstr>LeverageStatsDataUS</vt:lpstr>
      <vt:lpstr>lookup</vt:lpstr>
      <vt:lpstr>ML_7n6h3t1t</vt:lpstr>
      <vt:lpstr>SelectEM</vt:lpstr>
      <vt:lpstr>SelectUS</vt:lpstr>
      <vt:lpstr>TopRow</vt:lpstr>
      <vt:lpstr>USdata</vt:lpstr>
      <vt:lpstr>USIGdata</vt:lpstr>
    </vt:vector>
  </TitlesOfParts>
  <Company>Bank of America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Hays</dc:creator>
  <cp:lastModifiedBy>Brian Fagan</cp:lastModifiedBy>
  <cp:lastPrinted>2012-04-19T14:28:48Z</cp:lastPrinted>
  <dcterms:created xsi:type="dcterms:W3CDTF">2012-03-22T20:03:58Z</dcterms:created>
  <dcterms:modified xsi:type="dcterms:W3CDTF">2012-11-21T19:49:46Z</dcterms:modified>
</cp:coreProperties>
</file>