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180" windowWidth="18195" windowHeight="12270"/>
  </bookViews>
  <sheets>
    <sheet name="Graph" sheetId="2" r:id="rId1"/>
    <sheet name="Calculations" sheetId="3" r:id="rId2"/>
    <sheet name="Scale" sheetId="5" r:id="rId3"/>
  </sheets>
  <calcPr calcId="145621" calcOnSave="0"/>
</workbook>
</file>

<file path=xl/calcChain.xml><?xml version="1.0" encoding="utf-8"?>
<calcChain xmlns="http://schemas.openxmlformats.org/spreadsheetml/2006/main">
  <c r="I39" i="3" l="1"/>
  <c r="I40" i="3"/>
  <c r="X24" i="3"/>
  <c r="X17" i="3"/>
  <c r="O14" i="2" l="1"/>
  <c r="G28" i="3"/>
  <c r="P29" i="3"/>
  <c r="F29" i="3"/>
  <c r="G29" i="3"/>
  <c r="C23" i="5"/>
  <c r="O29" i="3"/>
  <c r="I29" i="3" l="1"/>
  <c r="AC7" i="3"/>
  <c r="AD7" i="3" s="1"/>
  <c r="C13" i="5"/>
  <c r="C6" i="5"/>
  <c r="AC15" i="3"/>
  <c r="L18" i="3"/>
  <c r="C31" i="5"/>
  <c r="C24" i="5"/>
  <c r="P3" i="3"/>
  <c r="L7" i="3"/>
  <c r="G3" i="3"/>
  <c r="G8" i="3"/>
  <c r="L4" i="3"/>
  <c r="C3" i="5"/>
  <c r="P4" i="3"/>
  <c r="G5" i="3"/>
  <c r="C30" i="5"/>
  <c r="C19" i="5"/>
  <c r="O5" i="3"/>
  <c r="C9" i="5"/>
  <c r="C20" i="5"/>
  <c r="L5" i="3"/>
  <c r="G23" i="3"/>
  <c r="C17" i="5"/>
  <c r="C10" i="5"/>
  <c r="O3" i="3"/>
  <c r="P6" i="3"/>
  <c r="C35" i="5"/>
  <c r="C28" i="5"/>
  <c r="L3" i="3"/>
  <c r="L6" i="3"/>
  <c r="M3" i="3"/>
  <c r="F23" i="3"/>
  <c r="C21" i="5"/>
  <c r="C14" i="5"/>
  <c r="G4" i="3"/>
  <c r="C2" i="5"/>
  <c r="C32" i="5"/>
  <c r="C34" i="5"/>
  <c r="F4" i="3"/>
  <c r="O7" i="3"/>
  <c r="O4" i="3"/>
  <c r="L23" i="3"/>
  <c r="C25" i="5"/>
  <c r="C18" i="5"/>
  <c r="C7" i="5"/>
  <c r="P2" i="3"/>
  <c r="M7" i="3"/>
  <c r="C4" i="5"/>
  <c r="C16" i="5"/>
  <c r="O2" i="3"/>
  <c r="F2" i="3"/>
  <c r="F7" i="3"/>
  <c r="F3" i="3"/>
  <c r="G6" i="3"/>
  <c r="O13" i="3"/>
  <c r="C29" i="5"/>
  <c r="C22" i="5"/>
  <c r="J5" i="3"/>
  <c r="C11" i="5"/>
  <c r="C8" i="5"/>
  <c r="M2" i="3"/>
  <c r="M4" i="3"/>
  <c r="M6" i="3"/>
  <c r="I5" i="3"/>
  <c r="O6" i="3"/>
  <c r="C33" i="5"/>
  <c r="C26" i="5"/>
  <c r="P5" i="3"/>
  <c r="C15" i="5"/>
  <c r="C12" i="5"/>
  <c r="M5" i="3"/>
  <c r="F5" i="3"/>
  <c r="F8" i="3"/>
  <c r="F6" i="3"/>
  <c r="G2" i="3"/>
  <c r="G7" i="3"/>
  <c r="AD15" i="3"/>
  <c r="P7" i="3"/>
  <c r="L2" i="3"/>
  <c r="C27" i="5"/>
  <c r="K5" i="3"/>
  <c r="H23" i="3" l="1"/>
  <c r="W29" i="3"/>
  <c r="I7" i="3"/>
  <c r="W7" i="3" s="1"/>
  <c r="N6" i="3"/>
  <c r="U6" i="3"/>
  <c r="H6" i="3"/>
  <c r="J6" i="3"/>
  <c r="Y6" i="3" s="1"/>
  <c r="N7" i="3"/>
  <c r="U7" i="3"/>
  <c r="Q7" i="3"/>
  <c r="H7" i="3"/>
  <c r="K7" i="3" s="1"/>
  <c r="J7" i="3"/>
  <c r="Y7" i="3" s="1"/>
  <c r="T6" i="3"/>
  <c r="I6" i="3"/>
  <c r="W6" i="3" s="1"/>
  <c r="T7" i="3"/>
  <c r="R5" i="3"/>
  <c r="Q5" i="3"/>
  <c r="H5" i="3"/>
  <c r="N4" i="3"/>
  <c r="U4" i="3"/>
  <c r="T4" i="3"/>
  <c r="Q4" i="3"/>
  <c r="I4" i="3"/>
  <c r="W4" i="3" s="1"/>
  <c r="H4" i="3"/>
  <c r="J4" i="3"/>
  <c r="Y4" i="3" s="1"/>
  <c r="N3" i="3"/>
  <c r="Q3" i="3"/>
  <c r="I3" i="3"/>
  <c r="W3" i="3" s="1"/>
  <c r="H3" i="3"/>
  <c r="J3" i="3"/>
  <c r="Y3" i="3" s="1"/>
  <c r="U2" i="3"/>
  <c r="U3" i="3"/>
  <c r="T2" i="3"/>
  <c r="T3" i="3"/>
  <c r="N5" i="3"/>
  <c r="U5" i="3"/>
  <c r="Y5" i="3"/>
  <c r="T5" i="3"/>
  <c r="W5" i="3"/>
  <c r="N2" i="3"/>
  <c r="Q2" i="3"/>
  <c r="I2" i="3"/>
  <c r="W2" i="3" s="1"/>
  <c r="H2" i="3"/>
  <c r="J2" i="3"/>
  <c r="Y2" i="3" s="1"/>
  <c r="Q6" i="3"/>
  <c r="H8" i="3"/>
  <c r="G12" i="3"/>
  <c r="M13" i="3"/>
  <c r="L14" i="3"/>
  <c r="F13" i="3"/>
  <c r="L9" i="3"/>
  <c r="AD14" i="3"/>
  <c r="L12" i="3"/>
  <c r="O14" i="3"/>
  <c r="AC16" i="3"/>
  <c r="L11" i="3"/>
  <c r="AD16" i="3"/>
  <c r="F14" i="3"/>
  <c r="O9" i="3"/>
  <c r="G10" i="3"/>
  <c r="G13" i="3"/>
  <c r="P8" i="3"/>
  <c r="M8" i="3"/>
  <c r="F15" i="3"/>
  <c r="O12" i="3"/>
  <c r="F9" i="3"/>
  <c r="P10" i="3"/>
  <c r="F11" i="3"/>
  <c r="O11" i="3"/>
  <c r="AC14" i="3"/>
  <c r="L10" i="3"/>
  <c r="G9" i="3"/>
  <c r="P12" i="3"/>
  <c r="G11" i="3"/>
  <c r="F12" i="3"/>
  <c r="P13" i="3"/>
  <c r="M9" i="3"/>
  <c r="P14" i="3"/>
  <c r="M12" i="3"/>
  <c r="G14" i="3"/>
  <c r="L8" i="3"/>
  <c r="P9" i="3"/>
  <c r="M10" i="3"/>
  <c r="P11" i="3"/>
  <c r="AD13" i="3"/>
  <c r="G15" i="3"/>
  <c r="AC13" i="3"/>
  <c r="O10" i="3"/>
  <c r="M11" i="3"/>
  <c r="L13" i="3"/>
  <c r="F10" i="3"/>
  <c r="O8" i="3"/>
  <c r="M14" i="3"/>
  <c r="X7" i="3" l="1"/>
  <c r="K6" i="3"/>
  <c r="K3" i="3"/>
  <c r="Z13" i="3"/>
  <c r="Z11" i="3"/>
  <c r="Z9" i="3"/>
  <c r="I13" i="3"/>
  <c r="W13" i="3" s="1"/>
  <c r="Z14" i="3"/>
  <c r="Z12" i="3"/>
  <c r="Z10" i="3"/>
  <c r="Z8" i="3"/>
  <c r="AA5" i="3"/>
  <c r="V4" i="3"/>
  <c r="Q14" i="3"/>
  <c r="T14" i="3"/>
  <c r="H14" i="3"/>
  <c r="J14" i="3"/>
  <c r="Y14" i="3" s="1"/>
  <c r="T13" i="3"/>
  <c r="Q13" i="3"/>
  <c r="Q12" i="3"/>
  <c r="Q11" i="3"/>
  <c r="H10" i="3"/>
  <c r="J10" i="3"/>
  <c r="Y10" i="3" s="1"/>
  <c r="U14" i="3"/>
  <c r="V14" i="3" s="1"/>
  <c r="N14" i="3"/>
  <c r="I14" i="3"/>
  <c r="W14" i="3" s="1"/>
  <c r="AE13" i="3"/>
  <c r="AE14" i="3"/>
  <c r="N13" i="3"/>
  <c r="U13" i="3"/>
  <c r="V13" i="3" s="1"/>
  <c r="U12" i="3"/>
  <c r="N12" i="3"/>
  <c r="I12" i="3"/>
  <c r="W12" i="3" s="1"/>
  <c r="U11" i="3"/>
  <c r="N11" i="3"/>
  <c r="I11" i="3"/>
  <c r="W11" i="3" s="1"/>
  <c r="U10" i="3"/>
  <c r="N10" i="3"/>
  <c r="I10" i="3"/>
  <c r="W10" i="3" s="1"/>
  <c r="N9" i="3"/>
  <c r="U9" i="3"/>
  <c r="I9" i="3"/>
  <c r="W9" i="3" s="1"/>
  <c r="N8" i="3"/>
  <c r="U8" i="3"/>
  <c r="AF13" i="3"/>
  <c r="AG13" i="3" s="1"/>
  <c r="AF14" i="3"/>
  <c r="AG14" i="3" s="1"/>
  <c r="H13" i="3"/>
  <c r="K13" i="3" s="1"/>
  <c r="J13" i="3"/>
  <c r="Y13" i="3" s="1"/>
  <c r="T12" i="3"/>
  <c r="H12" i="3"/>
  <c r="J12" i="3"/>
  <c r="Y12" i="3" s="1"/>
  <c r="T11" i="3"/>
  <c r="H11" i="3"/>
  <c r="K11" i="3" s="1"/>
  <c r="J11" i="3"/>
  <c r="Y11" i="3" s="1"/>
  <c r="T10" i="3"/>
  <c r="Q10" i="3"/>
  <c r="T9" i="3"/>
  <c r="Q9" i="3"/>
  <c r="H9" i="3"/>
  <c r="J9" i="3"/>
  <c r="Y9" i="3" s="1"/>
  <c r="T8" i="3"/>
  <c r="J8" i="3"/>
  <c r="Y8" i="3" s="1"/>
  <c r="Q8" i="3"/>
  <c r="K8" i="3" s="1"/>
  <c r="I8" i="3"/>
  <c r="W8" i="3" s="1"/>
  <c r="AA6" i="3"/>
  <c r="R6" i="3"/>
  <c r="X6" i="3"/>
  <c r="K2" i="3"/>
  <c r="R2" i="3" s="1"/>
  <c r="Z2" i="3"/>
  <c r="Z3" i="3"/>
  <c r="Z4" i="3"/>
  <c r="X5" i="3"/>
  <c r="Z5" i="3"/>
  <c r="Z7" i="3"/>
  <c r="Z6" i="3"/>
  <c r="V2" i="3"/>
  <c r="AA3" i="3"/>
  <c r="R3" i="3"/>
  <c r="X3" i="3"/>
  <c r="V5" i="3"/>
  <c r="V3" i="3"/>
  <c r="K4" i="3"/>
  <c r="AA4" i="3" s="1"/>
  <c r="R7" i="3"/>
  <c r="AA7" i="3"/>
  <c r="V7" i="3"/>
  <c r="V6" i="3"/>
  <c r="H15" i="3"/>
  <c r="Z15" i="3"/>
  <c r="AE15" i="3"/>
  <c r="AF15" i="3"/>
  <c r="M15" i="3"/>
  <c r="P15" i="3"/>
  <c r="F16" i="3"/>
  <c r="G16" i="3"/>
  <c r="L15" i="3"/>
  <c r="O15" i="3"/>
  <c r="K14" i="3" l="1"/>
  <c r="R14" i="3" s="1"/>
  <c r="K12" i="3"/>
  <c r="K9" i="3"/>
  <c r="AA9" i="3" s="1"/>
  <c r="T15" i="3"/>
  <c r="I15" i="3"/>
  <c r="W15" i="3" s="1"/>
  <c r="Q15" i="3"/>
  <c r="K15" i="3" s="1"/>
  <c r="U15" i="3"/>
  <c r="N15" i="3"/>
  <c r="J15" i="3"/>
  <c r="Y15" i="3" s="1"/>
  <c r="X4" i="3"/>
  <c r="R4" i="3"/>
  <c r="AA2" i="3"/>
  <c r="X2" i="3"/>
  <c r="R12" i="3"/>
  <c r="X12" i="3"/>
  <c r="AA12" i="3"/>
  <c r="V8" i="3"/>
  <c r="V11" i="3"/>
  <c r="AA8" i="3"/>
  <c r="R8" i="3"/>
  <c r="X8" i="3"/>
  <c r="R9" i="3"/>
  <c r="X9" i="3"/>
  <c r="R11" i="3"/>
  <c r="X11" i="3"/>
  <c r="AA11" i="3"/>
  <c r="R13" i="3"/>
  <c r="X13" i="3"/>
  <c r="AA13" i="3"/>
  <c r="V9" i="3"/>
  <c r="V10" i="3"/>
  <c r="V12" i="3"/>
  <c r="K10" i="3"/>
  <c r="AG15" i="3"/>
  <c r="H16" i="3"/>
  <c r="Z16" i="3"/>
  <c r="AE16" i="3"/>
  <c r="AF16" i="3"/>
  <c r="P16" i="3"/>
  <c r="G17" i="3"/>
  <c r="O16" i="3"/>
  <c r="L16" i="3"/>
  <c r="M16" i="3"/>
  <c r="F17" i="3"/>
  <c r="AA14" i="3" l="1"/>
  <c r="X14" i="3"/>
  <c r="V15" i="3"/>
  <c r="N16" i="3"/>
  <c r="U16" i="3"/>
  <c r="T16" i="3"/>
  <c r="J16" i="3"/>
  <c r="Y16" i="3" s="1"/>
  <c r="J34" i="2" s="1"/>
  <c r="Q16" i="3"/>
  <c r="K16" i="3" s="1"/>
  <c r="I16" i="3"/>
  <c r="W16" i="3" s="1"/>
  <c r="H34" i="2" s="1"/>
  <c r="R10" i="3"/>
  <c r="X10" i="3"/>
  <c r="AA10" i="3"/>
  <c r="R15" i="3"/>
  <c r="X15" i="3"/>
  <c r="I33" i="2" s="1"/>
  <c r="AA15" i="3"/>
  <c r="AG16" i="3"/>
  <c r="H17" i="3"/>
  <c r="Z17" i="3"/>
  <c r="Z18" i="3"/>
  <c r="Z19" i="3"/>
  <c r="Z20" i="3"/>
  <c r="Z21" i="3"/>
  <c r="AB21" i="3"/>
  <c r="Z22" i="3"/>
  <c r="Z23" i="3"/>
  <c r="Z24" i="3"/>
  <c r="Z25" i="3"/>
  <c r="Z26" i="3"/>
  <c r="Z27" i="3"/>
  <c r="Z28" i="3"/>
  <c r="Z29" i="3"/>
  <c r="Z30" i="3"/>
  <c r="Z31" i="3"/>
  <c r="Z32" i="3"/>
  <c r="Z33" i="3"/>
  <c r="Z34" i="3"/>
  <c r="Z35" i="3"/>
  <c r="AA45" i="3"/>
  <c r="G4" i="2"/>
  <c r="H4" i="2"/>
  <c r="I4" i="2"/>
  <c r="J4" i="2"/>
  <c r="G5" i="2"/>
  <c r="H5" i="2"/>
  <c r="I5" i="2"/>
  <c r="J5" i="2"/>
  <c r="G6" i="2"/>
  <c r="H6" i="2"/>
  <c r="I6" i="2"/>
  <c r="J6" i="2"/>
  <c r="K7" i="2"/>
  <c r="L7" i="2"/>
  <c r="M7" i="2"/>
  <c r="T7" i="2"/>
  <c r="G8" i="2"/>
  <c r="H8" i="2"/>
  <c r="I8" i="2"/>
  <c r="J8" i="2"/>
  <c r="G9" i="2"/>
  <c r="H9" i="2"/>
  <c r="I9" i="2"/>
  <c r="J9" i="2"/>
  <c r="G13" i="2"/>
  <c r="H13" i="2"/>
  <c r="I13" i="2"/>
  <c r="J13" i="2"/>
  <c r="K14" i="2"/>
  <c r="L14" i="2"/>
  <c r="M14" i="2"/>
  <c r="K15" i="2"/>
  <c r="L15" i="2"/>
  <c r="M15" i="2"/>
  <c r="R15" i="2"/>
  <c r="S15" i="2"/>
  <c r="N16" i="2"/>
  <c r="G17" i="2"/>
  <c r="H17" i="2"/>
  <c r="I17" i="2"/>
  <c r="J17" i="2"/>
  <c r="K18" i="2"/>
  <c r="L18" i="2"/>
  <c r="M18" i="2"/>
  <c r="G19" i="2"/>
  <c r="H19" i="2"/>
  <c r="I19" i="2"/>
  <c r="J19" i="2"/>
  <c r="K20" i="2"/>
  <c r="L20" i="2"/>
  <c r="M20" i="2"/>
  <c r="G21" i="2"/>
  <c r="H21" i="2"/>
  <c r="I21" i="2"/>
  <c r="J21" i="2"/>
  <c r="G22" i="2"/>
  <c r="H22" i="2"/>
  <c r="I22" i="2"/>
  <c r="J22" i="2"/>
  <c r="K23" i="2"/>
  <c r="L23" i="2"/>
  <c r="M23" i="2"/>
  <c r="G26" i="2"/>
  <c r="H26" i="2"/>
  <c r="I26" i="2"/>
  <c r="J26" i="2"/>
  <c r="G28" i="2"/>
  <c r="H28" i="2"/>
  <c r="I28" i="2"/>
  <c r="J28" i="2"/>
  <c r="G31" i="2"/>
  <c r="H31" i="2"/>
  <c r="I31" i="2"/>
  <c r="J31" i="2"/>
  <c r="G33" i="2"/>
  <c r="H33" i="2"/>
  <c r="J33" i="2"/>
  <c r="G34" i="2"/>
  <c r="G20" i="3"/>
  <c r="F27" i="3"/>
  <c r="P23" i="3"/>
  <c r="P30" i="3"/>
  <c r="P34" i="3"/>
  <c r="F47" i="3"/>
  <c r="L9" i="2"/>
  <c r="L26" i="3"/>
  <c r="F37" i="3"/>
  <c r="F52" i="3"/>
  <c r="R16" i="2"/>
  <c r="O20" i="3"/>
  <c r="M26" i="3"/>
  <c r="L22" i="3"/>
  <c r="L28" i="3"/>
  <c r="G38" i="3"/>
  <c r="K19" i="2"/>
  <c r="F42" i="3"/>
  <c r="L30" i="3"/>
  <c r="F48" i="3"/>
  <c r="M27" i="3"/>
  <c r="F51" i="3"/>
  <c r="P20" i="3"/>
  <c r="F18" i="3"/>
  <c r="G24" i="3"/>
  <c r="G31" i="3"/>
  <c r="G35" i="3"/>
  <c r="F49" i="3"/>
  <c r="M13" i="2"/>
  <c r="F28" i="3"/>
  <c r="F39" i="3"/>
  <c r="F54" i="3"/>
  <c r="L20" i="3"/>
  <c r="M17" i="3"/>
  <c r="O23" i="3"/>
  <c r="L29" i="3"/>
  <c r="G42" i="3"/>
  <c r="P24" i="3"/>
  <c r="G46" i="3"/>
  <c r="L31" i="3"/>
  <c r="G51" i="3"/>
  <c r="F55" i="3"/>
  <c r="G21" i="3"/>
  <c r="G19" i="3"/>
  <c r="G25" i="3"/>
  <c r="P31" i="3"/>
  <c r="R14" i="2"/>
  <c r="F41" i="3"/>
  <c r="L21" i="2"/>
  <c r="M18" i="3"/>
  <c r="O30" i="3"/>
  <c r="M49" i="3"/>
  <c r="G55" i="3"/>
  <c r="M31" i="3"/>
  <c r="G37" i="3"/>
  <c r="F43" i="3"/>
  <c r="L21" i="3"/>
  <c r="O31" i="3"/>
  <c r="F53" i="3"/>
  <c r="K6" i="2"/>
  <c r="P18" i="3"/>
  <c r="P33" i="3"/>
  <c r="L5" i="2"/>
  <c r="M9" i="2"/>
  <c r="M21" i="3"/>
  <c r="M34" i="3"/>
  <c r="F44" i="3"/>
  <c r="M19" i="3"/>
  <c r="G30" i="3"/>
  <c r="G34" i="3"/>
  <c r="F35" i="3"/>
  <c r="AB19" i="3"/>
  <c r="O35" i="3"/>
  <c r="G44" i="3"/>
  <c r="L17" i="2"/>
  <c r="M29" i="3"/>
  <c r="P35" i="3"/>
  <c r="F30" i="3"/>
  <c r="K4" i="2"/>
  <c r="O21" i="3"/>
  <c r="O24" i="3"/>
  <c r="P26" i="3"/>
  <c r="L32" i="3"/>
  <c r="M5" i="2"/>
  <c r="P21" i="3"/>
  <c r="L25" i="3"/>
  <c r="G52" i="3"/>
  <c r="F31" i="3"/>
  <c r="O17" i="3"/>
  <c r="P25" i="3"/>
  <c r="L49" i="3"/>
  <c r="L33" i="3"/>
  <c r="K9" i="2"/>
  <c r="G43" i="3"/>
  <c r="G49" i="3"/>
  <c r="L27" i="3"/>
  <c r="L13" i="2"/>
  <c r="F26" i="3"/>
  <c r="G45" i="3"/>
  <c r="F50" i="3"/>
  <c r="O22" i="3"/>
  <c r="S16" i="2"/>
  <c r="G50" i="3"/>
  <c r="F46" i="3"/>
  <c r="P19" i="3"/>
  <c r="G32" i="3"/>
  <c r="M17" i="2"/>
  <c r="K5" i="2"/>
  <c r="O19" i="3"/>
  <c r="M28" i="3"/>
  <c r="M33" i="3"/>
  <c r="G22" i="3"/>
  <c r="L24" i="3"/>
  <c r="F19" i="3"/>
  <c r="O34" i="3"/>
  <c r="G40" i="3"/>
  <c r="G26" i="3"/>
  <c r="M25" i="3"/>
  <c r="S13" i="2"/>
  <c r="O25" i="3"/>
  <c r="P17" i="3"/>
  <c r="F22" i="3"/>
  <c r="F20" i="3"/>
  <c r="G27" i="3"/>
  <c r="P32" i="3"/>
  <c r="G39" i="3"/>
  <c r="G54" i="3"/>
  <c r="M19" i="2"/>
  <c r="F32" i="3"/>
  <c r="F45" i="3"/>
  <c r="L6" i="2"/>
  <c r="L17" i="3"/>
  <c r="M22" i="3"/>
  <c r="L19" i="3"/>
  <c r="O26" i="3"/>
  <c r="O32" i="3"/>
  <c r="G53" i="3"/>
  <c r="M30" i="3"/>
  <c r="M4" i="2"/>
  <c r="L34" i="3"/>
  <c r="K13" i="2"/>
  <c r="M35" i="3"/>
  <c r="S14" i="2"/>
  <c r="G18" i="3"/>
  <c r="F24" i="3"/>
  <c r="F21" i="3"/>
  <c r="P27" i="3"/>
  <c r="G33" i="3"/>
  <c r="G41" i="3"/>
  <c r="L4" i="2"/>
  <c r="M21" i="2"/>
  <c r="F33" i="3"/>
  <c r="G47" i="3"/>
  <c r="M8" i="2"/>
  <c r="O18" i="3"/>
  <c r="M23" i="3"/>
  <c r="M20" i="3"/>
  <c r="O27" i="3"/>
  <c r="O33" i="3"/>
  <c r="N4" i="2"/>
  <c r="M32" i="3"/>
  <c r="K8" i="2"/>
  <c r="L35" i="3"/>
  <c r="K17" i="2"/>
  <c r="F40" i="3"/>
  <c r="L19" i="2"/>
  <c r="F25" i="3"/>
  <c r="P28" i="3"/>
  <c r="F34" i="3"/>
  <c r="M24" i="3"/>
  <c r="L8" i="2"/>
  <c r="K21" i="2"/>
  <c r="P22" i="3"/>
  <c r="M6" i="2"/>
  <c r="R13" i="2"/>
  <c r="O28" i="3"/>
  <c r="F38" i="3"/>
  <c r="G48" i="3"/>
  <c r="I23" i="3" l="1"/>
  <c r="T15" i="2"/>
  <c r="V16" i="3"/>
  <c r="U15" i="2"/>
  <c r="N8" i="2"/>
  <c r="N49" i="3"/>
  <c r="N35" i="3"/>
  <c r="G35" i="2" s="1"/>
  <c r="U35" i="3"/>
  <c r="I35" i="3"/>
  <c r="W35" i="3" s="1"/>
  <c r="H35" i="2" s="1"/>
  <c r="N34" i="3"/>
  <c r="G36" i="2" s="1"/>
  <c r="U34" i="3"/>
  <c r="I34" i="3"/>
  <c r="W34" i="3" s="1"/>
  <c r="H36" i="2" s="1"/>
  <c r="N33" i="3"/>
  <c r="G32" i="2" s="1"/>
  <c r="U33" i="3"/>
  <c r="I33" i="3"/>
  <c r="W33" i="3" s="1"/>
  <c r="H32" i="2" s="1"/>
  <c r="N32" i="3"/>
  <c r="G27" i="2" s="1"/>
  <c r="U32" i="3"/>
  <c r="I32" i="3"/>
  <c r="W32" i="3" s="1"/>
  <c r="H27" i="2" s="1"/>
  <c r="N31" i="3"/>
  <c r="G24" i="2" s="1"/>
  <c r="U31" i="3"/>
  <c r="I31" i="3"/>
  <c r="W31" i="3" s="1"/>
  <c r="H24" i="2" s="1"/>
  <c r="N30" i="3"/>
  <c r="G7" i="2" s="1"/>
  <c r="U30" i="3"/>
  <c r="I30" i="3"/>
  <c r="N29" i="3"/>
  <c r="G23" i="2" s="1"/>
  <c r="U29" i="3"/>
  <c r="N28" i="3"/>
  <c r="G16" i="2" s="1"/>
  <c r="U28" i="3"/>
  <c r="I28" i="3"/>
  <c r="W28" i="3" s="1"/>
  <c r="H16" i="2" s="1"/>
  <c r="N27" i="3"/>
  <c r="G18" i="2" s="1"/>
  <c r="U27" i="3"/>
  <c r="T26" i="3"/>
  <c r="H26" i="3"/>
  <c r="J26" i="3"/>
  <c r="Y26" i="3" s="1"/>
  <c r="J15" i="2" s="1"/>
  <c r="Q25" i="3"/>
  <c r="T24" i="3"/>
  <c r="N14" i="2"/>
  <c r="T35" i="3"/>
  <c r="Q35" i="3"/>
  <c r="H35" i="3"/>
  <c r="K35" i="3" s="1"/>
  <c r="J35" i="3"/>
  <c r="Y35" i="3" s="1"/>
  <c r="J35" i="2" s="1"/>
  <c r="T34" i="3"/>
  <c r="Q34" i="3"/>
  <c r="H34" i="3"/>
  <c r="J34" i="3"/>
  <c r="Y34" i="3" s="1"/>
  <c r="J36" i="2" s="1"/>
  <c r="T33" i="3"/>
  <c r="Q33" i="3"/>
  <c r="H33" i="3"/>
  <c r="K33" i="3" s="1"/>
  <c r="J33" i="3"/>
  <c r="Y33" i="3" s="1"/>
  <c r="J32" i="2" s="1"/>
  <c r="T32" i="3"/>
  <c r="Q32" i="3"/>
  <c r="H32" i="3"/>
  <c r="J32" i="3"/>
  <c r="Y32" i="3" s="1"/>
  <c r="J27" i="2" s="1"/>
  <c r="T31" i="3"/>
  <c r="Q31" i="3"/>
  <c r="H31" i="3"/>
  <c r="K31" i="3" s="1"/>
  <c r="J31" i="3"/>
  <c r="Y31" i="3" s="1"/>
  <c r="J24" i="2" s="1"/>
  <c r="T30" i="3"/>
  <c r="Q30" i="3"/>
  <c r="H30" i="3"/>
  <c r="J30" i="3"/>
  <c r="Y30" i="3" s="1"/>
  <c r="J7" i="2" s="1"/>
  <c r="T29" i="3"/>
  <c r="Q29" i="3"/>
  <c r="H29" i="3"/>
  <c r="J29" i="3"/>
  <c r="Y29" i="3" s="1"/>
  <c r="J23" i="2" s="1"/>
  <c r="T28" i="3"/>
  <c r="Q28" i="3"/>
  <c r="H28" i="3"/>
  <c r="J28" i="3"/>
  <c r="Y28" i="3" s="1"/>
  <c r="J16" i="2" s="1"/>
  <c r="T27" i="3"/>
  <c r="Q27" i="3"/>
  <c r="H27" i="3"/>
  <c r="J27" i="3"/>
  <c r="Y27" i="3" s="1"/>
  <c r="J18" i="2" s="1"/>
  <c r="Q26" i="3"/>
  <c r="T25" i="3"/>
  <c r="H25" i="3"/>
  <c r="J25" i="3"/>
  <c r="Y25" i="3" s="1"/>
  <c r="J14" i="2" s="1"/>
  <c r="Q24" i="3"/>
  <c r="H24" i="3"/>
  <c r="K24" i="3" s="1"/>
  <c r="J24" i="3"/>
  <c r="Y24" i="3" s="1"/>
  <c r="J20" i="2" s="1"/>
  <c r="T23" i="3"/>
  <c r="Q23" i="3"/>
  <c r="K23" i="3" s="1"/>
  <c r="J23" i="3"/>
  <c r="Y23" i="3" s="1"/>
  <c r="J29" i="2" s="1"/>
  <c r="T22" i="3"/>
  <c r="Q22" i="3"/>
  <c r="H22" i="3"/>
  <c r="J22" i="3"/>
  <c r="Y22" i="3" s="1"/>
  <c r="J30" i="2" s="1"/>
  <c r="N21" i="3"/>
  <c r="G25" i="2" s="1"/>
  <c r="U21" i="3"/>
  <c r="I21" i="3"/>
  <c r="W21" i="3" s="1"/>
  <c r="H25" i="2" s="1"/>
  <c r="N20" i="3"/>
  <c r="G10" i="2" s="1"/>
  <c r="U20" i="3"/>
  <c r="I20" i="3"/>
  <c r="W20" i="3" s="1"/>
  <c r="H10" i="2" s="1"/>
  <c r="T19" i="3"/>
  <c r="Q19" i="3"/>
  <c r="H19" i="3"/>
  <c r="K19" i="3" s="1"/>
  <c r="J19" i="3"/>
  <c r="Y19" i="3" s="1"/>
  <c r="J11" i="2" s="1"/>
  <c r="N18" i="3"/>
  <c r="U18" i="3"/>
  <c r="I18" i="3"/>
  <c r="W18" i="3" s="1"/>
  <c r="H12" i="2" s="1"/>
  <c r="N17" i="3"/>
  <c r="G37" i="2" s="1"/>
  <c r="U17" i="3"/>
  <c r="I27" i="3"/>
  <c r="W27" i="3" s="1"/>
  <c r="H18" i="2" s="1"/>
  <c r="U26" i="3"/>
  <c r="V26" i="3" s="1"/>
  <c r="N26" i="3"/>
  <c r="G15" i="2" s="1"/>
  <c r="I26" i="3"/>
  <c r="W26" i="3" s="1"/>
  <c r="H15" i="2" s="1"/>
  <c r="U25" i="3"/>
  <c r="V25" i="3" s="1"/>
  <c r="N25" i="3"/>
  <c r="G14" i="2" s="1"/>
  <c r="I25" i="3"/>
  <c r="W25" i="3" s="1"/>
  <c r="H14" i="2" s="1"/>
  <c r="U24" i="3"/>
  <c r="N24" i="3"/>
  <c r="G20" i="2" s="1"/>
  <c r="I24" i="3"/>
  <c r="W24" i="3" s="1"/>
  <c r="H20" i="2" s="1"/>
  <c r="U23" i="3"/>
  <c r="N23" i="3"/>
  <c r="G29" i="2" s="1"/>
  <c r="W23" i="3"/>
  <c r="H29" i="2" s="1"/>
  <c r="U22" i="3"/>
  <c r="V22" i="3" s="1"/>
  <c r="N22" i="3"/>
  <c r="G30" i="2" s="1"/>
  <c r="I22" i="3"/>
  <c r="W22" i="3" s="1"/>
  <c r="H30" i="2" s="1"/>
  <c r="T21" i="3"/>
  <c r="Q21" i="3"/>
  <c r="H21" i="3"/>
  <c r="J21" i="3"/>
  <c r="Y21" i="3" s="1"/>
  <c r="J25" i="2" s="1"/>
  <c r="T20" i="3"/>
  <c r="Q20" i="3"/>
  <c r="H20" i="3"/>
  <c r="J20" i="3"/>
  <c r="Y20" i="3" s="1"/>
  <c r="J10" i="2" s="1"/>
  <c r="U19" i="3"/>
  <c r="V19" i="3" s="1"/>
  <c r="N19" i="3"/>
  <c r="G11" i="2" s="1"/>
  <c r="I19" i="3"/>
  <c r="W19" i="3" s="1"/>
  <c r="H11" i="2" s="1"/>
  <c r="T18" i="3"/>
  <c r="Q18" i="3"/>
  <c r="H18" i="3"/>
  <c r="J18" i="3"/>
  <c r="Y18" i="3" s="1"/>
  <c r="J12" i="2" s="1"/>
  <c r="T17" i="3"/>
  <c r="J17" i="3"/>
  <c r="Y17" i="3" s="1"/>
  <c r="J37" i="2" s="1"/>
  <c r="Q17" i="3"/>
  <c r="K17" i="3" s="1"/>
  <c r="I17" i="3"/>
  <c r="W17" i="3" s="1"/>
  <c r="H37" i="2" s="1"/>
  <c r="AA16" i="3"/>
  <c r="X16" i="3"/>
  <c r="I34" i="2" s="1"/>
  <c r="R16" i="3"/>
  <c r="V24" i="3" l="1"/>
  <c r="K18" i="3"/>
  <c r="AA18" i="3" s="1"/>
  <c r="K25" i="3"/>
  <c r="R25" i="3" s="1"/>
  <c r="K30" i="3"/>
  <c r="AA30" i="3" s="1"/>
  <c r="K32" i="3"/>
  <c r="K34" i="3"/>
  <c r="X34" i="3" s="1"/>
  <c r="I36" i="2" s="1"/>
  <c r="W30" i="3"/>
  <c r="H7" i="2" s="1"/>
  <c r="H23" i="2"/>
  <c r="V23" i="3"/>
  <c r="K22" i="3"/>
  <c r="X22" i="3" s="1"/>
  <c r="I30" i="2" s="1"/>
  <c r="V15" i="2"/>
  <c r="K28" i="3"/>
  <c r="K29" i="3"/>
  <c r="R29" i="3" s="1"/>
  <c r="AA17" i="3"/>
  <c r="R17" i="3"/>
  <c r="I37" i="2"/>
  <c r="V17" i="3"/>
  <c r="G12" i="2"/>
  <c r="R19" i="3"/>
  <c r="X19" i="3"/>
  <c r="I11" i="2" s="1"/>
  <c r="AA19" i="3"/>
  <c r="V20" i="3"/>
  <c r="R23" i="3"/>
  <c r="X23" i="3"/>
  <c r="I29" i="2" s="1"/>
  <c r="AA23" i="3"/>
  <c r="R24" i="3"/>
  <c r="I20" i="2"/>
  <c r="AA24" i="3"/>
  <c r="K26" i="3"/>
  <c r="V27" i="3"/>
  <c r="V29" i="3"/>
  <c r="V31" i="3"/>
  <c r="V33" i="3"/>
  <c r="V35" i="3"/>
  <c r="K20" i="3"/>
  <c r="K21" i="3"/>
  <c r="V18" i="3"/>
  <c r="V21" i="3"/>
  <c r="K27" i="3"/>
  <c r="AA28" i="3"/>
  <c r="R28" i="3"/>
  <c r="X28" i="3"/>
  <c r="I16" i="2" s="1"/>
  <c r="AA29" i="3"/>
  <c r="X29" i="3"/>
  <c r="I23" i="2" s="1"/>
  <c r="R30" i="3"/>
  <c r="X30" i="3"/>
  <c r="I7" i="2" s="1"/>
  <c r="AA31" i="3"/>
  <c r="R31" i="3"/>
  <c r="X31" i="3"/>
  <c r="I24" i="2" s="1"/>
  <c r="AA32" i="3"/>
  <c r="R32" i="3"/>
  <c r="X32" i="3"/>
  <c r="I27" i="2" s="1"/>
  <c r="AA33" i="3"/>
  <c r="R33" i="3"/>
  <c r="X33" i="3"/>
  <c r="I32" i="2" s="1"/>
  <c r="AA35" i="3"/>
  <c r="R35" i="3"/>
  <c r="X35" i="3"/>
  <c r="I35" i="2" s="1"/>
  <c r="V28" i="3"/>
  <c r="V30" i="3"/>
  <c r="V32" i="3"/>
  <c r="V34" i="3"/>
  <c r="AA22" i="3" l="1"/>
  <c r="X18" i="3"/>
  <c r="I12" i="2" s="1"/>
  <c r="R22" i="3"/>
  <c r="R18" i="3"/>
  <c r="R34" i="3"/>
  <c r="AA34" i="3"/>
  <c r="AA25" i="3"/>
  <c r="X25" i="3"/>
  <c r="I14" i="2" s="1"/>
  <c r="AA20" i="3"/>
  <c r="R20" i="3"/>
  <c r="X20" i="3"/>
  <c r="I10" i="2" s="1"/>
  <c r="R26" i="3"/>
  <c r="X26" i="3"/>
  <c r="I15" i="2" s="1"/>
  <c r="AA26" i="3"/>
  <c r="AA27" i="3"/>
  <c r="R27" i="3"/>
  <c r="X27" i="3"/>
  <c r="I18" i="2" s="1"/>
  <c r="AA21" i="3"/>
  <c r="R21" i="3"/>
  <c r="X21" i="3"/>
  <c r="I25" i="2" s="1"/>
</calcChain>
</file>

<file path=xl/sharedStrings.xml><?xml version="1.0" encoding="utf-8"?>
<sst xmlns="http://schemas.openxmlformats.org/spreadsheetml/2006/main" count="419" uniqueCount="299">
  <si>
    <t>PX_MID</t>
  </si>
  <si>
    <t>FWD_RT_3MO</t>
  </si>
  <si>
    <t>EURUSD BGN Curncy</t>
  </si>
  <si>
    <t>EI858934 Corp</t>
  </si>
  <si>
    <t>Euro</t>
  </si>
  <si>
    <t>Brazil</t>
  </si>
  <si>
    <t>Japan</t>
  </si>
  <si>
    <t>Korea</t>
  </si>
  <si>
    <t>Mexico</t>
  </si>
  <si>
    <t>Australia</t>
  </si>
  <si>
    <t>United Kingdom</t>
  </si>
  <si>
    <t>Singapore</t>
  </si>
  <si>
    <t>India</t>
  </si>
  <si>
    <t>China</t>
  </si>
  <si>
    <t>Russia</t>
  </si>
  <si>
    <t>JYDRC CMPN Curncy</t>
  </si>
  <si>
    <t>EUDRC BDSR Curncy</t>
  </si>
  <si>
    <t>BPDRC CMPN Curncy</t>
  </si>
  <si>
    <t>ADDRC BDSR Curncy</t>
  </si>
  <si>
    <t>IRDRC BDSR Curncy</t>
  </si>
  <si>
    <t>KWDRC BDSR Curncy</t>
  </si>
  <si>
    <t>Indonesia</t>
  </si>
  <si>
    <t>IHDRC BDSR Curncy</t>
  </si>
  <si>
    <t>CCNI3M BDSR Curncy</t>
  </si>
  <si>
    <t>SDDRC BDSR Curncy</t>
  </si>
  <si>
    <t>RRDRC BDSR Curncy</t>
  </si>
  <si>
    <t>Turkey</t>
  </si>
  <si>
    <t>TYDRC BDSR Curncy</t>
  </si>
  <si>
    <t>BCDRC BDSR Curncy</t>
  </si>
  <si>
    <t>Chile</t>
  </si>
  <si>
    <t>CHDRC BDSR Curncy</t>
  </si>
  <si>
    <t>MPDRC BDSR Curncy</t>
  </si>
  <si>
    <t>United States</t>
  </si>
  <si>
    <t>USDRC BDSR Curncy</t>
  </si>
  <si>
    <t>Actual 3 Month Deposit Rate</t>
  </si>
  <si>
    <t>Spot Rate</t>
  </si>
  <si>
    <t>3 Month Forward Rate</t>
  </si>
  <si>
    <t>Actual Codes</t>
  </si>
  <si>
    <t>Implied Codes</t>
  </si>
  <si>
    <t>Spot Code</t>
  </si>
  <si>
    <t>3 Mnth Forward Code</t>
  </si>
  <si>
    <t>AUDUSD BGN Curncy</t>
  </si>
  <si>
    <t>GBPUSD BGN Curncy</t>
  </si>
  <si>
    <t>USDBRL BGN Curncy</t>
  </si>
  <si>
    <t>USDJPY BGN Curncy</t>
  </si>
  <si>
    <t>USDKRW BGN Curncy</t>
  </si>
  <si>
    <t>USDMXN BGN Curncy</t>
  </si>
  <si>
    <t>USDSGD BGN Curncy</t>
  </si>
  <si>
    <t>USDINR BGN Curncy</t>
  </si>
  <si>
    <t>USDRUB BGN Curncy</t>
  </si>
  <si>
    <t>USDIDR BGN Curncy</t>
  </si>
  <si>
    <t>USDCNY BGN Curncy</t>
  </si>
  <si>
    <t>USDTRY BGN Curncy</t>
  </si>
  <si>
    <t>USDCLP BGN Curncy</t>
  </si>
  <si>
    <t>Country</t>
  </si>
  <si>
    <t>US 3 Mnth IR</t>
  </si>
  <si>
    <t>EUR/USD Calc</t>
  </si>
  <si>
    <t>3 Month Interest Rate</t>
  </si>
  <si>
    <t>YLD_CNV_MID</t>
  </si>
  <si>
    <t>9127953C@BGN GOVT</t>
  </si>
  <si>
    <t>EI864553 Corp</t>
  </si>
  <si>
    <t>EI864833 Corp</t>
  </si>
  <si>
    <t>GCNY3M Index</t>
  </si>
  <si>
    <t>EI769579 Corp</t>
  </si>
  <si>
    <t>VRTB2W Index</t>
  </si>
  <si>
    <t>EH640077 Corp</t>
  </si>
  <si>
    <t>EI119222 Corp</t>
  </si>
  <si>
    <t>EH697974 Corp</t>
  </si>
  <si>
    <t>GEBR03M Index</t>
  </si>
  <si>
    <t>C1233M Index</t>
  </si>
  <si>
    <t>EI218575 Corp</t>
  </si>
  <si>
    <t>C1323M Index</t>
  </si>
  <si>
    <t>AUD BGN Curncy</t>
  </si>
  <si>
    <t>EUR BGN Curncy</t>
  </si>
  <si>
    <t>JPY BGN Curncy</t>
  </si>
  <si>
    <t>SGD BGN Curncy</t>
  </si>
  <si>
    <t>GBP BGN Curncy</t>
  </si>
  <si>
    <t>CNY BGN Curncy</t>
  </si>
  <si>
    <t>KRW BGN Curncy</t>
  </si>
  <si>
    <t>MXN BGN Curncy</t>
  </si>
  <si>
    <t>RUB BGN Curncy</t>
  </si>
  <si>
    <t>CLP BGN Curncy</t>
  </si>
  <si>
    <t>IDR BGN Curncy</t>
  </si>
  <si>
    <t>INR BGN Curncy</t>
  </si>
  <si>
    <t>TRY BGN Curncy</t>
  </si>
  <si>
    <t>BRL BGN Curncy</t>
  </si>
  <si>
    <t>IRZ1 COMB Comdty</t>
  </si>
  <si>
    <t>KWN3M BGN Curncy</t>
  </si>
  <si>
    <t>Spot/3 mnth FRD Rate Code</t>
  </si>
  <si>
    <t>MXN3M BGN Curncy</t>
  </si>
  <si>
    <t>PX_LAST</t>
  </si>
  <si>
    <t>Start</t>
  </si>
  <si>
    <t>End</t>
  </si>
  <si>
    <t>Days</t>
  </si>
  <si>
    <t>Pt Scale</t>
  </si>
  <si>
    <t>Date</t>
  </si>
  <si>
    <t>USD</t>
  </si>
  <si>
    <t>JPY</t>
  </si>
  <si>
    <t>Daycount</t>
  </si>
  <si>
    <t>Act Bid</t>
  </si>
  <si>
    <t>Ask</t>
  </si>
  <si>
    <t>Imp Bid</t>
  </si>
  <si>
    <t>Spot</t>
  </si>
  <si>
    <t>Points</t>
  </si>
  <si>
    <t>Mid</t>
  </si>
  <si>
    <t>Calculator</t>
  </si>
  <si>
    <t>JPY3M BGN Curncy</t>
  </si>
  <si>
    <t>Points Code</t>
  </si>
  <si>
    <t>Point Bid</t>
  </si>
  <si>
    <t>Point Ask</t>
  </si>
  <si>
    <t>SGD3M BGN Curncy</t>
  </si>
  <si>
    <t>USD3M BGN Curncy</t>
  </si>
  <si>
    <t>GBP3M BGN Curncy</t>
  </si>
  <si>
    <t>EUR3M BGN Curncy</t>
  </si>
  <si>
    <t>AUD3M BGN Curncy</t>
  </si>
  <si>
    <t>TRY3M BGN Curncy</t>
  </si>
  <si>
    <t>Actual Depo Rate</t>
  </si>
  <si>
    <t>Spot Bid</t>
  </si>
  <si>
    <t>Spot Ask</t>
  </si>
  <si>
    <t>Actual Depo Rate Bid</t>
  </si>
  <si>
    <t>Actual Depo Rate Ask</t>
  </si>
  <si>
    <t>Implied Depo Rate Bid</t>
  </si>
  <si>
    <t>Implied Depo Rate Mid</t>
  </si>
  <si>
    <t>Implied Depo Rate Ask</t>
  </si>
  <si>
    <t>CCN3M BGN Curncy</t>
  </si>
  <si>
    <t>CHN3M BGN Curncy</t>
  </si>
  <si>
    <t>IHN3M BGN Curncy</t>
  </si>
  <si>
    <t>BCN3M BGN Curncy</t>
  </si>
  <si>
    <t>IRN3M BGN Curncy</t>
  </si>
  <si>
    <t>USDEUR BGN Curncy</t>
  </si>
  <si>
    <t>USDAUD BGN Curncy</t>
  </si>
  <si>
    <t>Belize</t>
  </si>
  <si>
    <t>Belarus</t>
  </si>
  <si>
    <t>Argentina</t>
  </si>
  <si>
    <t>Pakistan</t>
  </si>
  <si>
    <t>Egypt</t>
  </si>
  <si>
    <t>Iraq</t>
  </si>
  <si>
    <t>Dominican Republic</t>
  </si>
  <si>
    <t>Croatia</t>
  </si>
  <si>
    <t>Senegal</t>
  </si>
  <si>
    <t>Bulgaria</t>
  </si>
  <si>
    <t>Lebanon</t>
  </si>
  <si>
    <t>Ukraine</t>
  </si>
  <si>
    <t>Gabon</t>
  </si>
  <si>
    <t>Sri Lanka</t>
  </si>
  <si>
    <t>Ghana</t>
  </si>
  <si>
    <t>Poland</t>
  </si>
  <si>
    <t>Kazakhstan</t>
  </si>
  <si>
    <t>Serbia</t>
  </si>
  <si>
    <t>Vietnam</t>
  </si>
  <si>
    <t>El Salvador</t>
  </si>
  <si>
    <t>Jordan</t>
  </si>
  <si>
    <t>Jamaica</t>
  </si>
  <si>
    <t>Malaysia</t>
  </si>
  <si>
    <t>Lithuania</t>
  </si>
  <si>
    <t>Venezuela</t>
  </si>
  <si>
    <t>Philippines</t>
  </si>
  <si>
    <t>Hungary</t>
  </si>
  <si>
    <t>South Africa</t>
  </si>
  <si>
    <t>Colombia</t>
  </si>
  <si>
    <t>Panama</t>
  </si>
  <si>
    <t>Nigeria</t>
  </si>
  <si>
    <t>Peru</t>
  </si>
  <si>
    <t>Ecuador</t>
  </si>
  <si>
    <t>Georgia</t>
  </si>
  <si>
    <t>Uruguay</t>
  </si>
  <si>
    <t>Ivory Coast</t>
  </si>
  <si>
    <t>Canada</t>
  </si>
  <si>
    <t>Norway</t>
  </si>
  <si>
    <t>USDARS BGN Curncy</t>
  </si>
  <si>
    <t>USDBGN BGN Curncy</t>
  </si>
  <si>
    <t>USDCAD BGN Curncy</t>
  </si>
  <si>
    <t>USDCOP BGN Curncy</t>
  </si>
  <si>
    <t>USDHRK BGN Curncy</t>
  </si>
  <si>
    <t>USDDOP BGN Curncy</t>
  </si>
  <si>
    <t>USDEGP BGN Curncy</t>
  </si>
  <si>
    <t>USDXOF BGN Curncy</t>
  </si>
  <si>
    <t>USDGEL BGN Curncy</t>
  </si>
  <si>
    <t>USDGHS BGN Curncy</t>
  </si>
  <si>
    <t>USDHUF BGN Curncy</t>
  </si>
  <si>
    <t>USDJMD BGN Curncy</t>
  </si>
  <si>
    <t>USDJOD BGN Curncy</t>
  </si>
  <si>
    <t>USDLBP BGN Curncy</t>
  </si>
  <si>
    <t>USDLTL BGN Curncy</t>
  </si>
  <si>
    <t>USDMYR BGN Curncy</t>
  </si>
  <si>
    <t>USDNGN BGN Curncy</t>
  </si>
  <si>
    <t>USDNOK BGN Curncy</t>
  </si>
  <si>
    <t>USDPKR BGN Curncy</t>
  </si>
  <si>
    <t>USDPAB BGN Curncy</t>
  </si>
  <si>
    <t>USDPEN BGN Curncy</t>
  </si>
  <si>
    <t>USDPHP BGN Curncy</t>
  </si>
  <si>
    <t>USDPLN BGN Curncy</t>
  </si>
  <si>
    <t>USDZAR BGN Curncy</t>
  </si>
  <si>
    <t>USDLKR BGN Curncy</t>
  </si>
  <si>
    <t>USDUAH BGN Curncy</t>
  </si>
  <si>
    <t>USDUYU BGN Curncy</t>
  </si>
  <si>
    <t>USDVND BGN Curncy</t>
  </si>
  <si>
    <t>USDBYR CMPN Curncy</t>
  </si>
  <si>
    <t>USDBZD CMPN Curncy</t>
  </si>
  <si>
    <t>USDECS CMPN Curncy</t>
  </si>
  <si>
    <t>USDSVC CMPN Curncy</t>
  </si>
  <si>
    <t>USDIQD CMPN Curncy</t>
  </si>
  <si>
    <t>USDKZT CMPN Curncy</t>
  </si>
  <si>
    <t>USDVEB CMPN Curncy</t>
  </si>
  <si>
    <t>APDRC BDSR Curncy</t>
  </si>
  <si>
    <t>CDDRC BDSR Curncy</t>
  </si>
  <si>
    <t>CLDRC BDSR Curncy</t>
  </si>
  <si>
    <t>EPDRC BDSR Curncy</t>
  </si>
  <si>
    <t>HFDRC BDSR Curncy</t>
  </si>
  <si>
    <t>MRDRC BDSR Curncy</t>
  </si>
  <si>
    <t>NKDRC BDSR Curncy</t>
  </si>
  <si>
    <t>PSDRC BDSR Curncy</t>
  </si>
  <si>
    <t>PPDRC BDSR Curncy</t>
  </si>
  <si>
    <t>PZDRC BDSR Curncy</t>
  </si>
  <si>
    <t>SADRC BDSR Curncy</t>
  </si>
  <si>
    <t>BLDRC CMPN Curncy</t>
  </si>
  <si>
    <t>HRDRC CMPN Curncy</t>
  </si>
  <si>
    <t>DPDRC CMPN Curncy</t>
  </si>
  <si>
    <t>ESDRC CMPN Curncy</t>
  </si>
  <si>
    <t>GEDRC CMPN Curncy</t>
  </si>
  <si>
    <t>GSDRC CMPN Curncy</t>
  </si>
  <si>
    <t>KTDRC CMPN Curncy</t>
  </si>
  <si>
    <t>LHDRC CMPN Curncy</t>
  </si>
  <si>
    <t>NNDRC CMPN Curncy</t>
  </si>
  <si>
    <t>SLDRC CMPN Curncy</t>
  </si>
  <si>
    <t>UKDRC CMPN Curncy</t>
  </si>
  <si>
    <t>UPDRC CMPN Curncy</t>
  </si>
  <si>
    <t>VBDRC CMPN Curncy</t>
  </si>
  <si>
    <t>VDDRC CMPN Curncy</t>
  </si>
  <si>
    <t>Actual Depo Rate Mid</t>
  </si>
  <si>
    <t>APN3M BGN Curncy</t>
  </si>
  <si>
    <t>CAD3M BGN Curncy</t>
  </si>
  <si>
    <t>CLN3M BGN Curncy</t>
  </si>
  <si>
    <t>HUF3M BGN Curncy</t>
  </si>
  <si>
    <t>MRN3M BGN Curncy</t>
  </si>
  <si>
    <t>NOK3M BGN Curncy</t>
  </si>
  <si>
    <t>PSN3M BGN Curncy</t>
  </si>
  <si>
    <t>PPN3M BGN Curncy</t>
  </si>
  <si>
    <t>PLN3M BGN Curncy</t>
  </si>
  <si>
    <t>ZAR3M BGN Curncy</t>
  </si>
  <si>
    <t>BGN3M CMPN Curncy</t>
  </si>
  <si>
    <t>HRK3M CMPN Curncy</t>
  </si>
  <si>
    <t>EPN3M CMPN Curncy</t>
  </si>
  <si>
    <t>GEL3M CMPN Curncy</t>
  </si>
  <si>
    <t>KTN3M CMPN Curncy</t>
  </si>
  <si>
    <t>LTL3M CMPN Curncy</t>
  </si>
  <si>
    <t>NNNI3M CMPN Curncy</t>
  </si>
  <si>
    <t>LKR3M CMPN Curncy</t>
  </si>
  <si>
    <t>UKN3M CMPN Curncy</t>
  </si>
  <si>
    <t>VDN3M CMPN Curncy</t>
  </si>
  <si>
    <t>USD3M CMPN Curncy</t>
  </si>
  <si>
    <t>CHN3M CMPN Curncy</t>
  </si>
  <si>
    <t>IHN3M CMPN Curncy</t>
  </si>
  <si>
    <t>BCN3M CMPN Curncy</t>
  </si>
  <si>
    <t>IRN3M CMPN Curncy</t>
  </si>
  <si>
    <t>APN3M CMPN Curncy</t>
  </si>
  <si>
    <t>CLN3M CMPN Curncy</t>
  </si>
  <si>
    <t>MRN3M CMPN Curncy</t>
  </si>
  <si>
    <t>PSN3M CMPN Curncy</t>
  </si>
  <si>
    <t>PPN3M CMPN Curncy</t>
  </si>
  <si>
    <t>CCN3M CMPN Curncy</t>
  </si>
  <si>
    <t>Spot Mid</t>
  </si>
  <si>
    <t>Implied Deposit Rate</t>
  </si>
  <si>
    <t>Discount</t>
  </si>
  <si>
    <t>USDSGD3M CMPN Curncy</t>
  </si>
  <si>
    <t>USDKRW3M CMPN Curncy</t>
  </si>
  <si>
    <t>USDMXN3M CMPN Curncy</t>
  </si>
  <si>
    <t>USDAUD3M CMPN Curncy</t>
  </si>
  <si>
    <t>USDRUB3M CMPN Curncy</t>
  </si>
  <si>
    <t>USDTRY3M CMPN Curncy</t>
  </si>
  <si>
    <t>USDBGN3M CMPN Curncy</t>
  </si>
  <si>
    <t>USDCAD3M CMPN Curncy</t>
  </si>
  <si>
    <t>USDHRK3M CMPN Curncy</t>
  </si>
  <si>
    <t>USDGEL3M CMPN Curncy</t>
  </si>
  <si>
    <t>USDHUF3M CMPN Curncy</t>
  </si>
  <si>
    <t>USDLTL3M CMPN Curncy</t>
  </si>
  <si>
    <t>USDNOK3M CMPN Curncy</t>
  </si>
  <si>
    <t>USDPLN3M CMPN Curncy</t>
  </si>
  <si>
    <t>USDZAR3M CMPN Curncy</t>
  </si>
  <si>
    <t>USDLKR3M CMPN Curncy</t>
  </si>
  <si>
    <t xml:space="preserve">  </t>
  </si>
  <si>
    <t>JPY3M CMPN Curncy</t>
  </si>
  <si>
    <t>Point Mid</t>
  </si>
  <si>
    <t>Implied Rate Bid (Differential)</t>
  </si>
  <si>
    <t>USDGBP BGN Curncy</t>
  </si>
  <si>
    <t>USDEUR3M CMPN Curncy</t>
  </si>
  <si>
    <t>Implied Deposit Rate Mid</t>
  </si>
  <si>
    <t>Implied Deposit Rate Bid</t>
  </si>
  <si>
    <t>Implied Deposit Rate Ask</t>
  </si>
  <si>
    <t>3 Month Forward Rate Mid</t>
  </si>
  <si>
    <t>3 Month Forward Rate Bid</t>
  </si>
  <si>
    <t>3 Month Forward Rate Ask</t>
  </si>
  <si>
    <t>Points Scale</t>
  </si>
  <si>
    <t>Implied 3 Month Deposit Rate Mid</t>
  </si>
  <si>
    <t>Implied 3 Month Deposit Rate Bid</t>
  </si>
  <si>
    <t>Implied 3 Month Deposit Rate Ask</t>
  </si>
  <si>
    <t>FWD_SCALE</t>
  </si>
  <si>
    <t>USDGBP CMPN Curncy</t>
  </si>
  <si>
    <t>RRN3M BGN Curncy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</si>
</sst>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(* #,##0.00_);_(* \(#,##0.00\);_(* &quot;-&quot;??_);_(@_)"/>
    <numFmt numFmtId="164" formatCode="0.000"/>
    <numFmt numFmtId="165" formatCode="[$-409]dd\-mmm\-yy;@"/>
    <numFmt numFmtId="166" formatCode="0.0000"/>
    <numFmt numFmtId="167" formatCode="0.00000"/>
    <numFmt numFmtId="168" formatCode="0.000000"/>
    <numFmt numFmtId="169" formatCode="0.0000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</cellStyleXfs>
  <cellXfs count="56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1" fillId="0" borderId="0" xfId="0" applyFont="1"/>
    <xf numFmtId="0" fontId="0" fillId="0" borderId="2" xfId="0" applyBorder="1"/>
    <xf numFmtId="0" fontId="0" fillId="0" borderId="3" xfId="0" applyBorder="1"/>
    <xf numFmtId="0" fontId="3" fillId="0" borderId="0" xfId="0" applyFont="1" applyAlignment="1">
      <alignment horizontal="center"/>
    </xf>
    <xf numFmtId="10" fontId="0" fillId="0" borderId="0" xfId="1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Border="1" applyAlignment="1">
      <alignment horizontal="center"/>
    </xf>
    <xf numFmtId="0" fontId="0" fillId="0" borderId="8" xfId="0" applyBorder="1"/>
    <xf numFmtId="15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0" fontId="0" fillId="0" borderId="0" xfId="0" applyBorder="1"/>
    <xf numFmtId="2" fontId="0" fillId="0" borderId="0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15" fontId="1" fillId="0" borderId="0" xfId="0" applyNumberFormat="1" applyFont="1" applyBorder="1" applyAlignment="1">
      <alignment horizontal="center"/>
    </xf>
    <xf numFmtId="165" fontId="1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4" xfId="0" applyFont="1" applyBorder="1"/>
    <xf numFmtId="0" fontId="1" fillId="0" borderId="7" xfId="0" applyFont="1" applyBorder="1"/>
    <xf numFmtId="0" fontId="1" fillId="0" borderId="8" xfId="0" applyFont="1" applyBorder="1" applyAlignment="1">
      <alignment horizontal="center"/>
    </xf>
    <xf numFmtId="0" fontId="1" fillId="0" borderId="9" xfId="0" applyFont="1" applyBorder="1"/>
    <xf numFmtId="2" fontId="1" fillId="0" borderId="0" xfId="0" applyNumberFormat="1" applyFont="1" applyBorder="1" applyAlignment="1">
      <alignment horizontal="center"/>
    </xf>
    <xf numFmtId="0" fontId="0" fillId="0" borderId="0" xfId="0" applyAlignment="1">
      <alignment horizontal="left" vertical="center"/>
    </xf>
    <xf numFmtId="2" fontId="0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0" fillId="0" borderId="1" xfId="0" applyBorder="1"/>
    <xf numFmtId="2" fontId="1" fillId="0" borderId="0" xfId="0" applyNumberFormat="1" applyFont="1" applyAlignment="1">
      <alignment horizontal="center"/>
    </xf>
    <xf numFmtId="0" fontId="0" fillId="0" borderId="8" xfId="0" applyBorder="1" applyAlignment="1">
      <alignment horizontal="center"/>
    </xf>
    <xf numFmtId="166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67" fontId="0" fillId="0" borderId="0" xfId="0" applyNumberFormat="1"/>
    <xf numFmtId="166" fontId="0" fillId="0" borderId="0" xfId="0" applyNumberFormat="1"/>
    <xf numFmtId="168" fontId="0" fillId="0" borderId="0" xfId="0" applyNumberFormat="1" applyAlignment="1">
      <alignment horizontal="center"/>
    </xf>
    <xf numFmtId="166" fontId="0" fillId="0" borderId="0" xfId="1" applyNumberFormat="1" applyFont="1" applyAlignment="1">
      <alignment horizontal="center"/>
    </xf>
    <xf numFmtId="0" fontId="1" fillId="0" borderId="0" xfId="0" applyFont="1" applyAlignment="1">
      <alignment horizontal="left"/>
    </xf>
    <xf numFmtId="169" fontId="0" fillId="0" borderId="0" xfId="0" applyNumberFormat="1"/>
    <xf numFmtId="0" fontId="5" fillId="0" borderId="0" xfId="0" applyFont="1"/>
    <xf numFmtId="0" fontId="5" fillId="0" borderId="0" xfId="0" applyFont="1" applyBorder="1" applyAlignment="1">
      <alignment horizontal="center"/>
    </xf>
    <xf numFmtId="15" fontId="5" fillId="0" borderId="0" xfId="0" applyNumberFormat="1" applyFont="1" applyBorder="1" applyAlignment="1">
      <alignment horizontal="center"/>
    </xf>
    <xf numFmtId="165" fontId="5" fillId="0" borderId="0" xfId="0" applyNumberFormat="1" applyFont="1" applyBorder="1" applyAlignment="1">
      <alignment horizontal="center"/>
    </xf>
    <xf numFmtId="1" fontId="5" fillId="0" borderId="0" xfId="0" applyNumberFormat="1" applyFont="1" applyBorder="1" applyAlignment="1">
      <alignment horizontal="center"/>
    </xf>
    <xf numFmtId="0" fontId="5" fillId="0" borderId="0" xfId="0" applyFont="1" applyBorder="1"/>
    <xf numFmtId="0" fontId="5" fillId="0" borderId="0" xfId="0" applyFont="1" applyAlignment="1">
      <alignment horizontal="center"/>
    </xf>
    <xf numFmtId="2" fontId="5" fillId="0" borderId="0" xfId="0" applyNumberFormat="1" applyFont="1" applyBorder="1" applyAlignment="1">
      <alignment horizontal="center"/>
    </xf>
    <xf numFmtId="2" fontId="5" fillId="0" borderId="8" xfId="0" applyNumberFormat="1" applyFont="1" applyBorder="1" applyAlignment="1">
      <alignment horizontal="center"/>
    </xf>
    <xf numFmtId="43" fontId="0" fillId="0" borderId="0" xfId="2" applyFont="1" applyAlignment="1">
      <alignment horizontal="center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>
        <v>5.9499999999999997E-2</v>
        <stp/>
        <stp>##V3_BDPV12</stp>
        <stp>CCN3M BGN Curncy</stp>
        <stp>PX_BID_POINTS</stp>
        <stp>[FX_Implied_Actual_Rate.xlsx]Calculations!R3C15_x0000__x0000_</stp>
        <tr r="O3" s="3"/>
      </tp>
      <tp>
        <v>0.02</v>
        <stp/>
        <stp>##V3_BDPV12</stp>
        <stp>JYDRC CMPN Curncy</stp>
        <stp>PX_BID</stp>
        <stp>[FX_Implied_Actual_Rate.xlsx]Calculations!R16C29_x0000_3</stp>
        <tr r="AC16" s="3"/>
      </tp>
      <tp>
        <v>5.19</v>
        <stp/>
        <stp>##V3_BDPV12</stp>
        <stp>BCDRC BDSR Curncy</stp>
        <stp>PX_BID</stp>
        <stp>[FX_Implied_Actual_Rate.xlsx]Calculations!R14C12_x0000_3</stp>
        <tr r="L14" s="3"/>
      </tp>
      <tp>
        <v>5.12</v>
        <stp/>
        <stp>##V3_BDPV12</stp>
        <stp>CHDRC BDSR Curncy</stp>
        <stp>PX_ASK</stp>
        <stp>[FX_Implied_Actual_Rate.xlsx]Calculations!R11C13_x0000_3</stp>
        <tr r="M11" s="3"/>
      </tp>
      <tp>
        <v>1.24</v>
        <stp/>
        <stp>##V3_BDPV12</stp>
        <stp>CDDRC BDSR Curncy</stp>
        <stp>PX_ASK</stp>
        <stp>[FX_Implied_Actual_Rate.xlsx]Calculations!R19C13_x0000_3</stp>
        <tr r="M19" s="3"/>
      </tp>
      <tp>
        <v>5.31</v>
        <stp/>
        <stp>##V3_BDPV12</stp>
        <stp>BCDRC BDSR Curncy</stp>
        <stp>PX_ASK</stp>
        <stp>[FX_Implied_Actual_Rate.xlsx]Calculations!R14C13_x0000_3</stp>
        <tr r="M14" s="3"/>
      </tp>
      <tp>
        <v>4.9000000000000004</v>
        <stp/>
        <stp>##V3_BDPV12</stp>
        <stp>CHDRC BDSR Curncy</stp>
        <stp>PX_BID</stp>
        <stp>[FX_Implied_Actual_Rate.xlsx]Calculations!R11C12_x0000_3</stp>
        <tr r="L11" s="3"/>
      </tp>
      <tp>
        <v>1.0900000000000001</v>
        <stp/>
        <stp>##V3_BDPV12</stp>
        <stp>CDDRC BDSR Curncy</stp>
        <stp>PX_BID</stp>
        <stp>[FX_Implied_Actual_Rate.xlsx]Calculations!R19C12_x0000_3</stp>
        <tr r="L19" s="3"/>
      </tp>
      <tp>
        <v>4</v>
        <stp/>
        <stp>##V3_BDPV12</stp>
        <stp>USDAUD BGN Curncy</stp>
        <stp>FWD_SCALE</stp>
        <stp>[FX_Implied_Actual_Rate.xlsx]Scale!R10C3_x0000_!</stp>
        <tr r="C10" s="5"/>
      </tp>
      <tp>
        <v>4</v>
        <stp/>
        <stp>##V3_BDPV12</stp>
        <stp>USDARS BGN Curncy</stp>
        <stp>FWD_SCALE</stp>
        <stp>[FX_Implied_Actual_Rate.xlsx]Scale!R17C3_x0000_!</stp>
        <tr r="C17" s="5"/>
      </tp>
      <tp>
        <v>1136.73</v>
        <stp/>
        <stp>##V3_BDPV12</stp>
        <stp>MXN3M BGN Curncy</stp>
        <stp>PX_ASK_POINTS</stp>
        <stp>[FX_Implied_Actual_Rate.xlsx]Calculations!R9C16_x0000__x0000_</stp>
        <tr r="P9" s="3"/>
      </tp>
      <tp>
        <v>28.562999999999999</v>
        <stp/>
        <stp>##V3_BDPV12</stp>
        <stp>APDRC BDSR Curncy</stp>
        <stp>PX_ASK</stp>
        <stp>[FX_Implied_Actual_Rate.xlsx]Calculations!R17C13_x0000_3</stp>
        <tr r="M17" s="3"/>
      </tp>
      <tp>
        <v>2.1</v>
        <stp/>
        <stp>##V3_BDPV12</stp>
        <stp>BLDRC CMPN Curncy</stp>
        <stp>PX_ASK</stp>
        <stp>[FX_Implied_Actual_Rate.xlsx]Calculations!R18C13_x0000_3</stp>
        <tr r="M18" s="3"/>
      </tp>
      <tp>
        <v>3.22</v>
        <stp/>
        <stp>##V3_BDPV12</stp>
        <stp>ADDRC BDSR Curncy</stp>
        <stp>PX_ASK</stp>
        <stp>[FX_Implied_Actual_Rate.xlsx]Calculations!R10C13_x0000_3</stp>
        <tr r="M10" s="3"/>
      </tp>
      <tp>
        <v>3.6436000000000002</v>
        <stp/>
        <stp>##V3_BDPV12</stp>
        <stp>CLDRC BDSR Curncy</stp>
        <stp>PX_BID</stp>
        <stp>[FX_Implied_Actual_Rate.xlsx]Calculations!R20C12_x0000_3</stp>
        <tr r="L20" s="3"/>
      </tp>
      <tp>
        <v>4</v>
        <stp/>
        <stp>##V3_BDPV12</stp>
        <stp>USDBRL BGN Curncy</stp>
        <stp>FWD_SCALE</stp>
        <stp>[FX_Implied_Actual_Rate.xlsx]Scale!R14C3_x0000_!</stp>
        <tr r="C14" s="5"/>
      </tp>
      <tp>
        <v>4</v>
        <stp/>
        <stp>##V3_BDPV12</stp>
        <stp>USDBGN BGN Curncy</stp>
        <stp>FWD_SCALE</stp>
        <stp>[FX_Implied_Actual_Rate.xlsx]Scale!R18C3_x0000_!</stp>
        <tr r="C18" s="5"/>
      </tp>
      <tp>
        <v>26.687999999999999</v>
        <stp/>
        <stp>##V3_BDPV12</stp>
        <stp>APDRC BDSR Curncy</stp>
        <stp>PX_BID</stp>
        <stp>[FX_Implied_Actual_Rate.xlsx]Calculations!R17C12_x0000_3</stp>
        <tr r="L17" s="3"/>
      </tp>
      <tp>
        <v>1</v>
        <stp/>
        <stp>##V3_BDPV12</stp>
        <stp>BLDRC CMPN Curncy</stp>
        <stp>PX_BID</stp>
        <stp>[FX_Implied_Actual_Rate.xlsx]Calculations!R18C12_x0000_3</stp>
        <tr r="L18" s="3"/>
      </tp>
      <tp>
        <v>3.07</v>
        <stp/>
        <stp>##V3_BDPV12</stp>
        <stp>ADDRC BDSR Curncy</stp>
        <stp>PX_BID</stp>
        <stp>[FX_Implied_Actual_Rate.xlsx]Calculations!R10C12_x0000_3</stp>
        <tr r="L10" s="3"/>
      </tp>
      <tp>
        <v>3.9782000000000002</v>
        <stp/>
        <stp>##V3_BDPV12</stp>
        <stp>CLDRC BDSR Curncy</stp>
        <stp>PX_ASK</stp>
        <stp>[FX_Implied_Actual_Rate.xlsx]Calculations!R20C13_x0000_3</stp>
        <tr r="M20" s="3"/>
      </tp>
      <tp>
        <v>4</v>
        <stp/>
        <stp>##V3_BDPV12</stp>
        <stp>USDCAD BGN Curncy</stp>
        <stp>FWD_SCALE</stp>
        <stp>[FX_Implied_Actual_Rate.xlsx]Scale!R19C3_x0000_!</stp>
        <tr r="C19" s="5"/>
      </tp>
      <tp>
        <v>0</v>
        <stp/>
        <stp>##V3_BDPV12</stp>
        <stp>USDCLP BGN Curncy</stp>
        <stp>FWD_SCALE</stp>
        <stp>[FX_Implied_Actual_Rate.xlsx]Scale!R11C3_x0000_!</stp>
        <tr r="C11" s="5"/>
      </tp>
      <tp>
        <v>0</v>
        <stp/>
        <stp>##V3_BDPV12</stp>
        <stp>USDCOP BGN Curncy</stp>
        <stp>FWD_SCALE</stp>
        <stp>[FX_Implied_Actual_Rate.xlsx]Scale!R20C3_x0000_!</stp>
        <tr r="C20" s="5"/>
      </tp>
      <tp>
        <v>8.4</v>
        <stp/>
        <stp>##V3_BDPV12</stp>
        <stp>EPDRC BDSR Curncy</stp>
        <stp>PX_BID</stp>
        <stp>[FX_Implied_Actual_Rate.xlsx]Calculations!R22C12_x0000_3</stp>
        <tr r="L22" s="3"/>
      </tp>
      <tp>
        <v>0.43</v>
        <stp/>
        <stp>##V3_BDPV12</stp>
        <stp>SGD3M BGN Curncy</stp>
        <stp>PX_BID_POINTS</stp>
        <stp>[FX_Implied_Actual_Rate.xlsx]Calculations!R4C15_x0000__x0000_</stp>
        <tr r="O4" s="3"/>
      </tp>
      <tp t="s">
        <v>#N/A N/A</v>
        <stp/>
        <stp>##V3_BDPV12</stp>
        <stp>GEDRC CMPN Curncy</stp>
        <stp>PX_ASK</stp>
        <stp>[FX_Implied_Actual_Rate.xlsx]Calculations!R23C13_x0000_3</stp>
        <tr r="M23" s="3"/>
      </tp>
      <tp>
        <v>8.6</v>
        <stp/>
        <stp>##V3_BDPV12</stp>
        <stp>EPDRC BDSR Curncy</stp>
        <stp>PX_ASK</stp>
        <stp>[FX_Implied_Actual_Rate.xlsx]Calculations!R22C13_x0000_3</stp>
        <tr r="M22" s="3"/>
      </tp>
      <tp t="s">
        <v>#N/A N/A</v>
        <stp/>
        <stp>##V3_BDPV12</stp>
        <stp>GEDRC CMPN Curncy</stp>
        <stp>PX_BID</stp>
        <stp>[FX_Implied_Actual_Rate.xlsx]Calculations!R23C12_x0000_3</stp>
        <tr r="L23" s="3"/>
      </tp>
      <tp>
        <v>4</v>
        <stp/>
        <stp>##V3_BDPV12</stp>
        <stp>USDEGP BGN Curncy</stp>
        <stp>FWD_SCALE</stp>
        <stp>[FX_Implied_Actual_Rate.xlsx]Scale!R22C3_x0000_!</stp>
        <tr r="C22" s="5"/>
      </tp>
      <tp>
        <v>4</v>
        <stp/>
        <stp>##V3_BDPV12</stp>
        <stp>USDGEL BGN Curncy</stp>
        <stp>FWD_SCALE</stp>
        <stp>[FX_Implied_Actual_Rate.xlsx]Scale!R23C3_x0000_!</stp>
        <tr r="C23" s="5"/>
      </tp>
      <tp>
        <v>5.04</v>
        <stp/>
        <stp>##V3_BDPV12</stp>
        <stp>HFDRC BDSR Curncy</stp>
        <stp>PX_ASK</stp>
        <stp>[FX_Implied_Actual_Rate.xlsx]Calculations!R24C13_x0000_3</stp>
        <tr r="M24" s="3"/>
      </tp>
      <tp>
        <v>7</v>
        <stp/>
        <stp>##V3_BDPV12</stp>
        <stp>KTDRC CMPN Curncy</stp>
        <stp>PX_ASK</stp>
        <stp>[FX_Implied_Actual_Rate.xlsx]Calculations!R25C13_x0000_3</stp>
        <tr r="M25" s="3"/>
      </tp>
      <tp>
        <v>2</v>
        <stp/>
        <stp>##V3_BDPV12</stp>
        <stp>USDHUF BGN Curncy</stp>
        <stp>FWD_SCALE</stp>
        <stp>[FX_Implied_Actual_Rate.xlsx]Scale!R24C3_x0000_!</stp>
        <tr r="C24" s="5"/>
      </tp>
      <tp>
        <v>4</v>
        <stp/>
        <stp>##V3_BDPV12</stp>
        <stp>USDHRK BGN Curncy</stp>
        <stp>FWD_SCALE</stp>
        <stp>[FX_Implied_Actual_Rate.xlsx]Scale!R21C3_x0000_!</stp>
        <tr r="C21" s="5"/>
      </tp>
      <tp>
        <v>4.6900000000000004</v>
        <stp/>
        <stp>##V3_BDPV12</stp>
        <stp>HFDRC BDSR Curncy</stp>
        <stp>PX_BID</stp>
        <stp>[FX_Implied_Actual_Rate.xlsx]Calculations!R24C12_x0000_3</stp>
        <tr r="L24" s="3"/>
      </tp>
      <tp>
        <v>0.17</v>
        <stp/>
        <stp>##V3_BDPV12</stp>
        <stp>JYDRC CMPN Curncy</stp>
        <stp>PX_ASK</stp>
        <stp>[FX_Implied_Actual_Rate.xlsx]Calculations!R16C30_x0000_3</stp>
        <tr r="AD16" s="3"/>
      </tp>
      <tp>
        <v>4.4000000000000004</v>
        <stp/>
        <stp>##V3_BDPV12</stp>
        <stp>KTDRC CMPN Curncy</stp>
        <stp>PX_BID</stp>
        <stp>[FX_Implied_Actual_Rate.xlsx]Calculations!R25C12_x0000_3</stp>
        <tr r="L25" s="3"/>
      </tp>
      <tp>
        <v>0</v>
        <stp/>
        <stp>##V3_BDPV12</stp>
        <stp>USDIDR BGN Curncy</stp>
        <stp>FWD_SCALE</stp>
        <stp>[FX_Implied_Actual_Rate.xlsx]Scale!R12C3_x0000_!</stp>
        <tr r="C12" s="5"/>
      </tp>
      <tp>
        <v>2</v>
        <stp/>
        <stp>##V3_BDPV12</stp>
        <stp>USDINR BGN Curncy</stp>
        <stp>FWD_SCALE</stp>
        <stp>[FX_Implied_Actual_Rate.xlsx]Scale!R15C3_x0000_!</stp>
        <tr r="C15" s="5"/>
      </tp>
      <tp>
        <v>8.85</v>
        <stp/>
        <stp>##V3_BDPV12</stp>
        <stp>IRDRC BDSR Curncy</stp>
        <stp>PX_ASK</stp>
        <stp>[FX_Implied_Actual_Rate.xlsx]Calculations!R15C13_x0000_3</stp>
        <tr r="M15" s="3"/>
      </tp>
      <tp t="s">
        <v>#N/A N/A</v>
        <stp/>
        <stp>##V3_BDPV12</stp>
        <stp>NNDRC CMPN Curncy</stp>
        <stp>PX_BID</stp>
        <stp>[FX_Implied_Actual_Rate.xlsx]Calculations!R49C12_x0000_3</stp>
        <tr r="L49" s="3"/>
      </tp>
      <tp>
        <v>4.8499999999999996</v>
        <stp/>
        <stp>##V3_BDPV12</stp>
        <stp>IHDRC BDSR Curncy</stp>
        <stp>PX_ASK</stp>
        <stp>[FX_Implied_Actual_Rate.xlsx]Calculations!R12C13_x0000_3</stp>
        <tr r="M12" s="3"/>
      </tp>
      <tp>
        <v>0.9</v>
        <stp/>
        <stp>##V3_BDPV12</stp>
        <stp>HRDRC CMPN Curncy</stp>
        <stp>PX_BID</stp>
        <stp>[FX_Implied_Actual_Rate.xlsx]Calculations!R21C12_x0000_3</stp>
        <tr r="L21" s="3"/>
      </tp>
      <tp>
        <v>-6.66</v>
        <stp/>
        <stp>##V3_BDPV12</stp>
        <stp>JPY3M BGN Curncy</stp>
        <stp>PX_ASK_POINTS</stp>
        <stp>[FX_Implied_Actual_Rate.xlsx]Calculations!R2C16_x0000__x0000_</stp>
        <tr r="P2" s="3"/>
      </tp>
      <tp>
        <v>1.2276</v>
        <stp/>
        <stp>##V3_BDPV12</stp>
        <stp>USDSGD BGN Curncy</stp>
        <stp>PX_LAST</stp>
        <stp>[FX_Implied_Actual_Rate.xlsx]Graph!R5C12_x0000_!</stp>
        <tr r="L5" s="2"/>
      </tp>
      <tp>
        <v>8.8000000000000007</v>
        <stp/>
        <stp>##V3_BDPV12</stp>
        <stp>IRDRC BDSR Curncy</stp>
        <stp>PX_BID</stp>
        <stp>[FX_Implied_Actual_Rate.xlsx]Calculations!R15C12_x0000_3</stp>
        <tr r="L15" s="3"/>
      </tp>
      <tp t="s">
        <v>#N/A N/A</v>
        <stp/>
        <stp>##V3_BDPV12</stp>
        <stp>NNDRC CMPN Curncy</stp>
        <stp>PX_ASK</stp>
        <stp>[FX_Implied_Actual_Rate.xlsx]Calculations!R49C13_x0000_3</stp>
        <tr r="M49" s="3"/>
      </tp>
      <tp>
        <v>4.7</v>
        <stp/>
        <stp>##V3_BDPV12</stp>
        <stp>IHDRC BDSR Curncy</stp>
        <stp>PX_BID</stp>
        <stp>[FX_Implied_Actual_Rate.xlsx]Calculations!R12C12_x0000_3</stp>
        <tr r="L12" s="3"/>
      </tp>
      <tp>
        <v>1.4</v>
        <stp/>
        <stp>##V3_BDPV12</stp>
        <stp>HRDRC CMPN Curncy</stp>
        <stp>PX_ASK</stp>
        <stp>[FX_Implied_Actual_Rate.xlsx]Calculations!R21C13_x0000_3</stp>
        <tr r="M21" s="3"/>
      </tp>
      <tp>
        <v>3.18</v>
        <stp/>
        <stp>##V3_BDPV12</stp>
        <stp>MRDRC BDSR Curncy</stp>
        <stp>PX_BID</stp>
        <stp>[FX_Implied_Actual_Rate.xlsx]Calculations!R27C12_x0000_3</stp>
        <tr r="L27" s="3"/>
      </tp>
      <tp>
        <v>4</v>
        <stp/>
        <stp>##V3_BDPV12</stp>
        <stp>USDLTL BGN Curncy</stp>
        <stp>FWD_SCALE</stp>
        <stp>[FX_Implied_Actual_Rate.xlsx]Scale!R26C3_x0000_!</stp>
        <tr r="C26" s="5"/>
      </tp>
      <tp>
        <v>0</v>
        <stp/>
        <stp>##V3_BDPV12</stp>
        <stp>USDLKR BGN Curncy</stp>
        <stp>FWD_SCALE</stp>
        <stp>[FX_Implied_Actual_Rate.xlsx]Scale!R33C3_x0000_!</stp>
        <tr r="C33" s="5"/>
      </tp>
      <tp>
        <v>1.3301000000000001</v>
        <stp/>
        <stp>##V3_BDPV12</stp>
        <stp>EURUSD BGN Curncy</stp>
        <stp>PX_LAST</stp>
        <stp>[FX_Implied_Actual_Rate.xlsx]Graph!R6C12_x0000_!</stp>
        <tr r="L6" s="2"/>
      </tp>
      <tp>
        <v>5.85</v>
        <stp/>
        <stp>##V3_BDPV12</stp>
        <stp>KWN3M BGN Curncy</stp>
        <stp>PX_ASK_POINTS</stp>
        <stp>[FX_Implied_Actual_Rate.xlsx]Calculations!R8C16_x0000__x0000_</stp>
        <tr r="P8" s="3"/>
      </tp>
      <tp>
        <v>3.23</v>
        <stp/>
        <stp>##V3_BDPV12</stp>
        <stp>MRDRC BDSR Curncy</stp>
        <stp>PX_ASK</stp>
        <stp>[FX_Implied_Actual_Rate.xlsx]Calculations!R27C13_x0000_3</stp>
        <tr r="M27" s="3"/>
      </tp>
      <tp>
        <v>5.85</v>
        <stp/>
        <stp>##V3_BDPV12</stp>
        <stp>KWN3M BGN Curncy</stp>
        <stp>PX_ASK_POINTS</stp>
        <stp>[FX_Implied_Actual_Rate.xlsx]Calculations!R6C16_x0000__x0000_</stp>
        <tr r="P6" s="3"/>
      </tp>
      <tp>
        <v>0.75132690000000002</v>
        <stp/>
        <stp>##V3_BDPV12</stp>
        <stp>USDEUR CMPN Curncy</stp>
        <stp>FWD_RT_3MO</stp>
        <stp>[FX_Implied_Actual_Rate.xlsx]Calculations!R5C9_x0000__x0000_</stp>
        <tr r="I5" s="3"/>
      </tp>
      <tp>
        <v>4</v>
        <stp/>
        <stp>##V3_BDPV12</stp>
        <stp>USDMYR BGN Curncy</stp>
        <stp>FWD_SCALE</stp>
        <stp>[FX_Implied_Actual_Rate.xlsx]Scale!R27C3_x0000_!</stp>
        <tr r="C27" s="5"/>
      </tp>
      <tp>
        <v>1</v>
        <stp/>
        <stp>##V3_BDPV12</stp>
        <stp>LHDRC CMPN Curncy</stp>
        <stp>PX_BID</stp>
        <stp>[FX_Implied_Actual_Rate.xlsx]Calculations!R26C12_x0000_3</stp>
        <tr r="L26" s="3"/>
      </tp>
      <tp>
        <v>1.8542000000000001</v>
        <stp/>
        <stp>##V3_BDPV12</stp>
        <stp>NKDRC BDSR Curncy</stp>
        <stp>PX_ASK</stp>
        <stp>[FX_Implied_Actual_Rate.xlsx]Calculations!R28C13_x0000_3</stp>
        <tr r="M28" s="3"/>
      </tp>
      <tp>
        <v>4</v>
        <stp/>
        <stp>##V3_BDPV12</stp>
        <stp>USDNOK BGN Curncy</stp>
        <stp>FWD_SCALE</stp>
        <stp>[FX_Implied_Actual_Rate.xlsx]Scale!R28C3_x0000_!</stp>
        <tr r="C28" s="5"/>
      </tp>
      <tp>
        <v>1.95</v>
        <stp/>
        <stp>##V3_BDPV12</stp>
        <stp>LHDRC CMPN Curncy</stp>
        <stp>PX_ASK</stp>
        <stp>[FX_Implied_Actual_Rate.xlsx]Calculations!R26C13_x0000_3</stp>
        <tr r="M26" s="3"/>
      </tp>
      <tp>
        <v>1.6489</v>
        <stp/>
        <stp>##V3_BDPV12</stp>
        <stp>NKDRC BDSR Curncy</stp>
        <stp>PX_BID</stp>
        <stp>[FX_Implied_Actual_Rate.xlsx]Calculations!R28C12_x0000_3</stp>
        <tr r="L28" s="3"/>
      </tp>
      <tp>
        <v>8.91</v>
        <stp/>
        <stp>##V3_BDPV12</stp>
        <stp>EUR3M BGN Curncy</stp>
        <stp>PX_ASK_POINTS</stp>
        <stp>[FX_Implied_Actual_Rate.xlsx]Calculations!R5C16_x0000__x0000_</stp>
        <tr r="P5" s="3"/>
      </tp>
      <tp>
        <v>8.91</v>
        <stp/>
        <stp>##V3_BDPV12</stp>
        <stp>EUR3M BGN Curncy</stp>
        <stp>PX_ASK_POINTS</stp>
        <stp>[FX_Implied_Actual_Rate.xlsx]Calculations!R7C16_x0000__x0000_</stp>
        <tr r="P7" s="3"/>
      </tp>
      <tp>
        <v>2</v>
        <stp/>
        <stp>##V3_BDPV12</stp>
        <stp>USDKZT CMPN Curncy</stp>
        <stp>FWD_SCALE</stp>
        <stp>[FX_Implied_Actual_Rate.xlsx]Scale!R25C3_x0000_!</stp>
        <tr r="C25" s="5"/>
      </tp>
      <tp>
        <v>13</v>
        <stp/>
        <stp>##V3_BDPV12</stp>
        <stp>SLDRC CMPN Curncy</stp>
        <stp>PX_BID</stp>
        <stp>[FX_Implied_Actual_Rate.xlsx]Calculations!R33C12_x0000_3</stp>
        <tr r="L33" s="3"/>
      </tp>
      <tp>
        <v>6.05</v>
        <stp/>
        <stp>##V3_BDPV12</stp>
        <stp>RRDRC BDSR Curncy</stp>
        <stp>PX_BID</stp>
        <stp>[FX_Implied_Actual_Rate.xlsx]Calculations!R13C12_x0000_3</stp>
        <tr r="L13" s="3"/>
      </tp>
      <tp>
        <v>-1.325</v>
        <stp/>
        <stp>##V3_BDPV12</stp>
        <stp>PPDRC BDSR Curncy</stp>
        <stp>PX_BID</stp>
        <stp>[FX_Implied_Actual_Rate.xlsx]Calculations!R30C12_x0000_3</stp>
        <tr r="L30" s="3"/>
      </tp>
      <tp>
        <v>3.87</v>
        <stp/>
        <stp>##V3_BDPV12</stp>
        <stp>PZDRC BDSR Curncy</stp>
        <stp>PX_BID</stp>
        <stp>[FX_Implied_Actual_Rate.xlsx]Calculations!R31C12_x0000_3</stp>
        <tr r="L31" s="3"/>
      </tp>
      <tp>
        <v>4.3475999999999999</v>
        <stp/>
        <stp>##V3_BDPV12</stp>
        <stp>PSDRC BDSR Curncy</stp>
        <stp>PX_ASK</stp>
        <stp>[FX_Implied_Actual_Rate.xlsx]Calculations!R29C13_x0000_3</stp>
        <tr r="M29" s="3"/>
      </tp>
      <tp>
        <v>4</v>
        <stp/>
        <stp>##V3_BDPV12</stp>
        <stp>USDPEN BGN Curncy</stp>
        <stp>FWD_SCALE</stp>
        <stp>[FX_Implied_Actual_Rate.xlsx]Scale!R29C3_x0000_!</stp>
        <tr r="C29" s="5"/>
      </tp>
      <tp>
        <v>4</v>
        <stp/>
        <stp>##V3_BDPV12</stp>
        <stp>USDPLN BGN Curncy</stp>
        <stp>FWD_SCALE</stp>
        <stp>[FX_Implied_Actual_Rate.xlsx]Scale!R31C3_x0000_!</stp>
        <tr r="C31" s="5"/>
      </tp>
      <tp>
        <v>0</v>
        <stp/>
        <stp>##V3_BDPV12</stp>
        <stp>USDPHP BGN Curncy</stp>
        <stp>FWD_SCALE</stp>
        <stp>[FX_Implied_Actual_Rate.xlsx]Scale!R30C3_x0000_!</stp>
        <tr r="C30" s="5"/>
      </tp>
      <tp>
        <v>-1.325</v>
        <stp/>
        <stp>##V3_BDPV12</stp>
        <stp>PPDRC BDSR Curncy</stp>
        <stp>PX_ASK</stp>
        <stp>[FX_Implied_Actual_Rate.xlsx]Calculations!R30C13_x0000_3</stp>
        <tr r="M30" s="3"/>
      </tp>
      <tp>
        <v>6.15</v>
        <stp/>
        <stp>##V3_BDPV12</stp>
        <stp>RRDRC BDSR Curncy</stp>
        <stp>PX_ASK</stp>
        <stp>[FX_Implied_Actual_Rate.xlsx]Calculations!R13C13_x0000_3</stp>
        <tr r="M13" s="3"/>
      </tp>
      <tp>
        <v>13.25</v>
        <stp/>
        <stp>##V3_BDPV12</stp>
        <stp>SLDRC CMPN Curncy</stp>
        <stp>PX_ASK</stp>
        <stp>[FX_Implied_Actual_Rate.xlsx]Calculations!R33C13_x0000_3</stp>
        <tr r="M33" s="3"/>
      </tp>
      <tp>
        <v>4.3475999999999999</v>
        <stp/>
        <stp>##V3_BDPV12</stp>
        <stp>PSDRC BDSR Curncy</stp>
        <stp>PX_BID</stp>
        <stp>[FX_Implied_Actual_Rate.xlsx]Calculations!R29C12_x0000_3</stp>
        <tr r="L29" s="3"/>
      </tp>
      <tp>
        <v>4.07</v>
        <stp/>
        <stp>##V3_BDPV12</stp>
        <stp>PZDRC BDSR Curncy</stp>
        <stp>PX_ASK</stp>
        <stp>[FX_Implied_Actual_Rate.xlsx]Calculations!R31C13_x0000_3</stp>
        <tr r="M31" s="3"/>
      </tp>
      <tp>
        <v>5.05</v>
        <stp/>
        <stp>##V3_BDPV12</stp>
        <stp>SADRC BDSR Curncy</stp>
        <stp>PX_ASK</stp>
        <stp>[FX_Implied_Actual_Rate.xlsx]Calculations!R32C13_x0000_3</stp>
        <tr r="M32" s="3"/>
      </tp>
      <tp>
        <v>4</v>
        <stp/>
        <stp>##V3_BDPV12</stp>
        <stp>USDRUB BGN Curncy</stp>
        <stp>FWD_SCALE</stp>
        <stp>[FX_Implied_Actual_Rate.xlsx]Scale!R13C3_x0000_!</stp>
        <tr r="C13" s="5"/>
      </tp>
      <tp>
        <v>89.87</v>
        <stp/>
        <stp>##V3_BDPV12</stp>
        <stp>USDJPY BGN Curncy</stp>
        <stp>PX_ASK</stp>
        <stp>[FX_Implied_Actual_Rate.xlsx]Calculations!R13C30_x0000_3</stp>
        <tr r="AD13" s="3"/>
      </tp>
      <tp>
        <v>2.5249999999999999</v>
        <stp/>
        <stp>##V3_BDPV12</stp>
        <stp>SADRC BDSR Curncy</stp>
        <stp>PX_BID</stp>
        <stp>[FX_Implied_Actual_Rate.xlsx]Calculations!R32C12_x0000_3</stp>
        <tr r="L32" s="3"/>
      </tp>
      <tp>
        <v>-6.94</v>
        <stp/>
        <stp>##V3_BDPV12</stp>
        <stp>JPY3M BGN Curncy</stp>
        <stp>PX_BID_POINTS</stp>
        <stp>[FX_Implied_Actual_Rate.xlsx]Calculations!R2C15_x0000__x0000_</stp>
        <tr r="O2" s="3"/>
      </tp>
      <tp>
        <v>5.25</v>
        <stp/>
        <stp>##V3_BDPV12</stp>
        <stp>KWN3M BGN Curncy</stp>
        <stp>PX_BID_POINTS</stp>
        <stp>[FX_Implied_Actual_Rate.xlsx]Calculations!R6C15_x0000__x0000_</stp>
        <tr r="O6" s="3"/>
      </tp>
      <tp>
        <v>7.5</v>
        <stp/>
        <stp>##V3_BDPV12</stp>
        <stp>VDDRC CMPN Curncy</stp>
        <stp>PX_ASK</stp>
        <stp>[FX_Implied_Actual_Rate.xlsx]Calculations!R35C13_x0000_3</stp>
        <tr r="M35" s="3"/>
      </tp>
      <tp>
        <v>5.25</v>
        <stp/>
        <stp>##V3_BDPV12</stp>
        <stp>KWN3M BGN Curncy</stp>
        <stp>PX_BID_POINTS</stp>
        <stp>[FX_Implied_Actual_Rate.xlsx]Calculations!R8C15_x0000__x0000_</stp>
        <tr r="O8" s="3"/>
      </tp>
      <tp>
        <v>4</v>
        <stp/>
        <stp>##V3_BDPV12</stp>
        <stp>USDTRY BGN Curncy</stp>
        <stp>FWD_SCALE</stp>
        <stp>[FX_Implied_Actual_Rate.xlsx]Scale!R16C3_x0000_!</stp>
        <tr r="C16" s="5"/>
      </tp>
      <tp>
        <v>5.5</v>
        <stp/>
        <stp>##V3_BDPV12</stp>
        <stp>VDDRC CMPN Curncy</stp>
        <stp>PX_BID</stp>
        <stp>[FX_Implied_Actual_Rate.xlsx]Calculations!R35C12_x0000_3</stp>
        <tr r="L35" s="3"/>
      </tp>
      <tp>
        <v>4</v>
        <stp/>
        <stp>##V3_BDPV12</stp>
        <stp>USDUAH BGN Curncy</stp>
        <stp>FWD_SCALE</stp>
        <stp>[FX_Implied_Actual_Rate.xlsx]Scale!R34C3_x0000_!</stp>
        <tr r="C34" s="5"/>
      </tp>
      <tp t="s">
        <v>#N/A N/A</v>
        <stp/>
        <stp>##V3_BDPV12</stp>
        <stp>UKDRC CMPN Curncy</stp>
        <stp>PX_BID</stp>
        <stp>[FX_Implied_Actual_Rate.xlsx]Calculations!R34C12_x0000_3</stp>
        <tr r="L34" s="3"/>
      </tp>
      <tp>
        <v>5.75</v>
        <stp/>
        <stp>##V3_BDPV12</stp>
        <stp>TYDRC BDSR Curncy</stp>
        <stp>PX_BID</stp>
        <stp>[FX_Implied_Actual_Rate.xlsx]Calculations!R16C12_x0000_3</stp>
        <tr r="L16" s="3"/>
      </tp>
      <tp>
        <v>0.34</v>
        <stp/>
        <stp>##V3_BDPV12</stp>
        <stp>USDRC CMPN Curncy</stp>
        <stp>PX_ASK</stp>
        <stp>[FX_Implied_Actual_Rate.xlsx]Calculations!R15C30_x0000_3</stp>
        <tr r="AD15" s="3"/>
      </tp>
      <tp>
        <v>8.61</v>
        <stp/>
        <stp>##V3_BDPV12</stp>
        <stp>EUR3M BGN Curncy</stp>
        <stp>PX_BID_POINTS</stp>
        <stp>[FX_Implied_Actual_Rate.xlsx]Calculations!R7C15_x0000__x0000_</stp>
        <tr r="O7" s="3"/>
      </tp>
      <tp>
        <v>8.61</v>
        <stp/>
        <stp>##V3_BDPV12</stp>
        <stp>EUR3M BGN Curncy</stp>
        <stp>PX_BID_POINTS</stp>
        <stp>[FX_Implied_Actual_Rate.xlsx]Calculations!R5C15_x0000__x0000_</stp>
        <tr r="O5" s="3"/>
      </tp>
      <tp>
        <v>0</v>
        <stp/>
        <stp>##V3_BDPV12</stp>
        <stp>USDVND BGN Curncy</stp>
        <stp>FWD_SCALE</stp>
        <stp>[FX_Implied_Actual_Rate.xlsx]Scale!R35C3_x0000_!</stp>
        <tr r="C35" s="5"/>
      </tp>
      <tp t="s">
        <v>#N/A N/A</v>
        <stp/>
        <stp>##V3_BDPV12</stp>
        <stp>UKDRC CMPN Curncy</stp>
        <stp>PX_ASK</stp>
        <stp>[FX_Implied_Actual_Rate.xlsx]Calculations!R34C13_x0000_3</stp>
        <tr r="M34" s="3"/>
      </tp>
      <tp>
        <v>6.75</v>
        <stp/>
        <stp>##V3_BDPV12</stp>
        <stp>TYDRC BDSR Curncy</stp>
        <stp>PX_ASK</stp>
        <stp>[FX_Implied_Actual_Rate.xlsx]Calculations!R16C13_x0000_3</stp>
        <tr r="M16" s="3"/>
      </tp>
      <tp>
        <v>89.86</v>
        <stp/>
        <stp>##V3_BDPV12</stp>
        <stp>USDJPY BGN Curncy</stp>
        <stp>PX_LAST</stp>
        <stp>[FX_Implied_Actual_Rate.xlsx]Graph!R4C12_x0000_!</stp>
        <tr r="L4" s="2"/>
      </tp>
      <tp>
        <v>6.2180999999999997</v>
        <stp/>
        <stp>##V3_BDPV12</stp>
        <stp>USDCNY BGN Curncy</stp>
        <stp>PX_LAST</stp>
        <stp>[FX_Implied_Actual_Rate.xlsx]Graph!R8C12_x0000_!</stp>
        <tr r="L8" s="2"/>
      </tp>
      <tp>
        <v>6.1699999999999998E-2</v>
        <stp/>
        <stp>##V3_BDPV12</stp>
        <stp>CCN3M BGN Curncy</stp>
        <stp>PX_ASK_POINTS</stp>
        <stp>[FX_Implied_Actual_Rate.xlsx]Calculations!R3C16_x0000__x0000_</stp>
        <tr r="P3" s="3"/>
      </tp>
      <tp>
        <v>0.17</v>
        <stp/>
        <stp>##V3_BDPV12</stp>
        <stp>JYDRC CMPN Curncy</stp>
        <stp>PX_ask</stp>
        <stp>[FX_Implied_Actual_Rate.xlsx]Graph!R16C19_x0000_R</stp>
        <tr r="S16" s="2"/>
      </tp>
      <tp t="s">
        <v>#N/A Field Not Applicable</v>
        <stp/>
        <stp>##V3_BDPV12</stp>
        <stp>EI858934 Corp</stp>
        <stp>PX_LAST</stp>
        <stp>[FX_Implied_Actual_Rate.xlsx]Graph!R13C11_x0000_R</stp>
        <tr r="K13" s="2"/>
      </tp>
      <tp>
        <v>4</v>
        <stp/>
        <stp>##V3_BDPV12</stp>
        <stp>USDZAR BGN Curncy</stp>
        <stp>FWD_SCALE</stp>
        <stp>[FX_Implied_Actual_Rate.xlsx]Scale!R32C3_x0000_!</stp>
        <tr r="C32" s="5"/>
      </tp>
      <tp>
        <v>1108.27</v>
        <stp/>
        <stp>##V3_BDPV12</stp>
        <stp>MXN3M BGN Curncy</stp>
        <stp>PX_BID_POINTS</stp>
        <stp>[FX_Implied_Actual_Rate.xlsx]Calculations!R9C15_x0000__x0000_</stp>
        <tr r="O9" s="3"/>
      </tp>
      <tp>
        <v>89.85</v>
        <stp/>
        <stp>##V3_BDPV12</stp>
        <stp>USDJPY BGN Curncy</stp>
        <stp>PX_BID</stp>
        <stp>[FX_Implied_Actual_Rate.xlsx]Calculations!R13C29_x0000_3</stp>
        <tr r="AC13" s="3"/>
      </tp>
      <tp>
        <v>1.5880000000000001</v>
        <stp/>
        <stp>##V3_BDPV12</stp>
        <stp>GBPUSD BGN Curncy</stp>
        <stp>PX_LAST</stp>
        <stp>[FX_Implied_Actual_Rate.xlsx]Graph!R9C12_x0000_!</stp>
        <tr r="L9" s="2"/>
      </tp>
      <tp>
        <v>1.17</v>
        <stp/>
        <stp>##V3_BDPV12</stp>
        <stp>SGD3M BGN Curncy</stp>
        <stp>PX_ASK_POINTS</stp>
        <stp>[FX_Implied_Actual_Rate.xlsx]Calculations!R4C16_x0000__x0000_</stp>
        <tr r="P4" s="3"/>
      </tp>
      <tp>
        <v>0.75132690000000002</v>
        <stp/>
        <stp>##V3_BDPV12</stp>
        <stp>USDEUR CMPN Curncy</stp>
        <stp>FWD_RT_3MO</stp>
        <stp>[FX_Implied_Actual_Rate.xlsx]Calculations!R5C10_x0000__x0000_</stp>
        <tr r="J5" s="3"/>
      </tp>
      <tp>
        <v>0.26</v>
        <stp/>
        <stp>##V3_BDPV12</stp>
        <stp>USDRC CMPN Curncy</stp>
        <stp>PX_BID</stp>
        <stp>[FX_Implied_Actual_Rate.xlsx]Calculations!R15C29_x0000_3</stp>
        <tr r="AC15" s="3"/>
      </tp>
      <tp>
        <v>0.75132690000000002</v>
        <stp/>
        <stp>##V3_BDPV12</stp>
        <stp>USDEUR CMPN Curncy</stp>
        <stp>FWD_RT_3MO</stp>
        <stp>[FX_Implied_Actual_Rate.xlsx]Calculations!R5C11_x0000__x0000_</stp>
        <tr r="K5" s="3"/>
      </tp>
    </main>
    <main first="bloomberg.rtd">
      <tp t="e">
        <v>#N/A</v>
        <stp/>
        <stp>##V3_BDPV12</stp>
        <stp/>
        <stp>PX_LAST</stp>
        <stp>[FX_Implied_Actual_Rate.xlsx]Graph!R18C12_x0000_R</stp>
        <tr r="L18" s="2"/>
      </tp>
      <tp t="e">
        <v>#N/A</v>
        <stp/>
        <stp>##V3_BDPV12</stp>
        <stp/>
        <stp>PX_LAST</stp>
        <stp>[FX_Implied_Actual_Rate.xlsx]Graph!R15C12_x0000_R</stp>
        <tr r="L15" s="2"/>
      </tp>
      <tp t="e">
        <v>#N/A</v>
        <stp/>
        <stp>##V3_BDPV12</stp>
        <stp/>
        <stp>PX_LAST</stp>
        <stp>[FX_Implied_Actual_Rate.xlsx]Graph!R14C12_x0000_R</stp>
        <tr r="L14" s="2"/>
      </tp>
      <tp t="e">
        <v>#N/A</v>
        <stp/>
        <stp>##V3_BDPV12</stp>
        <stp/>
        <stp>PX_LAST</stp>
        <stp>[FX_Implied_Actual_Rate.xlsx]Graph!R23C11_x0000_R</stp>
        <tr r="K23" s="2"/>
      </tp>
      <tp t="e">
        <v>#N/A</v>
        <stp/>
        <stp>##V3_BDPV12</stp>
        <stp/>
        <stp>PX_LAST</stp>
        <stp>[FX_Implied_Actual_Rate.xlsx]Graph!R20C12_x0000_R</stp>
        <tr r="L20" s="2"/>
      </tp>
      <tp t="e">
        <v>#N/A</v>
        <stp/>
        <stp>##V3_BDPV12</stp>
        <stp/>
        <stp>PX_LAST</stp>
        <stp>[FX_Implied_Actual_Rate.xlsx]Graph!R23C12_x0000_R</stp>
        <tr r="L23" s="2"/>
      </tp>
      <tp>
        <v>1.2275</v>
        <stp/>
        <stp>##V3_BDPV12</stp>
        <stp>USDSGD BGN Curncy</stp>
        <stp>PX_BID</stp>
        <stp>[FX_Implied_Actual_Rate.xlsx]Calculations!R4C6_x0000__x0000_</stp>
        <tr r="F4" s="3"/>
      </tp>
      <tp>
        <v>12.6614</v>
        <stp/>
        <stp>##V3_BDPV12</stp>
        <stp>USDMXN BGN Curncy</stp>
        <stp>PX_BID</stp>
        <stp>[FX_Implied_Actual_Rate.xlsx]Calculations!R9C6_x0000_5</stp>
        <tr r="F9" s="3"/>
      </tp>
      <tp>
        <v>89.85</v>
        <stp/>
        <stp>##V3_BDPV12</stp>
        <stp>USDJPY BGN Curncy</stp>
        <stp>PX_BID</stp>
        <stp>[FX_Implied_Actual_Rate.xlsx]Calculations!R2C6_x0000__x0000_</stp>
        <tr r="F2" s="3"/>
      </tp>
      <tp>
        <v>1056.8</v>
        <stp/>
        <stp>##V3_BDPV12</stp>
        <stp>USDKRW BGN Curncy</stp>
        <stp>PX_BID</stp>
        <stp>[FX_Implied_Actual_Rate.xlsx]Calculations!R8C6_x0000__x0000_</stp>
        <tr r="F8" s="3"/>
      </tp>
      <tp>
        <v>0.62970000000000004</v>
        <stp/>
        <stp>##V3_BDPV12</stp>
        <stp>USDGBP BGN Curncy</stp>
        <stp>PX_BID</stp>
        <stp>[FX_Implied_Actual_Rate.xlsx]Calculations!R6C6_x0000__x0000_</stp>
        <tr r="F6" s="3"/>
      </tp>
      <tp>
        <v>0.752</v>
        <stp/>
        <stp>##V3_BDPV12</stp>
        <stp>USDEUR BGN Curncy</stp>
        <stp>PX_BID</stp>
        <stp>[FX_Implied_Actual_Rate.xlsx]Calculations!R5C6_x0000__x0000_</stp>
        <tr r="F5" s="3"/>
      </tp>
      <tp>
        <v>0.752</v>
        <stp/>
        <stp>##V3_BDPV12</stp>
        <stp>USDEUR BGN Curncy</stp>
        <stp>PX_BID</stp>
        <stp>[FX_Implied_Actual_Rate.xlsx]Calculations!R7C6_x0000__x0000_</stp>
        <tr r="F7" s="3"/>
      </tp>
      <tp>
        <v>6.2148000000000003</v>
        <stp/>
        <stp>##V3_BDPV12</stp>
        <stp>USDCNY BGN Curncy</stp>
        <stp>PX_BID</stp>
        <stp>[FX_Implied_Actual_Rate.xlsx]Calculations!R3C6_x0000__x0000_</stp>
        <tr r="F3" s="3"/>
      </tp>
      <tp>
        <v>1099</v>
        <stp/>
        <stp>##V3_BDPV12</stp>
        <stp>ZAR3M BGN Curncy</stp>
        <stp>PX_ASK_POINTS</stp>
        <stp>[FX_Implied_Actual_Rate.xlsx]Calculations!R32C16_x0000_3</stp>
        <tr r="P32" s="3"/>
      </tp>
      <tp>
        <v>199.25</v>
        <stp/>
        <stp>##V3_BDPV12</stp>
        <stp>TRY3M BGN Curncy</stp>
        <stp>PX_BID_POINTS</stp>
        <stp>[FX_Implied_Actual_Rate.xlsx]Calculations!R16C15_x0000_3</stp>
        <tr r="O16" s="3"/>
      </tp>
      <tp>
        <v>2.7</v>
        <stp/>
        <stp>##V3_BDPV12</stp>
        <stp>GCNY3M Index</stp>
        <stp>PX_LAST</stp>
        <stp>[FX_Implied_Actual_Rate.xlsx]Graph!R8C11_x0000_!</stp>
        <tr r="K8" s="2"/>
      </tp>
      <tp>
        <v>-6.94</v>
        <stp/>
        <stp>##V3_BDPV12</stp>
        <stp>JPY3M BGN Curncy</stp>
        <stp>PX_BID_POINTS</stp>
        <stp>[FX_Implied_Actual_Rate.xlsx]Calculations!R14C29_x0000_3</stp>
        <tr r="AC14" s="3"/>
      </tp>
      <tp>
        <v>210.1</v>
        <stp/>
        <stp>##V3_BDPV12</stp>
        <stp>TRY3M BGN Curncy</stp>
        <stp>PX_ASK_POINTS</stp>
        <stp>[FX_Implied_Actual_Rate.xlsx]Calculations!R16C16_x0000_3</stp>
        <tr r="P16" s="3"/>
      </tp>
      <tp>
        <v>89.792000000000002</v>
        <stp/>
        <stp>##V3_BDPV12</stp>
        <stp>USDJPY BGN Curncy</stp>
        <stp>FWD_RT_3MO</stp>
        <stp>[FX_Implied_Actual_Rate.xlsx]Graph!R4C13_x0000_!</stp>
        <tr r="M4" s="2"/>
      </tp>
      <tp>
        <v>-6.66</v>
        <stp/>
        <stp>##V3_BDPV12</stp>
        <stp>JPY3M BGN Curncy</stp>
        <stp>PX_ASK_POINTS</stp>
        <stp>[FX_Implied_Actual_Rate.xlsx]Calculations!R14C30_x0000_3</stp>
        <tr r="AD14" s="3"/>
      </tp>
      <tp>
        <v>1068</v>
        <stp/>
        <stp>##V3_BDPV12</stp>
        <stp>ZAR3M BGN Curncy</stp>
        <stp>PX_BID_POINTS</stp>
        <stp>[FX_Implied_Actual_Rate.xlsx]Calculations!R32C15_x0000_3</stp>
        <tr r="O32" s="3"/>
      </tp>
      <tp>
        <v>76.94</v>
        <stp/>
        <stp>##V3_BDPV12</stp>
        <stp>IRN3M BGN Curncy</stp>
        <stp>PX_BID_POINTS</stp>
        <stp>[FX_Implied_Actual_Rate.xlsx]Calculations!R15C15_x0000_3</stp>
        <tr r="O15" s="3"/>
      </tp>
      <tp>
        <v>244.62</v>
        <stp/>
        <stp>##V3_BDPV12</stp>
        <stp>BCN3M BGN Curncy</stp>
        <stp>PX_BID_POINTS</stp>
        <stp>[FX_Implied_Actual_Rate.xlsx]Calculations!R14C15_x0000_3</stp>
        <tr r="O14" s="3"/>
      </tp>
      <tp>
        <v>3083</v>
        <stp/>
        <stp>##V3_BDPV12</stp>
        <stp>APN3M BGN Curncy</stp>
        <stp>PX_BID_POINTS</stp>
        <stp>[FX_Implied_Actual_Rate.xlsx]Calculations!R17C15_x0000_3</stp>
        <tr r="O17" s="3"/>
      </tp>
      <tp>
        <v>5.42</v>
        <stp/>
        <stp>##V3_BDPV12</stp>
        <stp>CHN3M BGN Curncy</stp>
        <stp>PX_BID_POINTS</stp>
        <stp>[FX_Implied_Actual_Rate.xlsx]Calculations!R11C15_x0000_3</stp>
        <tr r="O11" s="3"/>
      </tp>
      <tp>
        <v>4311.1400000000003</v>
        <stp/>
        <stp>##V3_BDPV12</stp>
        <stp>RRN3M BGN Curncy</stp>
        <stp>PX_BID_POINTS</stp>
        <stp>[FX_Implied_Actual_Rate.xlsx]Calculations!R13C15_x0000_3</stp>
        <tr r="O13" s="3"/>
      </tp>
      <tp>
        <v>70</v>
        <stp/>
        <stp>##V3_BDPV12</stp>
        <stp>IHN3M BGN Curncy</stp>
        <stp>PX_BID_POINTS</stp>
        <stp>[FX_Implied_Actual_Rate.xlsx]Calculations!R12C15_x0000_3</stp>
        <tr r="O12" s="3"/>
      </tp>
      <tp>
        <v>6.2765000000000004</v>
        <stp/>
        <stp>##V3_BDPV12</stp>
        <stp>USDCNY BGN Curncy</stp>
        <stp>FWD_RT_3MO</stp>
        <stp>[FX_Implied_Actual_Rate.xlsx]Graph!R8C13_x0000_!</stp>
        <tr r="M8" s="2"/>
      </tp>
      <tp>
        <v>-10</v>
        <stp/>
        <stp>##V3_BDPV12</stp>
        <stp>PSN3M BGN Curncy</stp>
        <stp>PX_BID_POINTS</stp>
        <stp>[FX_Implied_Actual_Rate.xlsx]Calculations!R29C15_x0000_3</stp>
        <tr r="O29" s="3"/>
      </tp>
      <tp>
        <v>153.49</v>
        <stp/>
        <stp>##V3_BDPV12</stp>
        <stp>MRN3M BGN Curncy</stp>
        <stp>PX_BID_POINTS</stp>
        <stp>[FX_Implied_Actual_Rate.xlsx]Calculations!R27C15_x0000_3</stp>
        <tr r="O27" s="3"/>
      </tp>
      <tp>
        <v>14.06</v>
        <stp/>
        <stp>##V3_BDPV12</stp>
        <stp>CLN3M BGN Curncy</stp>
        <stp>PX_BID_POINTS</stp>
        <stp>[FX_Implied_Actual_Rate.xlsx]Calculations!R20C15_x0000_3</stp>
        <tr r="O20" s="3"/>
      </tp>
      <tp t="e">
        <v>#N/A</v>
        <stp/>
        <stp>##V3_BDPV12</stp>
        <stp/>
        <stp>PX_LAST</stp>
        <stp>[FX_Implied_Actual_Rate.xlsx]Graph!R7C12_x0000_!</stp>
        <tr r="L7" s="2"/>
      </tp>
      <tp>
        <v>258.70999999999998</v>
        <stp/>
        <stp>##V3_BDPV12</stp>
        <stp>PLN3M BGN Curncy</stp>
        <stp>PX_BID_POINTS</stp>
        <stp>[FX_Implied_Actual_Rate.xlsx]Calculations!R31C15_x0000_3</stp>
        <tr r="O31" s="3"/>
      </tp>
      <tp>
        <v>-0.248</v>
        <stp/>
        <stp>##V3_BDPV12</stp>
        <stp>PPN3M BGN Curncy</stp>
        <stp>PX_BID_POINTS</stp>
        <stp>[FX_Implied_Actual_Rate.xlsx]Calculations!R30C15_x0000_3</stp>
        <tr r="O30" s="3"/>
      </tp>
      <tp>
        <v>4.1916000000000002</v>
        <stp/>
        <stp>##V3_BDPV12</stp>
        <stp>CCNI3M BDSR Curncy</stp>
        <stp>PX_BID</stp>
        <stp>[FX_Implied_Actual_Rate.xlsx]Calculations!R3C12_x0000__x0000_</stp>
        <tr r="L3" s="3"/>
      </tp>
      <tp>
        <v>256</v>
        <stp/>
        <stp>##V3_BDPV12</stp>
        <stp>HUF3M BGN Curncy</stp>
        <stp>PX_ASK_POINTS</stp>
        <stp>[FX_Implied_Actual_Rate.xlsx]Calculations!R24C16_x0000_3</stp>
        <tr r="P24" s="3"/>
      </tp>
      <tp>
        <v>19.850000000000001</v>
        <stp/>
        <stp>##V3_BDPV12</stp>
        <stp>CAD3M BGN Curncy</stp>
        <stp>PX_ASK_POINTS</stp>
        <stp>[FX_Implied_Actual_Rate.xlsx]Calculations!R19C16_x0000_3</stp>
        <tr r="P19" s="3"/>
      </tp>
      <tp>
        <v>192.84</v>
        <stp/>
        <stp>##V3_BDPV12</stp>
        <stp>NOK3M BGN Curncy</stp>
        <stp>PX_BID_POINTS</stp>
        <stp>[FX_Implied_Actual_Rate.xlsx]Calculations!R28C15_x0000_3</stp>
        <tr r="O28" s="3"/>
      </tp>
      <tp>
        <v>-69.739999999999995</v>
        <stp/>
        <stp>##V3_BDPV12</stp>
        <stp>AUD3M BGN Curncy</stp>
        <stp>PX_ASK_POINTS</stp>
        <stp>[FX_Implied_Actual_Rate.xlsx]Calculations!R10C16_x0000_3</stp>
        <tr r="P10" s="3"/>
      </tp>
      <tp>
        <v>1.2277</v>
        <stp/>
        <stp>##V3_BDPV12</stp>
        <stp>USDSGD BGN Curncy</stp>
        <stp>PX_ASK</stp>
        <stp>[FX_Implied_Actual_Rate.xlsx]Calculations!R4C7_x0000__x0000_</stp>
        <tr r="G4" s="3"/>
      </tp>
      <tp>
        <v>6.2213000000000003</v>
        <stp/>
        <stp>##V3_BDPV12</stp>
        <stp>USDCNY BGN Curncy</stp>
        <stp>PX_ASK</stp>
        <stp>[FX_Implied_Actual_Rate.xlsx]Calculations!R3C7_x0000__x0000_</stp>
        <tr r="G3" s="3"/>
      </tp>
      <tp>
        <v>0.752</v>
        <stp/>
        <stp>##V3_BDPV12</stp>
        <stp>USDEUR BGN Curncy</stp>
        <stp>PX_ASK</stp>
        <stp>[FX_Implied_Actual_Rate.xlsx]Calculations!R5C7_x0000__x0000_</stp>
        <tr r="G5" s="3"/>
      </tp>
      <tp>
        <v>0.752</v>
        <stp/>
        <stp>##V3_BDPV12</stp>
        <stp>USDEUR BGN Curncy</stp>
        <stp>PX_ASK</stp>
        <stp>[FX_Implied_Actual_Rate.xlsx]Calculations!R7C7_x0000__x0000_</stp>
        <tr r="G7" s="3"/>
      </tp>
      <tp>
        <v>0.62970000000000004</v>
        <stp/>
        <stp>##V3_BDPV12</stp>
        <stp>USDGBP BGN Curncy</stp>
        <stp>PX_ASK</stp>
        <stp>[FX_Implied_Actual_Rate.xlsx]Calculations!R6C7_x0000__x0000_</stp>
        <tr r="G6" s="3"/>
      </tp>
      <tp>
        <v>1057.3499999999999</v>
        <stp/>
        <stp>##V3_BDPV12</stp>
        <stp>USDKRW BGN Curncy</stp>
        <stp>PX_ASK</stp>
        <stp>[FX_Implied_Actual_Rate.xlsx]Calculations!R8C7_x0000__x0000_</stp>
        <tr r="G8" s="3"/>
      </tp>
      <tp>
        <v>89.87</v>
        <stp/>
        <stp>##V3_BDPV12</stp>
        <stp>USDJPY BGN Curncy</stp>
        <stp>PX_ASK</stp>
        <stp>[FX_Implied_Actual_Rate.xlsx]Calculations!R2C7_x0000__x0000_</stp>
        <tr r="G2" s="3"/>
      </tp>
      <tp>
        <v>12.663</v>
        <stp/>
        <stp>##V3_BDPV12</stp>
        <stp>USDMXN BGN Curncy</stp>
        <stp>PX_ASK</stp>
        <stp>[FX_Implied_Actual_Rate.xlsx]Calculations!R9C7_x0000_2</stp>
        <tr r="G9" s="3"/>
      </tp>
      <tp>
        <v>236</v>
        <stp/>
        <stp>##V3_BDPV12</stp>
        <stp>HUF3M BGN Curncy</stp>
        <stp>PX_BID_POINTS</stp>
        <stp>[FX_Implied_Actual_Rate.xlsx]Calculations!R24C15_x0000_3</stp>
        <tr r="O24" s="3"/>
      </tp>
      <tp>
        <v>0.02</v>
        <stp/>
        <stp>##V3_BDPV12</stp>
        <stp>JYDRC CMPN Curncy</stp>
        <stp>PX_BID</stp>
        <stp>[FX_Implied_Actual_Rate.xlsx]Graph!R16C18_x0000_R</stp>
        <tr r="R16" s="2"/>
      </tp>
      <tp>
        <v>4.3345000000000002</v>
        <stp/>
        <stp>##V3_BDPV12</stp>
        <stp>CCNI3M BDSR Curncy</stp>
        <stp>PX_ASK</stp>
        <stp>[FX_Implied_Actual_Rate.xlsx]Calculations!R3C13_x0000__x0000_</stp>
        <tr r="M3" s="3"/>
      </tp>
      <tp>
        <v>1.2276800000000001</v>
        <stp/>
        <stp>##V3_BDPV12</stp>
        <stp>USDSGD BGN Curncy</stp>
        <stp>FWD_RT_3MO</stp>
        <stp>[FX_Implied_Actual_Rate.xlsx]Graph!R5C13_x0000_!</stp>
        <tr r="M5" s="2"/>
      </tp>
      <tp>
        <v>19.350000000000001</v>
        <stp/>
        <stp>##V3_BDPV12</stp>
        <stp>CAD3M BGN Curncy</stp>
        <stp>PX_BID_POINTS</stp>
        <stp>[FX_Implied_Actual_Rate.xlsx]Calculations!R19C15_x0000_3</stp>
        <tr r="O19" s="3"/>
      </tp>
      <tp>
        <v>197.16</v>
        <stp/>
        <stp>##V3_BDPV12</stp>
        <stp>NOK3M BGN Curncy</stp>
        <stp>PX_ASK_POINTS</stp>
        <stp>[FX_Implied_Actual_Rate.xlsx]Calculations!R28C16_x0000_3</stp>
        <tr r="P28" s="3"/>
      </tp>
      <tp>
        <v>-70.260000000000005</v>
        <stp/>
        <stp>##V3_BDPV12</stp>
        <stp>AUD3M BGN Curncy</stp>
        <stp>PX_BID_POINTS</stp>
        <stp>[FX_Implied_Actual_Rate.xlsx]Calculations!R10C15_x0000_3</stp>
        <tr r="O10" s="3"/>
      </tp>
      <tp t="e">
        <v>#N/A</v>
        <stp/>
        <stp>##V3_BDPV12</stp>
        <stp/>
        <stp>FWD_RT_3MO</stp>
        <stp>[FX_Implied_Actual_Rate.xlsx]Graph!R7C13_x0000_!</stp>
        <tr r="M7" s="2"/>
      </tp>
      <tp>
        <v>1.5873569999999999</v>
        <stp/>
        <stp>##V3_BDPV12</stp>
        <stp>GBPUSD BGN Curncy</stp>
        <stp>FWD_RT_3MO</stp>
        <stp>[FX_Implied_Actual_Rate.xlsx]Graph!R9C13_x0000_!</stp>
        <tr r="M9" s="2"/>
      </tp>
      <tp>
        <v>80.06</v>
        <stp/>
        <stp>##V3_BDPV12</stp>
        <stp>IRN3M BGN Curncy</stp>
        <stp>PX_ASK_POINTS</stp>
        <stp>[FX_Implied_Actual_Rate.xlsx]Calculations!R15C16_x0000_3</stp>
        <tr r="P15" s="3"/>
      </tp>
      <tp>
        <v>253.05</v>
        <stp/>
        <stp>##V3_BDPV12</stp>
        <stp>BCN3M BGN Curncy</stp>
        <stp>PX_ASK_POINTS</stp>
        <stp>[FX_Implied_Actual_Rate.xlsx]Calculations!R14C16_x0000_3</stp>
        <tr r="P14" s="3"/>
      </tp>
      <tp>
        <v>3657</v>
        <stp/>
        <stp>##V3_BDPV12</stp>
        <stp>APN3M BGN Curncy</stp>
        <stp>PX_ASK_POINTS</stp>
        <stp>[FX_Implied_Actual_Rate.xlsx]Calculations!R17C16_x0000_3</stp>
        <tr r="P17" s="3"/>
      </tp>
      <tp>
        <v>5.68</v>
        <stp/>
        <stp>##V3_BDPV12</stp>
        <stp>CHN3M BGN Curncy</stp>
        <stp>PX_ASK_POINTS</stp>
        <stp>[FX_Implied_Actual_Rate.xlsx]Calculations!R11C16_x0000_3</stp>
        <tr r="P11" s="3"/>
      </tp>
      <tp>
        <v>4368.8599999999997</v>
        <stp/>
        <stp>##V3_BDPV12</stp>
        <stp>RRN3M BGN Curncy</stp>
        <stp>PX_ASK_POINTS</stp>
        <stp>[FX_Implied_Actual_Rate.xlsx]Calculations!R13C16_x0000_3</stp>
        <tr r="P13" s="3"/>
      </tp>
      <tp>
        <v>80</v>
        <stp/>
        <stp>##V3_BDPV12</stp>
        <stp>IHN3M BGN Curncy</stp>
        <stp>PX_ASK_POINTS</stp>
        <stp>[FX_Implied_Actual_Rate.xlsx]Calculations!R12C16_x0000_3</stp>
        <tr r="P12" s="3"/>
      </tp>
      <tp>
        <v>27</v>
        <stp/>
        <stp>##V3_BDPV12</stp>
        <stp>PSN3M BGN Curncy</stp>
        <stp>PX_ASK_POINTS</stp>
        <stp>[FX_Implied_Actual_Rate.xlsx]Calculations!R29C16_x0000_3</stp>
        <tr r="P29" s="3"/>
      </tp>
      <tp>
        <v>167.49</v>
        <stp/>
        <stp>##V3_BDPV12</stp>
        <stp>MRN3M BGN Curncy</stp>
        <stp>PX_ASK_POINTS</stp>
        <stp>[FX_Implied_Actual_Rate.xlsx]Calculations!R27C16_x0000_3</stp>
        <tr r="P27" s="3"/>
      </tp>
      <tp>
        <v>15.14</v>
        <stp/>
        <stp>##V3_BDPV12</stp>
        <stp>CLN3M BGN Curncy</stp>
        <stp>PX_ASK_POINTS</stp>
        <stp>[FX_Implied_Actual_Rate.xlsx]Calculations!R20C16_x0000_3</stp>
        <tr r="P20" s="3"/>
      </tp>
      <tp>
        <v>1.331026</v>
        <stp/>
        <stp>##V3_BDPV12</stp>
        <stp>EURUSD BGN Curncy</stp>
        <stp>FWD_RT_3MO</stp>
        <stp>[FX_Implied_Actual_Rate.xlsx]Graph!R6C13_x0000_!</stp>
        <tr r="M6" s="2"/>
      </tp>
      <tp>
        <v>268.69</v>
        <stp/>
        <stp>##V3_BDPV12</stp>
        <stp>PLN3M BGN Curncy</stp>
        <stp>PX_ASK_POINTS</stp>
        <stp>[FX_Implied_Actual_Rate.xlsx]Calculations!R31C16_x0000_3</stp>
        <tr r="P31" s="3"/>
      </tp>
      <tp>
        <v>-0.152</v>
        <stp/>
        <stp>##V3_BDPV12</stp>
        <stp>PPN3M BGN Curncy</stp>
        <stp>PX_ASK_POINTS</stp>
        <stp>[FX_Implied_Actual_Rate.xlsx]Calculations!R30C16_x0000_3</stp>
        <tr r="P30" s="3"/>
      </tp>
      <tp>
        <v>350</v>
        <stp/>
        <stp>##V3_BDPV12</stp>
        <stp>VDN3M CMPN Curncy</stp>
        <stp>PX_BID_POINTS</stp>
        <stp>[FX_Implied_Actual_Rate.xlsx]Calculations!R35C15_x0000_3</stp>
        <tr r="O35" s="3"/>
      </tp>
      <tp>
        <v>3600.0005000000001</v>
        <stp/>
        <stp>##V3_BDPV12</stp>
        <stp>UKN3M CMPN Curncy</stp>
        <stp>PX_BID_POINTS</stp>
        <stp>[FX_Implied_Actual_Rate.xlsx]Calculations!R34C15_x0000_3</stp>
        <tr r="O34" s="3"/>
      </tp>
      <tp>
        <v>2.6</v>
        <stp/>
        <stp>##V3_BDPV12</stp>
        <stp>LKR3M CMPN Curncy</stp>
        <stp>PX_BID_POINTS</stp>
        <stp>[FX_Implied_Actual_Rate.xlsx]Calculations!R33C15_x0000_3</stp>
        <tr r="O33" s="3"/>
      </tp>
      <tp>
        <v>5.6729000000000003</v>
        <stp/>
        <stp>##V3_BDPV12</stp>
        <stp>USDHRK BGN Curncy</stp>
        <stp>PX_BID</stp>
        <stp>[FX_Implied_Actual_Rate.xlsx]Calculations!R21C6_x0000__x0000_</stp>
        <tr r="F21" s="3"/>
      </tp>
      <tp>
        <v>220.4</v>
        <stp/>
        <stp>##V3_BDPV12</stp>
        <stp>USDHUF BGN Curncy</stp>
        <stp>PX_BID</stp>
        <stp>[FX_Implied_Actual_Rate.xlsx]Calculations!R24C6_x0000__x0000_</stp>
        <tr r="F24" s="3"/>
      </tp>
      <tp>
        <v>-17.899999999999999</v>
        <stp/>
        <stp>##V3_BDPV12</stp>
        <stp>LTL3M CMPN Curncy</stp>
        <stp>PX_BID_POINTS</stp>
        <stp>[FX_Implied_Actual_Rate.xlsx]Calculations!R26C15_x0000_3</stp>
        <tr r="O26" s="3"/>
      </tp>
      <tp>
        <v>48</v>
        <stp/>
        <stp>##V3_BDPV12</stp>
        <stp>HRK3M CMPN Curncy</stp>
        <stp>PX_BID_POINTS</stp>
        <stp>[FX_Implied_Actual_Rate.xlsx]Calculations!R21C15_x0000_3</stp>
        <tr r="O21" s="3"/>
      </tp>
      <tp>
        <v>89.5</v>
        <stp/>
        <stp>##V3_BDPV12</stp>
        <stp>KTN3M CMPN Curncy</stp>
        <stp>PX_BID_POINTS</stp>
        <stp>[FX_Implied_Actual_Rate.xlsx]Calculations!R25C15_x0000_3</stp>
        <tr r="O25" s="3"/>
      </tp>
      <tp>
        <v>4472</v>
        <stp/>
        <stp>##V3_BDPV12</stp>
        <stp>EPN3M CMPN Curncy</stp>
        <stp>PX_BID_POINTS</stp>
        <stp>[FX_Implied_Actual_Rate.xlsx]Calculations!R22C15_x0000_3</stp>
        <tr r="O22" s="3"/>
      </tp>
      <tp>
        <v>97.161900000000003</v>
        <stp/>
        <stp>##V3_BDPV12</stp>
        <stp>GEL3M CMPN Curncy</stp>
        <stp>PX_BID_POINTS</stp>
        <stp>[FX_Implied_Actual_Rate.xlsx]Calculations!R23C15_x0000_3</stp>
        <tr r="O23" s="3"/>
      </tp>
      <tp>
        <v>9827</v>
        <stp/>
        <stp>##V3_BDPV12</stp>
        <stp>USDIDR BGN Curncy</stp>
        <stp>PX_BID</stp>
        <stp>[FX_Implied_Actual_Rate.xlsx]Calculations!R12C6_x0000__x0000_</stp>
        <tr r="F12" s="3"/>
      </tp>
      <tp>
        <v>1.6639999999999999</v>
        <stp/>
        <stp>##V3_BDPV12</stp>
        <stp>USDGEL BGN Curncy</stp>
        <stp>PX_ASK</stp>
        <stp>[FX_Implied_Actual_Rate.xlsx]Calculations!R23C7_x0000__x0000_</stp>
        <tr r="G23" s="3"/>
      </tp>
      <tp>
        <v>1.909</v>
        <stp/>
        <stp>##V3_BDPV12</stp>
        <stp>USDGHS BGN Curncy</stp>
        <stp>PX_ASK</stp>
        <stp>[FX_Implied_Actual_Rate.xlsx]Calculations!R43C7_x0000__x0000_</stp>
        <tr r="G43" s="3"/>
      </tp>
      <tp>
        <v>53.7</v>
        <stp/>
        <stp>##V3_BDPV12</stp>
        <stp>USDINR BGN Curncy</stp>
        <stp>PX_BID</stp>
        <stp>[FX_Implied_Actual_Rate.xlsx]Calculations!R15C6_x0000__x0000_</stp>
        <tr r="F15" s="3"/>
      </tp>
      <tp>
        <v>1.3301000000000001</v>
        <stp/>
        <stp>##V3_BDPV12</stp>
        <stp>EURUSD BGN Curncy</stp>
        <stp>PX_LAST</stp>
        <stp>[FX_Implied_Actual_Rate.xlsx]Graph!R13C12_x0000_R</stp>
        <tr r="L13" s="2"/>
      </tp>
      <tp>
        <v>-16.997</v>
        <stp/>
        <stp>##V3_BDPV12</stp>
        <stp>BGN3M CMPN Curncy</stp>
        <stp>PX_BID_POINTS</stp>
        <stp>[FX_Implied_Actual_Rate.xlsx]Calculations!R18C15_x0000_3</stp>
        <tr r="O18" s="3"/>
      </tp>
      <tp>
        <v>1183.8901000000001</v>
        <stp/>
        <stp>##V3_BDPV12</stp>
        <stp>USDIQD CMPN Curncy</stp>
        <stp>PX_ASK</stp>
        <stp>[FX_Implied_Actual_Rate.xlsx]Calculations!R44C7_x0000__x0000_</stp>
        <tr r="G44" s="3"/>
      </tp>
      <tp>
        <v>92.58</v>
        <stp/>
        <stp>##V3_BDPV12</stp>
        <stp>USDJMD BGN Curncy</stp>
        <stp>PX_BID</stp>
        <stp>[FX_Implied_Actual_Rate.xlsx]Calculations!R46C6_x0000__x0000_</stp>
        <tr r="F46" s="3"/>
      </tp>
      <tp>
        <v>0.70830000000000004</v>
        <stp/>
        <stp>##V3_BDPV12</stp>
        <stp>USDJOD BGN Curncy</stp>
        <stp>PX_BID</stp>
        <stp>[FX_Implied_Actual_Rate.xlsx]Calculations!R47C6_x0000__x0000_</stp>
        <tr r="F47" s="3"/>
      </tp>
      <tp>
        <v>40.700000000000003</v>
        <stp/>
        <stp>##V3_BDPV12</stp>
        <stp>USDDOP BGN Curncy</stp>
        <stp>PX_ASK</stp>
        <stp>[FX_Implied_Actual_Rate.xlsx]Calculations!R39C7_x0000__x0000_</stp>
        <tr r="G39" s="3"/>
      </tp>
      <tp>
        <v>6.6050000000000004</v>
        <stp/>
        <stp>##V3_BDPV12</stp>
        <stp>USDEGP BGN Curncy</stp>
        <stp>PX_ASK</stp>
        <stp>[FX_Implied_Actual_Rate.xlsx]Calculations!R22C7_x0000__x0000_</stp>
        <tr r="G22" s="3"/>
      </tp>
      <tp>
        <v>4.2880000000000003</v>
        <stp/>
        <stp>##V3_BDPV12</stp>
        <stp>VRTB2W Index</stp>
        <stp>PX_LAST</stp>
        <stp>[FX_Implied_Actual_Rate.xlsx]Graph!R19C11_x0000_R</stp>
        <tr r="K19" s="2"/>
      </tp>
      <tp>
        <v>8610</v>
        <stp/>
        <stp>##V3_BDPV12</stp>
        <stp>USDBYR CMPN Curncy</stp>
        <stp>PX_BID</stp>
        <stp>[FX_Implied_Actual_Rate.xlsx]Calculations!R37C6_x0000__x0000_</stp>
        <tr r="F37" s="3"/>
      </tp>
      <tp>
        <v>2.0438000000000001</v>
        <stp/>
        <stp>##V3_BDPV12</stp>
        <stp>USDBRL BGN Curncy</stp>
        <stp>PX_ASK</stp>
        <stp>[FX_Implied_Actual_Rate.xlsx]Calculations!R14C7_x0000__x0000_</stp>
        <tr r="G14" s="3"/>
      </tp>
      <tp>
        <v>2.5956000000000001</v>
        <stp/>
        <stp>##V3_BDPV12</stp>
        <stp>USDLTL BGN Curncy</stp>
        <stp>PX_BID</stp>
        <stp>[FX_Implied_Actual_Rate.xlsx]Calculations!R26C6_x0000__x0000_</stp>
        <tr r="F26" s="3"/>
      </tp>
      <tp>
        <v>1502</v>
        <stp/>
        <stp>##V3_BDPV12</stp>
        <stp>USDLBP BGN Curncy</stp>
        <stp>PX_BID</stp>
        <stp>[FX_Implied_Actual_Rate.xlsx]Calculations!R48C6_x0000__x0000_</stp>
        <tr r="F48" s="3"/>
      </tp>
      <tp>
        <v>1.4706999999999999</v>
        <stp/>
        <stp>##V3_BDPV12</stp>
        <stp>USDBGN BGN Curncy</stp>
        <stp>PX_ASK</stp>
        <stp>[FX_Implied_Actual_Rate.xlsx]Calculations!R18C7_x0000__x0000_</stp>
        <tr r="G18" s="3"/>
      </tp>
      <tp>
        <v>126.48</v>
        <stp/>
        <stp>##V3_BDPV12</stp>
        <stp>USDLKR BGN Curncy</stp>
        <stp>PX_BID</stp>
        <stp>[FX_Implied_Actual_Rate.xlsx]Calculations!R33C6_x0000__x0000_</stp>
        <tr r="F33" s="3"/>
      </tp>
      <tp>
        <v>3.01</v>
        <stp/>
        <stp>##V3_BDPV12</stp>
        <stp>USDMYR BGN Curncy</stp>
        <stp>PX_BID</stp>
        <stp>[FX_Implied_Actual_Rate.xlsx]Calculations!R27C6_x0000__x0000_</stp>
        <tr r="F27" s="3"/>
      </tp>
      <tp>
        <v>0.99419999999999997</v>
        <stp/>
        <stp>##V3_BDPV12</stp>
        <stp>USDCAD BGN Curncy</stp>
        <stp>PX_ASK</stp>
        <stp>[FX_Implied_Actual_Rate.xlsx]Calculations!R19C7_x0000__x0000_</stp>
        <tr r="G19" s="3"/>
      </tp>
      <tp>
        <v>8.75</v>
        <stp/>
        <stp>##V3_BDPV12</stp>
        <stp>USDSVC CMPN Curncy</stp>
        <stp>PX_ASK</stp>
        <stp>[FX_Implied_Actual_Rate.xlsx]Calculations!R41C7_x0000__x0000_</stp>
        <tr r="G41" s="3"/>
      </tp>
      <tp>
        <v>472.39</v>
        <stp/>
        <stp>##V3_BDPV12</stp>
        <stp>USDCLP BGN Curncy</stp>
        <stp>PX_ASK</stp>
        <stp>[FX_Implied_Actual_Rate.xlsx]Calculations!R11C7_x0000__x0000_</stp>
        <tr r="G11" s="3"/>
      </tp>
      <tp>
        <v>1769.14</v>
        <stp/>
        <stp>##V3_BDPV12</stp>
        <stp>USDCOP BGN Curncy</stp>
        <stp>PX_ASK</stp>
        <stp>[FX_Implied_Actual_Rate.xlsx]Calculations!R20C7_x0000__x0000_</stp>
        <tr r="G20" s="3"/>
      </tp>
      <tp t="e">
        <v>#N/A</v>
        <stp/>
        <stp>##V3_BDPV12</stp>
        <stp/>
        <stp>FWD_RT_3MO</stp>
        <stp>[FX_Implied_Actual_Rate.xlsx]Graph!R15C13_x0000_R</stp>
        <tr r="M15" s="2"/>
      </tp>
      <tp t="e">
        <v>#N/A</v>
        <stp/>
        <stp>##V3_BDPV12</stp>
        <stp/>
        <stp>FWD_RT_3MO</stp>
        <stp>[FX_Implied_Actual_Rate.xlsx]Graph!R14C13_x0000_R</stp>
        <tr r="M14" s="2"/>
      </tp>
      <tp t="e">
        <v>#N/A</v>
        <stp/>
        <stp>##V3_BDPV12</stp>
        <stp/>
        <stp>FWD_RT_3MO</stp>
        <stp>[FX_Implied_Actual_Rate.xlsx]Graph!R18C13_x0000_R</stp>
        <tr r="M18" s="2"/>
      </tp>
      <tp>
        <v>157</v>
        <stp/>
        <stp>##V3_BDPV12</stp>
        <stp>USDNGN BGN Curncy</stp>
        <stp>PX_BID</stp>
        <stp>[FX_Implied_Actual_Rate.xlsx]Calculations!R49C6_x0000__x0000_</stp>
        <tr r="F49" s="3"/>
      </tp>
      <tp>
        <v>5.6108000000000002</v>
        <stp/>
        <stp>##V3_BDPV12</stp>
        <stp>USDNOK BGN Curncy</stp>
        <stp>PX_BID</stp>
        <stp>[FX_Implied_Actual_Rate.xlsx]Calculations!R28C6_x0000__x0000_</stp>
        <tr r="F28" s="3"/>
      </tp>
      <tp t="e">
        <v>#N/A</v>
        <stp/>
        <stp>##V3_BDPV12</stp>
        <stp/>
        <stp>FWD_RT_3MO</stp>
        <stp>[FX_Implied_Actual_Rate.xlsx]Graph!R23C13_x0000_R</stp>
        <tr r="M23" s="2"/>
      </tp>
      <tp t="e">
        <v>#N/A</v>
        <stp/>
        <stp>##V3_BDPV12</stp>
        <stp/>
        <stp>FWD_RT_3MO</stp>
        <stp>[FX_Implied_Actual_Rate.xlsx]Graph!R20C13_x0000_R</stp>
        <tr r="M20" s="2"/>
      </tp>
      <tp>
        <v>4.9504999999999999</v>
        <stp/>
        <stp>##V3_BDPV12</stp>
        <stp>USDARS BGN Curncy</stp>
        <stp>PX_ASK</stp>
        <stp>[FX_Implied_Actual_Rate.xlsx]Calculations!R17C7_x0000__x0000_</stp>
        <tr r="G17" s="3"/>
      </tp>
      <tp>
        <v>0.95289999999999997</v>
        <stp/>
        <stp>##V3_BDPV12</stp>
        <stp>USDAUD BGN Curncy</stp>
        <stp>PX_ASK</stp>
        <stp>[FX_Implied_Actual_Rate.xlsx]Calculations!R10C7_x0000__x0000_</stp>
        <tr r="G10" s="3"/>
      </tp>
      <tp>
        <v>150.69999999999999</v>
        <stp/>
        <stp>##V3_BDPV12</stp>
        <stp>USDKZT CMPN Curncy</stp>
        <stp>PX_BID</stp>
        <stp>[FX_Implied_Actual_Rate.xlsx]Calculations!R25C6_x0000__x0000_</stp>
        <tr r="F25" s="3"/>
      </tp>
      <tp>
        <v>1.98</v>
        <stp/>
        <stp>##V3_BDPV12</stp>
        <stp>USDBZD CMPN Curncy</stp>
        <stp>PX_BID</stp>
        <stp>[FX_Implied_Actual_Rate.xlsx]Calculations!R38C6_x0000__x0000_</stp>
        <tr r="F38" s="3"/>
      </tp>
      <tp>
        <v>157.19999999999999</v>
        <stp/>
        <stp>##V3_BDPV12</stp>
        <stp>USDNGN BGN Curncy</stp>
        <stp>PX_ASK</stp>
        <stp>[FX_Implied_Actual_Rate.xlsx]Calculations!R49C7_x0000__x0000_</stp>
        <tr r="G49" s="3"/>
      </tp>
      <tp>
        <v>5.6134000000000004</v>
        <stp/>
        <stp>##V3_BDPV12</stp>
        <stp>USDNOK BGN Curncy</stp>
        <stp>PX_ASK</stp>
        <stp>[FX_Implied_Actual_Rate.xlsx]Calculations!R28C7_x0000__x0000_</stp>
        <tr r="G28" s="3"/>
      </tp>
      <tp>
        <v>89.85</v>
        <stp/>
        <stp>##V3_BDPV12</stp>
        <stp>USDJPY BGN Curncy</stp>
        <stp>PX_BID</stp>
        <stp>[FX_Implied_Actual_Rate.xlsx]Graph!R13C18_x0000_R</stp>
        <tr r="R13" s="2"/>
      </tp>
      <tp>
        <v>4.9488000000000003</v>
        <stp/>
        <stp>##V3_BDPV12</stp>
        <stp>USDARS BGN Curncy</stp>
        <stp>PX_BID</stp>
        <stp>[FX_Implied_Actual_Rate.xlsx]Calculations!R17C6_x0000__x0000_</stp>
        <tr r="F17" s="3"/>
      </tp>
      <tp>
        <v>0.95289999999999997</v>
        <stp/>
        <stp>##V3_BDPV12</stp>
        <stp>USDAUD BGN Curncy</stp>
        <stp>PX_BID</stp>
        <stp>[FX_Implied_Actual_Rate.xlsx]Calculations!R10C6_x0000__x0000_</stp>
        <tr r="F10" s="3"/>
      </tp>
      <tp>
        <v>150.75</v>
        <stp/>
        <stp>##V3_BDPV12</stp>
        <stp>USDKZT CMPN Curncy</stp>
        <stp>PX_ASK</stp>
        <stp>[FX_Implied_Actual_Rate.xlsx]Calculations!R25C7_x0000__x0000_</stp>
        <tr r="G25" s="3"/>
      </tp>
      <tp>
        <v>2.0099999999999998</v>
        <stp/>
        <stp>##V3_BDPV12</stp>
        <stp>USDBZD CMPN Curncy</stp>
        <stp>PX_ASK</stp>
        <stp>[FX_Implied_Actual_Rate.xlsx]Calculations!R38C7_x0000__x0000_</stp>
        <tr r="G38" s="3"/>
      </tp>
      <tp>
        <v>8700</v>
        <stp/>
        <stp>##V3_BDPV12</stp>
        <stp>USDBYR CMPN Curncy</stp>
        <stp>PX_ASK</stp>
        <stp>[FX_Implied_Actual_Rate.xlsx]Calculations!R37C7_x0000__x0000_</stp>
        <tr r="G37" s="3"/>
      </tp>
      <tp>
        <v>2.0432000000000001</v>
        <stp/>
        <stp>##V3_BDPV12</stp>
        <stp>USDBRL BGN Curncy</stp>
        <stp>PX_BID</stp>
        <stp>[FX_Implied_Actual_Rate.xlsx]Calculations!R14C6_x0000__x0000_</stp>
        <tr r="F14" s="3"/>
      </tp>
      <tp>
        <v>2.5960000000000001</v>
        <stp/>
        <stp>##V3_BDPV12</stp>
        <stp>USDLTL BGN Curncy</stp>
        <stp>PX_ASK</stp>
        <stp>[FX_Implied_Actual_Rate.xlsx]Calculations!R26C7_x0000__x0000_</stp>
        <tr r="G26" s="3"/>
      </tp>
      <tp>
        <v>1504</v>
        <stp/>
        <stp>##V3_BDPV12</stp>
        <stp>USDLBP BGN Curncy</stp>
        <stp>PX_ASK</stp>
        <stp>[FX_Implied_Actual_Rate.xlsx]Calculations!R48C7_x0000__x0000_</stp>
        <tr r="G48" s="3"/>
      </tp>
      <tp>
        <v>1.4702999999999999</v>
        <stp/>
        <stp>##V3_BDPV12</stp>
        <stp>USDBGN BGN Curncy</stp>
        <stp>PX_BID</stp>
        <stp>[FX_Implied_Actual_Rate.xlsx]Calculations!R18C6_x0000__x0000_</stp>
        <tr r="F18" s="3"/>
      </tp>
      <tp>
        <v>126.63</v>
        <stp/>
        <stp>##V3_BDPV12</stp>
        <stp>USDLKR BGN Curncy</stp>
        <stp>PX_ASK</stp>
        <stp>[FX_Implied_Actual_Rate.xlsx]Calculations!R33C7_x0000__x0000_</stp>
        <tr r="G33" s="3"/>
      </tp>
      <tp>
        <v>89.87</v>
        <stp/>
        <stp>##V3_BDPV12</stp>
        <stp>USDJPY BGN Curncy</stp>
        <stp>PX_ASK</stp>
        <stp>[FX_Implied_Actual_Rate.xlsx]Graph!R13C19_x0000_R</stp>
        <tr r="S13" s="2"/>
      </tp>
      <tp>
        <v>3.0121000000000002</v>
        <stp/>
        <stp>##V3_BDPV12</stp>
        <stp>USDMYR BGN Curncy</stp>
        <stp>PX_ASK</stp>
        <stp>[FX_Implied_Actual_Rate.xlsx]Calculations!R27C7_x0000__x0000_</stp>
        <tr r="G27" s="3"/>
      </tp>
      <tp>
        <v>0.99409999999999998</v>
        <stp/>
        <stp>##V3_BDPV12</stp>
        <stp>USDCAD BGN Curncy</stp>
        <stp>PX_BID</stp>
        <stp>[FX_Implied_Actual_Rate.xlsx]Calculations!R19C6_x0000__x0000_</stp>
        <tr r="F19" s="3"/>
      </tp>
      <tp>
        <v>8.75</v>
        <stp/>
        <stp>##V3_BDPV12</stp>
        <stp>USDSVC CMPN Curncy</stp>
        <stp>PX_BID</stp>
        <stp>[FX_Implied_Actual_Rate.xlsx]Calculations!R41C6_x0000__x0000_</stp>
        <tr r="F41" s="3"/>
      </tp>
      <tp>
        <v>1767.14</v>
        <stp/>
        <stp>##V3_BDPV12</stp>
        <stp>USDCOP BGN Curncy</stp>
        <stp>PX_BID</stp>
        <stp>[FX_Implied_Actual_Rate.xlsx]Calculations!R20C6_x0000__x0000_</stp>
        <tr r="F20" s="3"/>
      </tp>
      <tp>
        <v>471.72</v>
        <stp/>
        <stp>##V3_BDPV12</stp>
        <stp>USDCLP BGN Curncy</stp>
        <stp>PX_BID</stp>
        <stp>[FX_Implied_Actual_Rate.xlsx]Calculations!R11C6_x0000__x0000_</stp>
        <tr r="F11" s="3"/>
      </tp>
      <tp>
        <v>550</v>
        <stp/>
        <stp>##V3_BDPV12</stp>
        <stp>VDN3M CMPN Curncy</stp>
        <stp>PX_ASK_POINTS</stp>
        <stp>[FX_Implied_Actual_Rate.xlsx]Calculations!R35C16_x0000_3</stp>
        <tr r="P35" s="3"/>
      </tp>
      <tp>
        <v>5600.0005000000001</v>
        <stp/>
        <stp>##V3_BDPV12</stp>
        <stp>UKN3M CMPN Curncy</stp>
        <stp>PX_ASK_POINTS</stp>
        <stp>[FX_Implied_Actual_Rate.xlsx]Calculations!R34C16_x0000_3</stp>
        <tr r="P34" s="3"/>
      </tp>
      <tp>
        <v>3</v>
        <stp/>
        <stp>##V3_BDPV12</stp>
        <stp>LKR3M CMPN Curncy</stp>
        <stp>PX_ASK_POINTS</stp>
        <stp>[FX_Implied_Actual_Rate.xlsx]Calculations!R33C16_x0000_3</stp>
        <tr r="P33" s="3"/>
      </tp>
      <tp>
        <v>1157.1851999999999</v>
        <stp/>
        <stp>##V3_BDPV12</stp>
        <stp>USDIQD CMPN Curncy</stp>
        <stp>PX_BID</stp>
        <stp>[FX_Implied_Actual_Rate.xlsx]Calculations!R44C6_x0000__x0000_</stp>
        <tr r="F44" s="3"/>
      </tp>
      <tp>
        <v>93.18</v>
        <stp/>
        <stp>##V3_BDPV12</stp>
        <stp>USDJMD BGN Curncy</stp>
        <stp>PX_ASK</stp>
        <stp>[FX_Implied_Actual_Rate.xlsx]Calculations!R46C7_x0000__x0000_</stp>
        <tr r="G46" s="3"/>
      </tp>
      <tp>
        <v>0.71030000000000004</v>
        <stp/>
        <stp>##V3_BDPV12</stp>
        <stp>USDJOD BGN Curncy</stp>
        <stp>PX_ASK</stp>
        <stp>[FX_Implied_Actual_Rate.xlsx]Calculations!R47C7_x0000__x0000_</stp>
        <tr r="G47" s="3"/>
      </tp>
      <tp>
        <v>40.25</v>
        <stp/>
        <stp>##V3_BDPV12</stp>
        <stp>USDDOP BGN Curncy</stp>
        <stp>PX_BID</stp>
        <stp>[FX_Implied_Actual_Rate.xlsx]Calculations!R39C6_x0000__x0000_</stp>
        <tr r="F39" s="3"/>
      </tp>
      <tp>
        <v>-4</v>
        <stp/>
        <stp>##V3_BDPV12</stp>
        <stp>LTL3M CMPN Curncy</stp>
        <stp>PX_ASK_POINTS</stp>
        <stp>[FX_Implied_Actual_Rate.xlsx]Calculations!R26C16_x0000_3</stp>
        <tr r="P26" s="3"/>
      </tp>
      <tp>
        <v>148</v>
        <stp/>
        <stp>##V3_BDPV12</stp>
        <stp>HRK3M CMPN Curncy</stp>
        <stp>PX_ASK_POINTS</stp>
        <stp>[FX_Implied_Actual_Rate.xlsx]Calculations!R21C16_x0000_3</stp>
        <tr r="P21" s="3"/>
      </tp>
      <tp>
        <v>134.5</v>
        <stp/>
        <stp>##V3_BDPV12</stp>
        <stp>KTN3M CMPN Curncy</stp>
        <stp>PX_ASK_POINTS</stp>
        <stp>[FX_Implied_Actual_Rate.xlsx]Calculations!R25C16_x0000_3</stp>
        <tr r="P25" s="3"/>
      </tp>
      <tp>
        <v>6471</v>
        <stp/>
        <stp>##V3_BDPV12</stp>
        <stp>EPN3M CMPN Curncy</stp>
        <stp>PX_ASK_POINTS</stp>
        <stp>[FX_Implied_Actual_Rate.xlsx]Calculations!R22C16_x0000_3</stp>
        <tr r="P22" s="3"/>
      </tp>
      <tp>
        <v>210.23679999999999</v>
        <stp/>
        <stp>##V3_BDPV12</stp>
        <stp>GEL3M CMPN Curncy</stp>
        <stp>PX_ASK_POINTS</stp>
        <stp>[FX_Implied_Actual_Rate.xlsx]Calculations!R23C16_x0000_3</stp>
        <tr r="P23" s="3"/>
      </tp>
      <tp>
        <v>6.6</v>
        <stp/>
        <stp>##V3_BDPV12</stp>
        <stp>USDEGP BGN Curncy</stp>
        <stp>PX_BID</stp>
        <stp>[FX_Implied_Actual_Rate.xlsx]Calculations!R22C6_x0000__x0000_</stp>
        <tr r="F22" s="3"/>
      </tp>
      <tp>
        <v>3.0421</v>
        <stp/>
        <stp>##V3_BDPV12</stp>
        <stp>BGN3M CMPN Curncy</stp>
        <stp>PX_ASK_POINTS</stp>
        <stp>[FX_Implied_Actual_Rate.xlsx]Calculations!R18C16_x0000_3</stp>
        <tr r="P18" s="3"/>
      </tp>
      <tp>
        <v>5.71</v>
        <stp/>
        <stp>##V3_BDPV12</stp>
        <stp>USDHRK BGN Curncy</stp>
        <stp>PX_ASK</stp>
        <stp>[FX_Implied_Actual_Rate.xlsx]Calculations!R21C7_x0000__x0000_</stp>
        <tr r="G21" s="3"/>
      </tp>
      <tp>
        <v>220.53</v>
        <stp/>
        <stp>##V3_BDPV12</stp>
        <stp>USDHUF BGN Curncy</stp>
        <stp>PX_ASK</stp>
        <stp>[FX_Implied_Actual_Rate.xlsx]Calculations!R24C7_x0000__x0000_</stp>
        <tr r="G24" s="3"/>
      </tp>
      <tp t="e">
        <v>#N/A</v>
        <stp/>
        <stp>##V3_BDPV12</stp>
        <stp/>
        <stp>PX_ask</stp>
        <stp>[FX_Implied_Actual_Rate.xlsx]Graph!R15C19_x0000_R</stp>
        <tr r="S15" s="2"/>
      </tp>
      <tp>
        <v>9829</v>
        <stp/>
        <stp>##V3_BDPV12</stp>
        <stp>USDIDR BGN Curncy</stp>
        <stp>PX_ASK</stp>
        <stp>[FX_Implied_Actual_Rate.xlsx]Calculations!R12C7_x0000__x0000_</stp>
        <tr r="G12" s="3"/>
      </tp>
      <tp>
        <v>1.65</v>
        <stp/>
        <stp>##V3_BDPV12</stp>
        <stp>USDGEL BGN Curncy</stp>
        <stp>PX_BID</stp>
        <stp>[FX_Implied_Actual_Rate.xlsx]Calculations!R23C6_x0000__x0000_</stp>
        <tr r="F23" s="3"/>
      </tp>
      <tp>
        <v>1.9039999999999999</v>
        <stp/>
        <stp>##V3_BDPV12</stp>
        <stp>USDGHS BGN Curncy</stp>
        <stp>PX_BID</stp>
        <stp>[FX_Implied_Actual_Rate.xlsx]Calculations!R43C6_x0000__x0000_</stp>
        <tr r="F43" s="3"/>
      </tp>
      <tp>
        <v>53.712499999999999</v>
        <stp/>
        <stp>##V3_BDPV12</stp>
        <stp>USDINR BGN Curncy</stp>
        <stp>PX_ASK</stp>
        <stp>[FX_Implied_Actual_Rate.xlsx]Calculations!R15C7_x0000__x0000_</stp>
        <tr r="G15" s="3"/>
      </tp>
      <tp>
        <v>25000</v>
        <stp/>
        <stp>##V3_BDPV12</stp>
        <stp>USDECS CMPN Curncy</stp>
        <stp>PX_ASK</stp>
        <stp>[FX_Implied_Actual_Rate.xlsx]Calculations!R40C7_x0000__x0000_</stp>
        <tr r="G40" s="3"/>
      </tp>
      <tp>
        <v>493.15989999999999</v>
        <stp/>
        <stp>##V3_BDPV12</stp>
        <stp>USDXOF BGN Curncy</stp>
        <stp>PX_BID</stp>
        <stp>[FX_Implied_Actual_Rate.xlsx]Calculations!R52C6_x0000__x0000_</stp>
        <tr r="F52" s="3"/>
      </tp>
      <tp>
        <v>493.15989999999999</v>
        <stp/>
        <stp>##V3_BDPV12</stp>
        <stp>USDXOF BGN Curncy</stp>
        <stp>PX_BID</stp>
        <stp>[FX_Implied_Actual_Rate.xlsx]Calculations!R42C6_x0000__x0000_</stp>
        <tr r="F42" s="3"/>
      </tp>
      <tp>
        <v>493.15989999999999</v>
        <stp/>
        <stp>##V3_BDPV12</stp>
        <stp>USDXOF BGN Curncy</stp>
        <stp>PX_BID</stp>
        <stp>[FX_Implied_Actual_Rate.xlsx]Calculations!R45C6_x0000__x0000_</stp>
        <tr r="F45" s="3"/>
      </tp>
      <tp>
        <v>20865</v>
        <stp/>
        <stp>##V3_BDPV12</stp>
        <stp>USDVND BGN Curncy</stp>
        <stp>PX_ASK</stp>
        <stp>[FX_Implied_Actual_Rate.xlsx]Calculations!R35C7_x0000__x0000_</stp>
        <tr r="G35" s="3"/>
      </tp>
      <tp t="s">
        <v>#N/A N/A</v>
        <stp/>
        <stp>##V3_BDPV12</stp>
        <stp>EI864833 Corp</stp>
        <stp>YLD_CNV_MID</stp>
        <stp>[FX_Implied_Actual_Rate.xlsx]Graph!R5C11_x0000__x0000_</stp>
        <tr r="K5" s="2"/>
      </tp>
      <tp>
        <v>-6.8</v>
        <stp/>
        <stp>##V3_BDPV12</stp>
        <stp>JPY3M BGN Curncy</stp>
        <stp>PX_YEST_ASK</stp>
        <stp>[FX_Implied_Actual_Rate.xlsx]Graph!R14C19_x0000_R</stp>
        <tr r="S14" s="2"/>
      </tp>
      <tp>
        <v>0.44</v>
        <stp/>
        <stp>##V3_BDPV12</stp>
        <stp>BPDRC CMPN Curncy</stp>
        <stp>PX_BID</stp>
        <stp>[FX_Implied_Actual_Rate.xlsx]Calculations!R6C12_x0000__x0000_</stp>
        <tr r="L6" s="3"/>
      </tp>
      <tp>
        <v>0.02</v>
        <stp/>
        <stp>##V3_BDPV12</stp>
        <stp>JYDRC CMPN Curncy</stp>
        <stp>PX_BID</stp>
        <stp>[FX_Implied_Actual_Rate.xlsx]Calculations!R2C12_x0000__x0000_</stp>
        <tr r="L2" s="3"/>
      </tp>
      <tp>
        <v>1.7621</v>
        <stp/>
        <stp>##V3_BDPV12</stp>
        <stp>USDTRY BGN Curncy</stp>
        <stp>PX_ASK</stp>
        <stp>[FX_Implied_Actual_Rate.xlsx]Calculations!R16C7_x0000__x0000_</stp>
        <tr r="G16" s="3"/>
      </tp>
      <tp>
        <v>8.8920999999999992</v>
        <stp/>
        <stp>##V3_BDPV12</stp>
        <stp>USDZAR BGN Curncy</stp>
        <stp>PX_BID</stp>
        <stp>[FX_Implied_Actual_Rate.xlsx]Calculations!R32C6_x0000__x0000_</stp>
        <tr r="F32" s="3"/>
      </tp>
      <tp>
        <v>19.399999999999999</v>
        <stp/>
        <stp>##V3_BDPV12</stp>
        <stp>USDUYU BGN Curncy</stp>
        <stp>PX_ASK</stp>
        <stp>[FX_Implied_Actual_Rate.xlsx]Calculations!R54C7_x0000__x0000_</stp>
        <tr r="G54" s="3"/>
      </tp>
      <tp>
        <v>8.1449999999999996</v>
        <stp/>
        <stp>##V3_BDPV12</stp>
        <stp>USDUAH BGN Curncy</stp>
        <stp>PX_ASK</stp>
        <stp>[FX_Implied_Actual_Rate.xlsx]Calculations!R34C7_x0000__x0000_</stp>
        <tr r="G34" s="3"/>
      </tp>
      <tp>
        <v>1.3302</v>
        <stp/>
        <stp>##V3_BDPV12</stp>
        <stp>EURUSD BGN Curncy</stp>
        <stp>PX_ASK</stp>
        <stp>[FX_Implied_Actual_Rate.xlsx]Calculations!R53C7_x0000__x0000_</stp>
        <tr r="G53" s="3"/>
      </tp>
      <tp>
        <v>-7.1</v>
        <stp/>
        <stp>##V3_BDPV12</stp>
        <stp>JPY3M BGN Curncy</stp>
        <stp>PX_YEST_BID</stp>
        <stp>[FX_Implied_Actual_Rate.xlsx]Graph!R14C18_x0000_R</stp>
        <tr r="R14" s="2"/>
      </tp>
      <tp>
        <v>30.281199999999998</v>
        <stp/>
        <stp>##V3_BDPV12</stp>
        <stp>USDRUB BGN Curncy</stp>
        <stp>PX_ASK</stp>
        <stp>[FX_Implied_Actual_Rate.xlsx]Calculations!R13C7_x0000__x0000_</stp>
        <tr r="G13" s="3"/>
      </tp>
      <tp>
        <v>472.05</v>
        <stp/>
        <stp>##V3_BDPV12</stp>
        <stp>USDCLP BGN Curncy</stp>
        <stp>PX_LAST</stp>
        <stp>[FX_Implied_Actual_Rate.xlsx]Graph!R21C12_x0000_R</stp>
        <tr r="L21" s="2"/>
      </tp>
      <tp>
        <v>0.34</v>
        <stp/>
        <stp>##V3_BDPV12</stp>
        <stp>USDRC BDSR Curncy</stp>
        <stp>PX_ASK</stp>
        <stp>[FX_Implied_Actual_Rate.xlsx]Calculations!R5C13_x0000__x0000_</stp>
        <tr r="M5" s="3"/>
      </tp>
      <tp>
        <v>0.375</v>
        <stp/>
        <stp>##V3_BDPV12</stp>
        <stp>SDDRC BDSR Curncy</stp>
        <stp>PX_ASK</stp>
        <stp>[FX_Implied_Actual_Rate.xlsx]Calculations!R4C13_x0000__x0000_</stp>
        <tr r="M4" s="3"/>
      </tp>
      <tp>
        <v>0.2</v>
        <stp/>
        <stp>##V3_BDPV12</stp>
        <stp>EUDRC BDSR Curncy</stp>
        <stp>PX_ASK</stp>
        <stp>[FX_Implied_Actual_Rate.xlsx]Calculations!R7C13_x0000__x0000_</stp>
        <tr r="M7" s="3"/>
      </tp>
      <tp>
        <v>2.57</v>
        <stp/>
        <stp>##V3_BDPV12</stp>
        <stp>KWDRC BDSR Curncy</stp>
        <stp>PX_ASK</stp>
        <stp>[FX_Implied_Actual_Rate.xlsx]Calculations!R8C13_x0000__x0000_</stp>
        <tr r="M8" s="3"/>
      </tp>
      <tp>
        <v>4300.05</v>
        <stp/>
        <stp>##V3_BDPV12</stp>
        <stp>USDVEB CMPN Curncy</stp>
        <stp>PX_ASK</stp>
        <stp>[FX_Implied_Actual_Rate.xlsx]Calculations!R55C7_x0000__x0000_</stp>
        <tr r="G55" s="3"/>
      </tp>
      <tp>
        <v>1</v>
        <stp/>
        <stp>##V3_BDPV12</stp>
        <stp>USDPAB BGN Curncy</stp>
        <stp>PX_ASK</stp>
        <stp>[FX_Implied_Actual_Rate.xlsx]Calculations!R51C7_x0000__x0000_</stp>
        <tr r="G51" s="3"/>
      </tp>
      <tp>
        <v>3.8969999999999998</v>
        <stp/>
        <stp>##V3_BDPV12</stp>
        <stp>MPDRC BDSR Curncy</stp>
        <stp>PX_ASK</stp>
        <stp>[FX_Implied_Actual_Rate.xlsx]Calculations!R9C13_x0000__x0000_</stp>
        <tr r="M9" s="3"/>
      </tp>
      <tp>
        <v>2.5539999999999998</v>
        <stp/>
        <stp>##V3_BDPV12</stp>
        <stp>USDPEN BGN Curncy</stp>
        <stp>PX_ASK</stp>
        <stp>[FX_Implied_Actual_Rate.xlsx]Calculations!R29C7_x0000__x0000_</stp>
        <tr r="G29" s="3"/>
      </tp>
      <tp>
        <v>40.6</v>
        <stp/>
        <stp>##V3_BDPV12</stp>
        <stp>USDPHP BGN Curncy</stp>
        <stp>PX_ASK</stp>
        <stp>[FX_Implied_Actual_Rate.xlsx]Calculations!R30C7_x0000__x0000_</stp>
        <tr r="G30" s="3"/>
      </tp>
      <tp>
        <v>97.793999999999997</v>
        <stp/>
        <stp>##V3_BDPV12</stp>
        <stp>USDPKR BGN Curncy</stp>
        <stp>PX_ASK</stp>
        <stp>[FX_Implied_Actual_Rate.xlsx]Calculations!R50C7_x0000__x0000_</stp>
        <tr r="G50" s="3"/>
      </tp>
      <tp>
        <v>3.1288999999999998</v>
        <stp/>
        <stp>##V3_BDPV12</stp>
        <stp>USDPLN BGN Curncy</stp>
        <stp>PX_ASK</stp>
        <stp>[FX_Implied_Actual_Rate.xlsx]Calculations!R31C7_x0000__x0000_</stp>
        <tr r="G31" s="3"/>
      </tp>
      <tp t="s">
        <v>#N/A N/A</v>
        <stp/>
        <stp>##V3_BDPV12</stp>
        <stp>EH640077 Corp</stp>
        <stp>YLD_CNV_MID</stp>
        <stp>[FX_Implied_Actual_Rate.xlsx]Graph!R17C11_x0000_R</stp>
        <tr r="K17" s="2"/>
      </tp>
      <tp t="s">
        <v>#N/A N/A</v>
        <stp/>
        <stp>##V3_BDPV12</stp>
        <stp>EI119222 Corp</stp>
        <stp>YLD_CNV_MID</stp>
        <stp>[FX_Implied_Actual_Rate.xlsx]Graph!R21C11_x0000_R</stp>
        <tr r="K21" s="2"/>
      </tp>
      <tp>
        <v>1057.08</v>
        <stp/>
        <stp>##V3_BDPV12</stp>
        <stp>USDKRW BGN Curncy</stp>
        <stp>PX_LAST</stp>
        <stp>[FX_Implied_Actual_Rate.xlsx]Graph!R17C12_x0000_R</stp>
        <tr r="L17" s="2"/>
      </tp>
      <tp>
        <v>12.6622</v>
        <stp/>
        <stp>##V3_BDPV12</stp>
        <stp>USDMXN BGN Curncy</stp>
        <stp>PX_LAST</stp>
        <stp>[FX_Implied_Actual_Rate.xlsx]Graph!R19C12_x0000_R</stp>
        <tr r="L19" s="2"/>
      </tp>
      <tp>
        <v>0.26</v>
        <stp/>
        <stp>##V3_BDPV12</stp>
        <stp>USDRC BDSR Curncy</stp>
        <stp>PX_BID</stp>
        <stp>[FX_Implied_Actual_Rate.xlsx]Calculations!R5C12_x0000__x0000_</stp>
        <tr r="L5" s="3"/>
      </tp>
      <tp>
        <v>0.25</v>
        <stp/>
        <stp>##V3_BDPV12</stp>
        <stp>SDDRC BDSR Curncy</stp>
        <stp>PX_BID</stp>
        <stp>[FX_Implied_Actual_Rate.xlsx]Calculations!R4C12_x0000__x0000_</stp>
        <tr r="L4" s="3"/>
      </tp>
      <tp>
        <v>0.1</v>
        <stp/>
        <stp>##V3_BDPV12</stp>
        <stp>EUDRC BDSR Curncy</stp>
        <stp>PX_BID</stp>
        <stp>[FX_Implied_Actual_Rate.xlsx]Calculations!R7C12_x0000__x0000_</stp>
        <tr r="L7" s="3"/>
      </tp>
      <tp>
        <v>2.42</v>
        <stp/>
        <stp>##V3_BDPV12</stp>
        <stp>KWDRC BDSR Curncy</stp>
        <stp>PX_BID</stp>
        <stp>[FX_Implied_Actual_Rate.xlsx]Calculations!R8C12_x0000__x0000_</stp>
        <tr r="L8" s="3"/>
      </tp>
      <tp>
        <v>4289.3500000000004</v>
        <stp/>
        <stp>##V3_BDPV12</stp>
        <stp>USDVEB CMPN Curncy</stp>
        <stp>PX_BID</stp>
        <stp>[FX_Implied_Actual_Rate.xlsx]Calculations!R55C6_x0000__x0000_</stp>
        <tr r="F55" s="3"/>
      </tp>
      <tp>
        <v>1</v>
        <stp/>
        <stp>##V3_BDPV12</stp>
        <stp>USDPAB BGN Curncy</stp>
        <stp>PX_BID</stp>
        <stp>[FX_Implied_Actual_Rate.xlsx]Calculations!R51C6_x0000__x0000_</stp>
        <tr r="F51" s="3"/>
      </tp>
      <tp>
        <v>3.806</v>
        <stp/>
        <stp>##V3_BDPV12</stp>
        <stp>MPDRC BDSR Curncy</stp>
        <stp>PX_BID</stp>
        <stp>[FX_Implied_Actual_Rate.xlsx]Calculations!R9C12_x0000__x0000_</stp>
        <tr r="L9" s="3"/>
      </tp>
      <tp>
        <v>2.5529999999999999</v>
        <stp/>
        <stp>##V3_BDPV12</stp>
        <stp>USDPEN BGN Curncy</stp>
        <stp>PX_BID</stp>
        <stp>[FX_Implied_Actual_Rate.xlsx]Calculations!R29C6_x0000__x0000_</stp>
        <tr r="F29" s="3"/>
      </tp>
      <tp>
        <v>40.563000000000002</v>
        <stp/>
        <stp>##V3_BDPV12</stp>
        <stp>USDPHP BGN Curncy</stp>
        <stp>PX_BID</stp>
        <stp>[FX_Implied_Actual_Rate.xlsx]Calculations!R30C6_x0000__x0000_</stp>
        <tr r="F30" s="3"/>
      </tp>
      <tp>
        <v>97.626499999999993</v>
        <stp/>
        <stp>##V3_BDPV12</stp>
        <stp>USDPKR BGN Curncy</stp>
        <stp>PX_BID</stp>
        <stp>[FX_Implied_Actual_Rate.xlsx]Calculations!R50C6_x0000__x0000_</stp>
        <tr r="F50" s="3"/>
      </tp>
      <tp>
        <v>3.1278999999999999</v>
        <stp/>
        <stp>##V3_BDPV12</stp>
        <stp>USDPLN BGN Curncy</stp>
        <stp>PX_BID</stp>
        <stp>[FX_Implied_Actual_Rate.xlsx]Calculations!R31C6_x0000__x0000_</stp>
        <tr r="F31" s="3"/>
      </tp>
      <tp>
        <v>30.271100000000001</v>
        <stp/>
        <stp>##V3_BDPV12</stp>
        <stp>USDRUB BGN Curncy</stp>
        <stp>PX_BID</stp>
        <stp>[FX_Implied_Actual_Rate.xlsx]Calculations!R13C6_x0000__x0000_</stp>
        <tr r="F13" s="3"/>
      </tp>
      <tp>
        <v>1.7619</v>
        <stp/>
        <stp>##V3_BDPV12</stp>
        <stp>USDTRY BGN Curncy</stp>
        <stp>PX_BID</stp>
        <stp>[FX_Implied_Actual_Rate.xlsx]Calculations!R16C6_x0000__x0000_</stp>
        <tr r="F16" s="3"/>
      </tp>
      <tp>
        <v>8.8957999999999995</v>
        <stp/>
        <stp>##V3_BDPV12</stp>
        <stp>USDZAR BGN Curncy</stp>
        <stp>PX_ASK</stp>
        <stp>[FX_Implied_Actual_Rate.xlsx]Calculations!R32C7_x0000__x0000_</stp>
        <tr r="G32" s="3"/>
      </tp>
      <tp>
        <v>19.25</v>
        <stp/>
        <stp>##V3_BDPV12</stp>
        <stp>USDUYU BGN Curncy</stp>
        <stp>PX_BID</stp>
        <stp>[FX_Implied_Actual_Rate.xlsx]Calculations!R54C6_x0000__x0000_</stp>
        <tr r="F54" s="3"/>
      </tp>
      <tp>
        <v>8.1050000000000004</v>
        <stp/>
        <stp>##V3_BDPV12</stp>
        <stp>USDUAH BGN Curncy</stp>
        <stp>PX_BID</stp>
        <stp>[FX_Implied_Actual_Rate.xlsx]Calculations!R34C6_x0000__x0000_</stp>
        <tr r="F34" s="3"/>
      </tp>
      <tp>
        <v>1.3301000000000001</v>
        <stp/>
        <stp>##V3_BDPV12</stp>
        <stp>EURUSD BGN Curncy</stp>
        <stp>PX_BID</stp>
        <stp>[FX_Implied_Actual_Rate.xlsx]Calculations!R53C6_x0000__x0000_</stp>
        <tr r="F53" s="3"/>
      </tp>
      <tp t="s">
        <v>#N/A N/A</v>
        <stp/>
        <stp>##V3_BDPV12</stp>
        <stp>EI864553 Corp</stp>
        <stp>YLD_CNV_MID</stp>
        <stp>[FX_Implied_Actual_Rate.xlsx]Graph!R4C11_x0000_!</stp>
        <tr r="K4" s="2"/>
      </tp>
      <tp t="s">
        <v>#N/A N/A</v>
        <stp/>
        <stp>##V3_BDPV12</stp>
        <stp>EI769579 Corp</stp>
        <stp>YLD_CNV_MID</stp>
        <stp>[FX_Implied_Actual_Rate.xlsx]Graph!R9C11_x0000_!</stp>
        <tr r="K9" s="2"/>
      </tp>
      <tp>
        <v>0.62997780000000003</v>
        <stp/>
        <stp>##V3_BDPV12</stp>
        <stp>USDGBP CMPN Curncy</stp>
        <stp>FWD_RT_3MO</stp>
        <stp>[FX_Implied_Actual_Rate.xlsx]Calculations!R19C28_x0000_3</stp>
        <tr r="AB19" s="3"/>
      </tp>
      <tp>
        <v>25000</v>
        <stp/>
        <stp>##V3_BDPV12</stp>
        <stp>USDECS CMPN Curncy</stp>
        <stp>PX_BID</stp>
        <stp>[FX_Implied_Actual_Rate.xlsx]Calculations!R40C6_x0000__x0000_</stp>
        <tr r="F40" s="3"/>
      </tp>
      <tp>
        <v>497.65989999999999</v>
        <stp/>
        <stp>##V3_BDPV12</stp>
        <stp>USDXOF BGN Curncy</stp>
        <stp>PX_ASK</stp>
        <stp>[FX_Implied_Actual_Rate.xlsx]Calculations!R52C7_x0000__x0000_</stp>
        <tr r="G52" s="3"/>
      </tp>
      <tp>
        <v>497.65989999999999</v>
        <stp/>
        <stp>##V3_BDPV12</stp>
        <stp>USDXOF BGN Curncy</stp>
        <stp>PX_ASK</stp>
        <stp>[FX_Implied_Actual_Rate.xlsx]Calculations!R42C7_x0000__x0000_</stp>
        <tr r="G42" s="3"/>
      </tp>
      <tp>
        <v>497.65989999999999</v>
        <stp/>
        <stp>##V3_BDPV12</stp>
        <stp>USDXOF BGN Curncy</stp>
        <stp>PX_ASK</stp>
        <stp>[FX_Implied_Actual_Rate.xlsx]Calculations!R45C7_x0000__x0000_</stp>
        <tr r="G45" s="3"/>
      </tp>
      <tp>
        <v>20820</v>
        <stp/>
        <stp>##V3_BDPV12</stp>
        <stp>USDVND BGN Curncy</stp>
        <stp>PX_BID</stp>
        <stp>[FX_Implied_Actual_Rate.xlsx]Calculations!R35C6_x0000__x0000_</stp>
        <tr r="F35" s="3"/>
      </tp>
      <tp>
        <v>0.52</v>
        <stp/>
        <stp>##V3_BDPV12</stp>
        <stp>BPDRC CMPN Curncy</stp>
        <stp>PX_ASK</stp>
        <stp>[FX_Implied_Actual_Rate.xlsx]Calculations!R6C13_x0000__x0000_</stp>
        <tr r="M6" s="3"/>
      </tp>
      <tp>
        <v>0.17</v>
        <stp/>
        <stp>##V3_BDPV12</stp>
        <stp>JYDRC CMPN Curncy</stp>
        <stp>PX_ASK</stp>
        <stp>[FX_Implied_Actual_Rate.xlsx]Calculations!R2C13_x0000__x0000_</stp>
        <tr r="M2" s="3"/>
      </tp>
      <tp t="s">
        <v>#N/A N/A</v>
        <stp/>
        <stp>##V3_BDPV12</stp>
        <stp>9127953C@BGN GOVT</stp>
        <stp>YLD_CNV_MID</stp>
        <stp>[FX_Implied_Actual_Rate.xlsx]Graph!R6C11_x0000_!</stp>
        <tr r="K6" s="2"/>
      </tp>
      <tp t="e">
        <v>#N/A</v>
        <stp/>
        <stp>##V3_BDPV12</stp>
        <stp/>
        <stp>YLD_CNV_MID</stp>
        <stp>[FX_Implied_Actual_Rate.xlsx]Graph!R18C11_x0000_R</stp>
        <tr r="K18" s="2"/>
      </tp>
      <tp t="e">
        <v>#N/A</v>
        <stp/>
        <stp>##V3_BDPV12</stp>
        <stp/>
        <stp>YLD_CNV_MID</stp>
        <stp>[FX_Implied_Actual_Rate.xlsx]Graph!R14C11_x0000_R</stp>
        <tr r="K14" s="2"/>
      </tp>
      <tp t="s">
        <v>#N/A N/A</v>
        <stp/>
        <stp>##V3_BDPV12</stp>
        <stp>9127953C@BGN Govt</stp>
        <stp>YLD_CNV_MID</stp>
        <stp>[FX_Implied_Actual_Rate.xlsx]Graph!R4C14_x0000_!</stp>
        <tr r="N4" s="2"/>
      </tp>
      <tp t="e">
        <v>#N/A</v>
        <stp/>
        <stp>##V3_BDPV12</stp>
        <stp/>
        <stp>PX_MID</stp>
        <stp>[FX_Implied_Actual_Rate.xlsx]Graph!R20C11_x0000_R</stp>
        <tr r="K20" s="2"/>
      </tp>
      <tp>
        <v>477.60500000000002</v>
        <stp/>
        <stp>##V3_BDPV12</stp>
        <stp>USDCLP BGN Curncy</stp>
        <stp>FWD_RT_3MO</stp>
        <stp>[FX_Implied_Actual_Rate.xlsx]Graph!R21C13_x0000_R</stp>
        <tr r="M21" s="2"/>
      </tp>
      <tp t="e">
        <v>#N/A</v>
        <stp/>
        <stp>##V3_BDPV12</stp>
        <stp/>
        <stp>PX_BID</stp>
        <stp>[FX_Implied_Actual_Rate.xlsx]Graph!R15C18_x0000_R</stp>
        <tr r="R15" s="2"/>
      </tp>
      <tp>
        <v>1064.3800000000001</v>
        <stp/>
        <stp>##V3_BDPV12</stp>
        <stp>USDKRW BGN Curncy</stp>
        <stp>FWD_RT_3MO</stp>
        <stp>[FX_Implied_Actual_Rate.xlsx]Graph!R17C13_x0000_R</stp>
        <tr r="M17" s="2"/>
      </tp>
      <tp t="e">
        <v>#N/A</v>
        <stp/>
        <stp>##V3_BDPV12</stp>
        <stp/>
        <stp>YLD_CNV_MID</stp>
        <stp>[FX_Implied_Actual_Rate.xlsx]Graph!R7C11_x0000_!</stp>
        <tr r="K7" s="2"/>
      </tp>
      <tp>
        <v>12.77445</v>
        <stp/>
        <stp>##V3_BDPV12</stp>
        <stp>USDMXN BGN Curncy</stp>
        <stp>FWD_RT_3MO</stp>
        <stp>[FX_Implied_Actual_Rate.xlsx]Graph!R19C13_x0000_R</stp>
        <tr r="M19" s="2"/>
      </tp>
      <tp>
        <v>1.331026</v>
        <stp/>
        <stp>##V3_BDPV12</stp>
        <stp>EURUSD BGN Curncy</stp>
        <stp>FWD_RT_3MO</stp>
        <stp>[FX_Implied_Actual_Rate.xlsx]Graph!R13C13_x0000_R</stp>
        <tr r="M13" s="2"/>
      </tp>
      <tp>
        <v>4</v>
        <stp/>
        <stp>##V3_BDPV12</stp>
        <stp>USDSGD BGN Curncy</stp>
        <stp>FWD_SCALE</stp>
        <stp>[FX_Implied_Actual_Rate.xlsx]Scale!R4C3_x0000_s</stp>
        <tr r="C4" s="5"/>
      </tp>
      <tp>
        <v>0</v>
        <stp/>
        <stp>##V3_BDPV12</stp>
        <stp>USDCNY BGN Curncy</stp>
        <stp>FWD_SCALE</stp>
        <stp>[FX_Implied_Actual_Rate.xlsx]Scale!R3C3_x0000_s</stp>
        <tr r="C3" s="5"/>
      </tp>
      <tp>
        <v>4</v>
        <stp/>
        <stp>##V3_BDPV12</stp>
        <stp>USDEUR BGN Curncy</stp>
        <stp>FWD_SCALE</stp>
        <stp>[FX_Implied_Actual_Rate.xlsx]Scale!R7C3_x0000__x0000_</stp>
        <tr r="C7" s="5"/>
      </tp>
      <tp>
        <v>4</v>
        <stp/>
        <stp>##V3_BDPV12</stp>
        <stp>USDGBP BGN Curncy</stp>
        <stp>FWD_SCALE</stp>
        <stp>[FX_Implied_Actual_Rate.xlsx]Scale!R6C3_x0000__x0000_</stp>
        <tr r="C6" s="5"/>
      </tp>
      <tp>
        <v>2</v>
        <stp/>
        <stp>##V3_BDPV12</stp>
        <stp>USDJPY BGN Curncy</stp>
        <stp>FWD_SCALE</stp>
        <stp>[FX_Implied_Actual_Rate.xlsx]Scale!R2C3_x0000_s</stp>
        <tr r="C2" s="5"/>
      </tp>
      <tp>
        <v>0</v>
        <stp/>
        <stp>##V3_BDPV12</stp>
        <stp>USDKRW BGN Curncy</stp>
        <stp>FWD_SCALE</stp>
        <stp>[FX_Implied_Actual_Rate.xlsx]Scale!R8C3_x0000__x0000_</stp>
        <tr r="C8" s="5"/>
      </tp>
      <tp>
        <v>4</v>
        <stp/>
        <stp>##V3_BDPV12</stp>
        <stp>USDMXN BGN Curncy</stp>
        <stp>FWD_SCALE</stp>
        <stp>[FX_Implied_Actual_Rate.xlsx]Scale!R9C3_x0000_s</stp>
        <tr r="C9" s="5"/>
      </tp>
      <tp t="e">
        <v>#N/A</v>
        <stp/>
        <stp>##V3_BDPV12</stp>
        <stp/>
        <stp>YLD_YTM_MID</stp>
        <stp>[FX_Implied_Actual_Rate.xlsx]Graph!R15C11_x0000_R</stp>
        <tr r="K15" s="2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volatileDependencies" Target="volatileDependencie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Implied</a:t>
            </a:r>
            <a:r>
              <a:rPr lang="en-US" sz="1400" baseline="0"/>
              <a:t> vs Actual 3 Month Deposit Rate</a:t>
            </a:r>
            <a:endParaRPr lang="en-US" sz="1400"/>
          </a:p>
        </c:rich>
      </c:tx>
      <c:layout>
        <c:manualLayout>
          <c:xMode val="edge"/>
          <c:yMode val="edge"/>
          <c:x val="0.35984061530435707"/>
          <c:y val="0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5.7263727984765624E-2"/>
          <c:y val="5.2046991235922102E-2"/>
          <c:w val="0.89525750366080614"/>
          <c:h val="0.70467491752154099"/>
        </c:manualLayout>
      </c:layout>
      <c:lineChart>
        <c:grouping val="standard"/>
        <c:varyColors val="0"/>
        <c:ser>
          <c:idx val="0"/>
          <c:order val="0"/>
          <c:tx>
            <c:strRef>
              <c:f>Graph!$I$3</c:f>
              <c:strCache>
                <c:ptCount val="1"/>
                <c:pt idx="0">
                  <c:v>Implied 3 Month Deposit Rate Mid</c:v>
                </c:pt>
              </c:strCache>
            </c:strRef>
          </c:tx>
          <c:spPr>
            <a:ln w="19050">
              <a:solidFill>
                <a:schemeClr val="tx2"/>
              </a:solidFill>
            </a:ln>
          </c:spPr>
          <c:marker>
            <c:symbol val="none"/>
          </c:marker>
          <c:cat>
            <c:strRef>
              <c:f>Graph!$A$4:$A$37</c:f>
              <c:strCache>
                <c:ptCount val="34"/>
                <c:pt idx="0">
                  <c:v>Japan</c:v>
                </c:pt>
                <c:pt idx="1">
                  <c:v>Singapore</c:v>
                </c:pt>
                <c:pt idx="2">
                  <c:v>United States</c:v>
                </c:pt>
                <c:pt idx="3">
                  <c:v>Philippines</c:v>
                </c:pt>
                <c:pt idx="4">
                  <c:v>China</c:v>
                </c:pt>
                <c:pt idx="5">
                  <c:v>United Kingdom</c:v>
                </c:pt>
                <c:pt idx="6">
                  <c:v>Colombia</c:v>
                </c:pt>
                <c:pt idx="7">
                  <c:v>Canada</c:v>
                </c:pt>
                <c:pt idx="8">
                  <c:v>Bulgaria</c:v>
                </c:pt>
                <c:pt idx="9">
                  <c:v>Euro</c:v>
                </c:pt>
                <c:pt idx="10">
                  <c:v>Kazakhstan</c:v>
                </c:pt>
                <c:pt idx="11">
                  <c:v>Lithuania</c:v>
                </c:pt>
                <c:pt idx="12">
                  <c:v>Norway</c:v>
                </c:pt>
                <c:pt idx="13">
                  <c:v>Korea</c:v>
                </c:pt>
                <c:pt idx="14">
                  <c:v>Malaysia</c:v>
                </c:pt>
                <c:pt idx="15">
                  <c:v>Mexico</c:v>
                </c:pt>
                <c:pt idx="16">
                  <c:v>Hungary</c:v>
                </c:pt>
                <c:pt idx="17">
                  <c:v>Chile</c:v>
                </c:pt>
                <c:pt idx="18">
                  <c:v>Australia</c:v>
                </c:pt>
                <c:pt idx="19">
                  <c:v>Peru</c:v>
                </c:pt>
                <c:pt idx="20">
                  <c:v>Poland</c:v>
                </c:pt>
                <c:pt idx="21">
                  <c:v>Croatia</c:v>
                </c:pt>
                <c:pt idx="22">
                  <c:v>Indonesia</c:v>
                </c:pt>
                <c:pt idx="23">
                  <c:v>South Africa</c:v>
                </c:pt>
                <c:pt idx="24">
                  <c:v>Russia</c:v>
                </c:pt>
                <c:pt idx="25">
                  <c:v>Georgia</c:v>
                </c:pt>
                <c:pt idx="26">
                  <c:v>Egypt</c:v>
                </c:pt>
                <c:pt idx="27">
                  <c:v>Brazil</c:v>
                </c:pt>
                <c:pt idx="28">
                  <c:v>Sri Lanka</c:v>
                </c:pt>
                <c:pt idx="29">
                  <c:v>India</c:v>
                </c:pt>
                <c:pt idx="30">
                  <c:v>Turkey</c:v>
                </c:pt>
                <c:pt idx="31">
                  <c:v>Vietnam</c:v>
                </c:pt>
                <c:pt idx="32">
                  <c:v>Ukraine</c:v>
                </c:pt>
                <c:pt idx="33">
                  <c:v>Argentina</c:v>
                </c:pt>
              </c:strCache>
            </c:strRef>
          </c:cat>
          <c:val>
            <c:numRef>
              <c:f>Graph!$I$4:$I$37</c:f>
              <c:numCache>
                <c:formatCode>0.00</c:formatCode>
                <c:ptCount val="34"/>
                <c:pt idx="0">
                  <c:v>-2.6930781214964394E-3</c:v>
                </c:pt>
                <c:pt idx="1">
                  <c:v>0.32606712284132233</c:v>
                </c:pt>
                <c:pt idx="2">
                  <c:v>0.30000000000000004</c:v>
                </c:pt>
                <c:pt idx="3">
                  <c:v>-1.6713416211820877</c:v>
                </c:pt>
                <c:pt idx="4">
                  <c:v>4.1983282540346663</c:v>
                </c:pt>
                <c:pt idx="5">
                  <c:v>0.65254883277753284</c:v>
                </c:pt>
                <c:pt idx="6">
                  <c:v>3.602905878493778</c:v>
                </c:pt>
                <c:pt idx="7">
                  <c:v>1.0886133883216573</c:v>
                </c:pt>
                <c:pt idx="8">
                  <c:v>0.11020197211831761</c:v>
                </c:pt>
                <c:pt idx="9">
                  <c:v>0.76595744680848488</c:v>
                </c:pt>
                <c:pt idx="10">
                  <c:v>3.2723005473544893</c:v>
                </c:pt>
                <c:pt idx="11">
                  <c:v>0.13126589105482123</c:v>
                </c:pt>
                <c:pt idx="12">
                  <c:v>1.6898540653231706</c:v>
                </c:pt>
                <c:pt idx="13">
                  <c:v>2.4001348059503931</c:v>
                </c:pt>
                <c:pt idx="14">
                  <c:v>2.4320137493565204</c:v>
                </c:pt>
                <c:pt idx="15">
                  <c:v>3.8459872691949277</c:v>
                </c:pt>
                <c:pt idx="16">
                  <c:v>4.7632934932982591</c:v>
                </c:pt>
                <c:pt idx="17">
                  <c:v>5.0028418298714845</c:v>
                </c:pt>
                <c:pt idx="18">
                  <c:v>3.2383985727778226</c:v>
                </c:pt>
                <c:pt idx="19">
                  <c:v>0.43315057763847453</c:v>
                </c:pt>
                <c:pt idx="20">
                  <c:v>3.6716915995396944</c:v>
                </c:pt>
                <c:pt idx="21">
                  <c:v>0.98875242688593024</c:v>
                </c:pt>
                <c:pt idx="22">
                  <c:v>3.3525030525030415</c:v>
                </c:pt>
                <c:pt idx="23">
                  <c:v>5.1729754496033449</c:v>
                </c:pt>
                <c:pt idx="24">
                  <c:v>6.0338862437926073</c:v>
                </c:pt>
                <c:pt idx="25">
                  <c:v>4.010304164152056</c:v>
                </c:pt>
                <c:pt idx="26">
                  <c:v>33.448049981067811</c:v>
                </c:pt>
                <c:pt idx="27">
                  <c:v>5.1707609493516378</c:v>
                </c:pt>
                <c:pt idx="28">
                  <c:v>9.1499071549919435</c:v>
                </c:pt>
                <c:pt idx="29">
                  <c:v>6.1466193413242882</c:v>
                </c:pt>
                <c:pt idx="30">
                  <c:v>4.9464245175936723</c:v>
                </c:pt>
                <c:pt idx="31">
                  <c:v>8.9362000719683259</c:v>
                </c:pt>
                <c:pt idx="32">
                  <c:v>22.946156307692334</c:v>
                </c:pt>
                <c:pt idx="33">
                  <c:v>27.534248886284896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Graph!$G$3</c:f>
              <c:strCache>
                <c:ptCount val="1"/>
                <c:pt idx="0">
                  <c:v>Actual 3 Month Deposit Rate</c:v>
                </c:pt>
              </c:strCache>
            </c:strRef>
          </c:tx>
          <c:spPr>
            <a:ln w="19050"/>
          </c:spPr>
          <c:marker>
            <c:symbol val="none"/>
          </c:marker>
          <c:cat>
            <c:strRef>
              <c:f>Graph!$A$4:$A$37</c:f>
              <c:strCache>
                <c:ptCount val="34"/>
                <c:pt idx="0">
                  <c:v>Japan</c:v>
                </c:pt>
                <c:pt idx="1">
                  <c:v>Singapore</c:v>
                </c:pt>
                <c:pt idx="2">
                  <c:v>United States</c:v>
                </c:pt>
                <c:pt idx="3">
                  <c:v>Philippines</c:v>
                </c:pt>
                <c:pt idx="4">
                  <c:v>China</c:v>
                </c:pt>
                <c:pt idx="5">
                  <c:v>United Kingdom</c:v>
                </c:pt>
                <c:pt idx="6">
                  <c:v>Colombia</c:v>
                </c:pt>
                <c:pt idx="7">
                  <c:v>Canada</c:v>
                </c:pt>
                <c:pt idx="8">
                  <c:v>Bulgaria</c:v>
                </c:pt>
                <c:pt idx="9">
                  <c:v>Euro</c:v>
                </c:pt>
                <c:pt idx="10">
                  <c:v>Kazakhstan</c:v>
                </c:pt>
                <c:pt idx="11">
                  <c:v>Lithuania</c:v>
                </c:pt>
                <c:pt idx="12">
                  <c:v>Norway</c:v>
                </c:pt>
                <c:pt idx="13">
                  <c:v>Korea</c:v>
                </c:pt>
                <c:pt idx="14">
                  <c:v>Malaysia</c:v>
                </c:pt>
                <c:pt idx="15">
                  <c:v>Mexico</c:v>
                </c:pt>
                <c:pt idx="16">
                  <c:v>Hungary</c:v>
                </c:pt>
                <c:pt idx="17">
                  <c:v>Chile</c:v>
                </c:pt>
                <c:pt idx="18">
                  <c:v>Australia</c:v>
                </c:pt>
                <c:pt idx="19">
                  <c:v>Peru</c:v>
                </c:pt>
                <c:pt idx="20">
                  <c:v>Poland</c:v>
                </c:pt>
                <c:pt idx="21">
                  <c:v>Croatia</c:v>
                </c:pt>
                <c:pt idx="22">
                  <c:v>Indonesia</c:v>
                </c:pt>
                <c:pt idx="23">
                  <c:v>South Africa</c:v>
                </c:pt>
                <c:pt idx="24">
                  <c:v>Russia</c:v>
                </c:pt>
                <c:pt idx="25">
                  <c:v>Georgia</c:v>
                </c:pt>
                <c:pt idx="26">
                  <c:v>Egypt</c:v>
                </c:pt>
                <c:pt idx="27">
                  <c:v>Brazil</c:v>
                </c:pt>
                <c:pt idx="28">
                  <c:v>Sri Lanka</c:v>
                </c:pt>
                <c:pt idx="29">
                  <c:v>India</c:v>
                </c:pt>
                <c:pt idx="30">
                  <c:v>Turkey</c:v>
                </c:pt>
                <c:pt idx="31">
                  <c:v>Vietnam</c:v>
                </c:pt>
                <c:pt idx="32">
                  <c:v>Ukraine</c:v>
                </c:pt>
                <c:pt idx="33">
                  <c:v>Argentina</c:v>
                </c:pt>
              </c:strCache>
            </c:strRef>
          </c:cat>
          <c:val>
            <c:numRef>
              <c:f>Graph!$G$4:$G$37</c:f>
              <c:numCache>
                <c:formatCode>0.00</c:formatCode>
                <c:ptCount val="34"/>
                <c:pt idx="0">
                  <c:v>9.5000000000000001E-2</c:v>
                </c:pt>
                <c:pt idx="1">
                  <c:v>0.3125</c:v>
                </c:pt>
                <c:pt idx="2">
                  <c:v>0.30000000000000004</c:v>
                </c:pt>
                <c:pt idx="3">
                  <c:v>-1.325</c:v>
                </c:pt>
                <c:pt idx="4">
                  <c:v>4.2630499999999998</c:v>
                </c:pt>
                <c:pt idx="5">
                  <c:v>0.48</c:v>
                </c:pt>
                <c:pt idx="6">
                  <c:v>3.8109000000000002</c:v>
                </c:pt>
                <c:pt idx="7">
                  <c:v>1.165</c:v>
                </c:pt>
                <c:pt idx="8">
                  <c:v>1.55</c:v>
                </c:pt>
                <c:pt idx="9">
                  <c:v>0.15000000000000002</c:v>
                </c:pt>
                <c:pt idx="10">
                  <c:v>5.7</c:v>
                </c:pt>
                <c:pt idx="11">
                  <c:v>1.4750000000000001</c:v>
                </c:pt>
                <c:pt idx="12">
                  <c:v>1.7515499999999999</c:v>
                </c:pt>
                <c:pt idx="13">
                  <c:v>2.4950000000000001</c:v>
                </c:pt>
                <c:pt idx="14">
                  <c:v>3.2050000000000001</c:v>
                </c:pt>
                <c:pt idx="15">
                  <c:v>3.8514999999999997</c:v>
                </c:pt>
                <c:pt idx="16">
                  <c:v>4.8650000000000002</c:v>
                </c:pt>
                <c:pt idx="17">
                  <c:v>5.01</c:v>
                </c:pt>
                <c:pt idx="18">
                  <c:v>3.145</c:v>
                </c:pt>
                <c:pt idx="19">
                  <c:v>4.3475999999999999</c:v>
                </c:pt>
                <c:pt idx="20">
                  <c:v>3.97</c:v>
                </c:pt>
                <c:pt idx="21">
                  <c:v>1.1499999999999999</c:v>
                </c:pt>
                <c:pt idx="22">
                  <c:v>4.7750000000000004</c:v>
                </c:pt>
                <c:pt idx="23">
                  <c:v>3.7874999999999996</c:v>
                </c:pt>
                <c:pt idx="24">
                  <c:v>6.1</c:v>
                </c:pt>
                <c:pt idx="25">
                  <c:v>0</c:v>
                </c:pt>
                <c:pt idx="26">
                  <c:v>8.5</c:v>
                </c:pt>
                <c:pt idx="27">
                  <c:v>5.25</c:v>
                </c:pt>
                <c:pt idx="28">
                  <c:v>13.125</c:v>
                </c:pt>
                <c:pt idx="29">
                  <c:v>8.8249999999999993</c:v>
                </c:pt>
                <c:pt idx="30">
                  <c:v>6.25</c:v>
                </c:pt>
                <c:pt idx="31">
                  <c:v>6.5</c:v>
                </c:pt>
                <c:pt idx="32">
                  <c:v>0</c:v>
                </c:pt>
                <c:pt idx="33">
                  <c:v>27.625499999999999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Graph!$H$3</c:f>
              <c:strCache>
                <c:ptCount val="1"/>
                <c:pt idx="0">
                  <c:v>Implied 3 Month Deposit Rate Bid</c:v>
                </c:pt>
              </c:strCache>
            </c:strRef>
          </c:tx>
          <c:spPr>
            <a:ln w="19050"/>
          </c:spPr>
          <c:marker>
            <c:symbol val="none"/>
          </c:marker>
          <c:cat>
            <c:strRef>
              <c:f>Graph!$A$4:$A$37</c:f>
              <c:strCache>
                <c:ptCount val="34"/>
                <c:pt idx="0">
                  <c:v>Japan</c:v>
                </c:pt>
                <c:pt idx="1">
                  <c:v>Singapore</c:v>
                </c:pt>
                <c:pt idx="2">
                  <c:v>United States</c:v>
                </c:pt>
                <c:pt idx="3">
                  <c:v>Philippines</c:v>
                </c:pt>
                <c:pt idx="4">
                  <c:v>China</c:v>
                </c:pt>
                <c:pt idx="5">
                  <c:v>United Kingdom</c:v>
                </c:pt>
                <c:pt idx="6">
                  <c:v>Colombia</c:v>
                </c:pt>
                <c:pt idx="7">
                  <c:v>Canada</c:v>
                </c:pt>
                <c:pt idx="8">
                  <c:v>Bulgaria</c:v>
                </c:pt>
                <c:pt idx="9">
                  <c:v>Euro</c:v>
                </c:pt>
                <c:pt idx="10">
                  <c:v>Kazakhstan</c:v>
                </c:pt>
                <c:pt idx="11">
                  <c:v>Lithuania</c:v>
                </c:pt>
                <c:pt idx="12">
                  <c:v>Norway</c:v>
                </c:pt>
                <c:pt idx="13">
                  <c:v>Korea</c:v>
                </c:pt>
                <c:pt idx="14">
                  <c:v>Malaysia</c:v>
                </c:pt>
                <c:pt idx="15">
                  <c:v>Mexico</c:v>
                </c:pt>
                <c:pt idx="16">
                  <c:v>Hungary</c:v>
                </c:pt>
                <c:pt idx="17">
                  <c:v>Chile</c:v>
                </c:pt>
                <c:pt idx="18">
                  <c:v>Australia</c:v>
                </c:pt>
                <c:pt idx="19">
                  <c:v>Peru</c:v>
                </c:pt>
                <c:pt idx="20">
                  <c:v>Poland</c:v>
                </c:pt>
                <c:pt idx="21">
                  <c:v>Croatia</c:v>
                </c:pt>
                <c:pt idx="22">
                  <c:v>Indonesia</c:v>
                </c:pt>
                <c:pt idx="23">
                  <c:v>South Africa</c:v>
                </c:pt>
                <c:pt idx="24">
                  <c:v>Russia</c:v>
                </c:pt>
                <c:pt idx="25">
                  <c:v>Georgia</c:v>
                </c:pt>
                <c:pt idx="26">
                  <c:v>Egypt</c:v>
                </c:pt>
                <c:pt idx="27">
                  <c:v>Brazil</c:v>
                </c:pt>
                <c:pt idx="28">
                  <c:v>Sri Lanka</c:v>
                </c:pt>
                <c:pt idx="29">
                  <c:v>India</c:v>
                </c:pt>
                <c:pt idx="30">
                  <c:v>Turkey</c:v>
                </c:pt>
                <c:pt idx="31">
                  <c:v>Vietnam</c:v>
                </c:pt>
                <c:pt idx="32">
                  <c:v>Ukraine</c:v>
                </c:pt>
                <c:pt idx="33">
                  <c:v>Argentina</c:v>
                </c:pt>
              </c:strCache>
            </c:strRef>
          </c:cat>
          <c:val>
            <c:numRef>
              <c:f>Graph!$H$4:$H$37</c:f>
              <c:numCache>
                <c:formatCode>0.00</c:formatCode>
                <c:ptCount val="34"/>
                <c:pt idx="0">
                  <c:v>-4.895937673900419E-2</c:v>
                </c:pt>
                <c:pt idx="1">
                  <c:v>0.27401221995926961</c:v>
                </c:pt>
                <c:pt idx="2">
                  <c:v>0.26</c:v>
                </c:pt>
                <c:pt idx="3">
                  <c:v>-2.1855784828538276</c:v>
                </c:pt>
                <c:pt idx="4">
                  <c:v>4.089568127695193</c:v>
                </c:pt>
                <c:pt idx="5">
                  <c:v>0.59349213911382237</c:v>
                </c:pt>
                <c:pt idx="6">
                  <c:v>3.442543544937033</c:v>
                </c:pt>
                <c:pt idx="7">
                  <c:v>1.0385937028468304</c:v>
                </c:pt>
                <c:pt idx="8">
                  <c:v>-0.20240903217031891</c:v>
                </c:pt>
                <c:pt idx="9">
                  <c:v>0.71797872340429536</c:v>
                </c:pt>
                <c:pt idx="10">
                  <c:v>2.6355806237558017</c:v>
                </c:pt>
                <c:pt idx="11">
                  <c:v>-1.5851440900032321E-2</c:v>
                </c:pt>
                <c:pt idx="12">
                  <c:v>1.6347772153703153</c:v>
                </c:pt>
                <c:pt idx="13">
                  <c:v>2.2471309613928465</c:v>
                </c:pt>
                <c:pt idx="14">
                  <c:v>2.2997342192691068</c:v>
                </c:pt>
                <c:pt idx="15">
                  <c:v>3.7612557853002055</c:v>
                </c:pt>
                <c:pt idx="16">
                  <c:v>4.5431215970962509</c:v>
                </c:pt>
                <c:pt idx="17">
                  <c:v>4.8559467480709113</c:v>
                </c:pt>
                <c:pt idx="18">
                  <c:v>3.2093126246195709</c:v>
                </c:pt>
                <c:pt idx="19">
                  <c:v>0.10332158245203815</c:v>
                </c:pt>
                <c:pt idx="20">
                  <c:v>3.5684177882924946</c:v>
                </c:pt>
                <c:pt idx="21">
                  <c:v>0.5984512330554479</c:v>
                </c:pt>
                <c:pt idx="22">
                  <c:v>3.1092927648315456</c:v>
                </c:pt>
                <c:pt idx="23">
                  <c:v>5.0642644594640469</c:v>
                </c:pt>
                <c:pt idx="24">
                  <c:v>5.9567074206091259</c:v>
                </c:pt>
                <c:pt idx="25">
                  <c:v>2.6154400000000084</c:v>
                </c:pt>
                <c:pt idx="26">
                  <c:v>27.363030303030275</c:v>
                </c:pt>
                <c:pt idx="27">
                  <c:v>5.0489584964761587</c:v>
                </c:pt>
                <c:pt idx="28">
                  <c:v>8.4826438962682555</c:v>
                </c:pt>
                <c:pt idx="29">
                  <c:v>5.9910986964617781</c:v>
                </c:pt>
                <c:pt idx="30">
                  <c:v>4.7835257392587156</c:v>
                </c:pt>
                <c:pt idx="31">
                  <c:v>6.9843035542747796</c:v>
                </c:pt>
                <c:pt idx="32">
                  <c:v>18.026813078346734</c:v>
                </c:pt>
                <c:pt idx="33">
                  <c:v>25.179172324603968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Graph!$J$3</c:f>
              <c:strCache>
                <c:ptCount val="1"/>
                <c:pt idx="0">
                  <c:v>Implied 3 Month Deposit Rate Ask</c:v>
                </c:pt>
              </c:strCache>
            </c:strRef>
          </c:tx>
          <c:spPr>
            <a:ln w="19050"/>
          </c:spPr>
          <c:marker>
            <c:symbol val="none"/>
          </c:marker>
          <c:cat>
            <c:strRef>
              <c:f>Graph!$A$4:$A$37</c:f>
              <c:strCache>
                <c:ptCount val="34"/>
                <c:pt idx="0">
                  <c:v>Japan</c:v>
                </c:pt>
                <c:pt idx="1">
                  <c:v>Singapore</c:v>
                </c:pt>
                <c:pt idx="2">
                  <c:v>United States</c:v>
                </c:pt>
                <c:pt idx="3">
                  <c:v>Philippines</c:v>
                </c:pt>
                <c:pt idx="4">
                  <c:v>China</c:v>
                </c:pt>
                <c:pt idx="5">
                  <c:v>United Kingdom</c:v>
                </c:pt>
                <c:pt idx="6">
                  <c:v>Colombia</c:v>
                </c:pt>
                <c:pt idx="7">
                  <c:v>Canada</c:v>
                </c:pt>
                <c:pt idx="8">
                  <c:v>Bulgaria</c:v>
                </c:pt>
                <c:pt idx="9">
                  <c:v>Euro</c:v>
                </c:pt>
                <c:pt idx="10">
                  <c:v>Kazakhstan</c:v>
                </c:pt>
                <c:pt idx="11">
                  <c:v>Lithuania</c:v>
                </c:pt>
                <c:pt idx="12">
                  <c:v>Norway</c:v>
                </c:pt>
                <c:pt idx="13">
                  <c:v>Korea</c:v>
                </c:pt>
                <c:pt idx="14">
                  <c:v>Malaysia</c:v>
                </c:pt>
                <c:pt idx="15">
                  <c:v>Mexico</c:v>
                </c:pt>
                <c:pt idx="16">
                  <c:v>Hungary</c:v>
                </c:pt>
                <c:pt idx="17">
                  <c:v>Chile</c:v>
                </c:pt>
                <c:pt idx="18">
                  <c:v>Australia</c:v>
                </c:pt>
                <c:pt idx="19">
                  <c:v>Peru</c:v>
                </c:pt>
                <c:pt idx="20">
                  <c:v>Poland</c:v>
                </c:pt>
                <c:pt idx="21">
                  <c:v>Croatia</c:v>
                </c:pt>
                <c:pt idx="22">
                  <c:v>Indonesia</c:v>
                </c:pt>
                <c:pt idx="23">
                  <c:v>South Africa</c:v>
                </c:pt>
                <c:pt idx="24">
                  <c:v>Russia</c:v>
                </c:pt>
                <c:pt idx="25">
                  <c:v>Georgia</c:v>
                </c:pt>
                <c:pt idx="26">
                  <c:v>Egypt</c:v>
                </c:pt>
                <c:pt idx="27">
                  <c:v>Brazil</c:v>
                </c:pt>
                <c:pt idx="28">
                  <c:v>Sri Lanka</c:v>
                </c:pt>
                <c:pt idx="29">
                  <c:v>India</c:v>
                </c:pt>
                <c:pt idx="30">
                  <c:v>Turkey</c:v>
                </c:pt>
                <c:pt idx="31">
                  <c:v>Vietnam</c:v>
                </c:pt>
                <c:pt idx="32">
                  <c:v>Ukraine</c:v>
                </c:pt>
                <c:pt idx="33">
                  <c:v>Argentina</c:v>
                </c:pt>
              </c:strCache>
            </c:strRef>
          </c:cat>
          <c:val>
            <c:numRef>
              <c:f>Graph!$J$4:$J$37</c:f>
              <c:numCache>
                <c:formatCode>0.00</c:formatCode>
                <c:ptCount val="34"/>
                <c:pt idx="0">
                  <c:v>4.3571825970893652E-2</c:v>
                </c:pt>
                <c:pt idx="1">
                  <c:v>0.37812006190431208</c:v>
                </c:pt>
                <c:pt idx="2">
                  <c:v>0.34</c:v>
                </c:pt>
                <c:pt idx="3">
                  <c:v>-1.1575369458128273</c:v>
                </c:pt>
                <c:pt idx="4">
                  <c:v>4.3070165399514622</c:v>
                </c:pt>
                <c:pt idx="5">
                  <c:v>0.71160552644115449</c:v>
                </c:pt>
                <c:pt idx="6">
                  <c:v>3.7631321433012772</c:v>
                </c:pt>
                <c:pt idx="7">
                  <c:v>1.1386320659827407</c:v>
                </c:pt>
                <c:pt idx="8">
                  <c:v>0.42273883184877209</c:v>
                </c:pt>
                <c:pt idx="9">
                  <c:v>0.81393617021276321</c:v>
                </c:pt>
                <c:pt idx="10">
                  <c:v>3.9088225538971884</c:v>
                </c:pt>
                <c:pt idx="11">
                  <c:v>0.2783667180277602</c:v>
                </c:pt>
                <c:pt idx="12">
                  <c:v>1.7449239320198304</c:v>
                </c:pt>
                <c:pt idx="13">
                  <c:v>2.5530798694849572</c:v>
                </c:pt>
                <c:pt idx="14">
                  <c:v>2.5642289432621297</c:v>
                </c:pt>
                <c:pt idx="15">
                  <c:v>3.9307131011608583</c:v>
                </c:pt>
                <c:pt idx="16">
                  <c:v>4.9833591801569028</c:v>
                </c:pt>
                <c:pt idx="17">
                  <c:v>5.1495853002815934</c:v>
                </c:pt>
                <c:pt idx="18">
                  <c:v>3.2674845209361187</c:v>
                </c:pt>
                <c:pt idx="19">
                  <c:v>0.76286609240402847</c:v>
                </c:pt>
                <c:pt idx="20">
                  <c:v>3.774945188404903</c:v>
                </c:pt>
                <c:pt idx="21">
                  <c:v>1.3767775831873872</c:v>
                </c:pt>
                <c:pt idx="22">
                  <c:v>3.59567199104686</c:v>
                </c:pt>
                <c:pt idx="23">
                  <c:v>5.2816578610130378</c:v>
                </c:pt>
                <c:pt idx="24">
                  <c:v>6.1110526663408145</c:v>
                </c:pt>
                <c:pt idx="25">
                  <c:v>5.3937692307692338</c:v>
                </c:pt>
                <c:pt idx="26">
                  <c:v>39.528493565480716</c:v>
                </c:pt>
                <c:pt idx="27">
                  <c:v>5.2925393874155553</c:v>
                </c:pt>
                <c:pt idx="28">
                  <c:v>9.8164273868751302</c:v>
                </c:pt>
                <c:pt idx="29">
                  <c:v>6.3021131021643235</c:v>
                </c:pt>
                <c:pt idx="30">
                  <c:v>5.1093093468020641</c:v>
                </c:pt>
                <c:pt idx="31">
                  <c:v>10.883973160795605</c:v>
                </c:pt>
                <c:pt idx="32">
                  <c:v>27.841537139349263</c:v>
                </c:pt>
                <c:pt idx="33">
                  <c:v>29.888530451469546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1730560"/>
        <c:axId val="441732480"/>
      </c:lineChart>
      <c:catAx>
        <c:axId val="441730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Source:</a:t>
                </a:r>
                <a:r>
                  <a:rPr lang="en-US" baseline="0"/>
                  <a:t> Bloomberg, MacKay Shields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2591301432114299E-3"/>
              <c:y val="0.9538256032917598"/>
            </c:manualLayout>
          </c:layout>
          <c:overlay val="0"/>
        </c:title>
        <c:majorTickMark val="out"/>
        <c:minorTickMark val="none"/>
        <c:tickLblPos val="low"/>
        <c:txPr>
          <a:bodyPr rot="-2580000"/>
          <a:lstStyle/>
          <a:p>
            <a:pPr>
              <a:defRPr/>
            </a:pPr>
            <a:endParaRPr lang="en-US"/>
          </a:p>
        </c:txPr>
        <c:crossAx val="441732480"/>
        <c:crosses val="autoZero"/>
        <c:auto val="1"/>
        <c:lblAlgn val="ctr"/>
        <c:lblOffset val="100"/>
        <c:noMultiLvlLbl val="0"/>
      </c:catAx>
      <c:valAx>
        <c:axId val="4417324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</a:t>
                </a:r>
              </a:p>
            </c:rich>
          </c:tx>
          <c:layout>
            <c:manualLayout>
              <c:xMode val="edge"/>
              <c:yMode val="edge"/>
              <c:x val="5.3042777463879742E-4"/>
              <c:y val="0.36194679776352484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crossAx val="441730560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23149314028114337"/>
          <c:y val="0.91403536985622458"/>
          <c:w val="0.76850688618003637"/>
          <c:h val="4.4649168853893265E-2"/>
        </c:manualLayout>
      </c:layout>
      <c:overlay val="0"/>
    </c:legend>
    <c:plotVisOnly val="1"/>
    <c:dispBlanksAs val="gap"/>
    <c:showDLblsOverMax val="0"/>
  </c:chart>
  <c:printSettings>
    <c:headerFooter/>
    <c:pageMargins b="0.25" l="0.7" r="0.7" t="0.25" header="0.3" footer="0.3"/>
    <c:pageSetup paperSize="161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/>
              <a:t>Implied</a:t>
            </a:r>
            <a:r>
              <a:rPr lang="en-US" sz="1600" baseline="0"/>
              <a:t> vs. Actual 3 Month Deposit Rate</a:t>
            </a:r>
            <a:endParaRPr lang="en-US" sz="1600"/>
          </a:p>
        </c:rich>
      </c:tx>
      <c:layout>
        <c:manualLayout>
          <c:xMode val="edge"/>
          <c:yMode val="edge"/>
          <c:x val="0.39220324886987085"/>
          <c:y val="0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7.9257132892459989E-2"/>
          <c:y val="6.3700078433200566E-2"/>
          <c:w val="0.89844844777707722"/>
          <c:h val="0.69296991715298095"/>
        </c:manualLayout>
      </c:layout>
      <c:lineChart>
        <c:grouping val="standard"/>
        <c:varyColors val="0"/>
        <c:ser>
          <c:idx val="0"/>
          <c:order val="0"/>
          <c:tx>
            <c:strRef>
              <c:f>Graph!$G$3</c:f>
              <c:strCache>
                <c:ptCount val="1"/>
                <c:pt idx="0">
                  <c:v>Actual 3 Month Deposit Rate</c:v>
                </c:pt>
              </c:strCache>
            </c:strRef>
          </c:tx>
          <c:marker>
            <c:symbol val="none"/>
          </c:marker>
          <c:cat>
            <c:strRef>
              <c:f>Graph!$A$4:$A$37</c:f>
              <c:strCache>
                <c:ptCount val="34"/>
                <c:pt idx="0">
                  <c:v>Japan</c:v>
                </c:pt>
                <c:pt idx="1">
                  <c:v>Singapore</c:v>
                </c:pt>
                <c:pt idx="2">
                  <c:v>United States</c:v>
                </c:pt>
                <c:pt idx="3">
                  <c:v>Philippines</c:v>
                </c:pt>
                <c:pt idx="4">
                  <c:v>China</c:v>
                </c:pt>
                <c:pt idx="5">
                  <c:v>United Kingdom</c:v>
                </c:pt>
                <c:pt idx="6">
                  <c:v>Colombia</c:v>
                </c:pt>
                <c:pt idx="7">
                  <c:v>Canada</c:v>
                </c:pt>
                <c:pt idx="8">
                  <c:v>Bulgaria</c:v>
                </c:pt>
                <c:pt idx="9">
                  <c:v>Euro</c:v>
                </c:pt>
                <c:pt idx="10">
                  <c:v>Kazakhstan</c:v>
                </c:pt>
                <c:pt idx="11">
                  <c:v>Lithuania</c:v>
                </c:pt>
                <c:pt idx="12">
                  <c:v>Norway</c:v>
                </c:pt>
                <c:pt idx="13">
                  <c:v>Korea</c:v>
                </c:pt>
                <c:pt idx="14">
                  <c:v>Malaysia</c:v>
                </c:pt>
                <c:pt idx="15">
                  <c:v>Mexico</c:v>
                </c:pt>
                <c:pt idx="16">
                  <c:v>Hungary</c:v>
                </c:pt>
                <c:pt idx="17">
                  <c:v>Chile</c:v>
                </c:pt>
                <c:pt idx="18">
                  <c:v>Australia</c:v>
                </c:pt>
                <c:pt idx="19">
                  <c:v>Peru</c:v>
                </c:pt>
                <c:pt idx="20">
                  <c:v>Poland</c:v>
                </c:pt>
                <c:pt idx="21">
                  <c:v>Croatia</c:v>
                </c:pt>
                <c:pt idx="22">
                  <c:v>Indonesia</c:v>
                </c:pt>
                <c:pt idx="23">
                  <c:v>South Africa</c:v>
                </c:pt>
                <c:pt idx="24">
                  <c:v>Russia</c:v>
                </c:pt>
                <c:pt idx="25">
                  <c:v>Georgia</c:v>
                </c:pt>
                <c:pt idx="26">
                  <c:v>Egypt</c:v>
                </c:pt>
                <c:pt idx="27">
                  <c:v>Brazil</c:v>
                </c:pt>
                <c:pt idx="28">
                  <c:v>Sri Lanka</c:v>
                </c:pt>
                <c:pt idx="29">
                  <c:v>India</c:v>
                </c:pt>
                <c:pt idx="30">
                  <c:v>Turkey</c:v>
                </c:pt>
                <c:pt idx="31">
                  <c:v>Vietnam</c:v>
                </c:pt>
                <c:pt idx="32">
                  <c:v>Ukraine</c:v>
                </c:pt>
                <c:pt idx="33">
                  <c:v>Argentina</c:v>
                </c:pt>
              </c:strCache>
            </c:strRef>
          </c:cat>
          <c:val>
            <c:numRef>
              <c:f>Graph!$G$4:$G$37</c:f>
              <c:numCache>
                <c:formatCode>0.00</c:formatCode>
                <c:ptCount val="34"/>
                <c:pt idx="0">
                  <c:v>9.5000000000000001E-2</c:v>
                </c:pt>
                <c:pt idx="1">
                  <c:v>0.3125</c:v>
                </c:pt>
                <c:pt idx="2">
                  <c:v>0.30000000000000004</c:v>
                </c:pt>
                <c:pt idx="3">
                  <c:v>-1.325</c:v>
                </c:pt>
                <c:pt idx="4">
                  <c:v>4.2630499999999998</c:v>
                </c:pt>
                <c:pt idx="5">
                  <c:v>0.48</c:v>
                </c:pt>
                <c:pt idx="6">
                  <c:v>3.8109000000000002</c:v>
                </c:pt>
                <c:pt idx="7">
                  <c:v>1.165</c:v>
                </c:pt>
                <c:pt idx="8">
                  <c:v>1.55</c:v>
                </c:pt>
                <c:pt idx="9">
                  <c:v>0.15000000000000002</c:v>
                </c:pt>
                <c:pt idx="10">
                  <c:v>5.7</c:v>
                </c:pt>
                <c:pt idx="11">
                  <c:v>1.4750000000000001</c:v>
                </c:pt>
                <c:pt idx="12">
                  <c:v>1.7515499999999999</c:v>
                </c:pt>
                <c:pt idx="13">
                  <c:v>2.4950000000000001</c:v>
                </c:pt>
                <c:pt idx="14">
                  <c:v>3.2050000000000001</c:v>
                </c:pt>
                <c:pt idx="15">
                  <c:v>3.8514999999999997</c:v>
                </c:pt>
                <c:pt idx="16">
                  <c:v>4.8650000000000002</c:v>
                </c:pt>
                <c:pt idx="17">
                  <c:v>5.01</c:v>
                </c:pt>
                <c:pt idx="18">
                  <c:v>3.145</c:v>
                </c:pt>
                <c:pt idx="19">
                  <c:v>4.3475999999999999</c:v>
                </c:pt>
                <c:pt idx="20">
                  <c:v>3.97</c:v>
                </c:pt>
                <c:pt idx="21">
                  <c:v>1.1499999999999999</c:v>
                </c:pt>
                <c:pt idx="22">
                  <c:v>4.7750000000000004</c:v>
                </c:pt>
                <c:pt idx="23">
                  <c:v>3.7874999999999996</c:v>
                </c:pt>
                <c:pt idx="24">
                  <c:v>6.1</c:v>
                </c:pt>
                <c:pt idx="25">
                  <c:v>0</c:v>
                </c:pt>
                <c:pt idx="26">
                  <c:v>8.5</c:v>
                </c:pt>
                <c:pt idx="27">
                  <c:v>5.25</c:v>
                </c:pt>
                <c:pt idx="28">
                  <c:v>13.125</c:v>
                </c:pt>
                <c:pt idx="29">
                  <c:v>8.8249999999999993</c:v>
                </c:pt>
                <c:pt idx="30">
                  <c:v>6.25</c:v>
                </c:pt>
                <c:pt idx="31">
                  <c:v>6.5</c:v>
                </c:pt>
                <c:pt idx="32">
                  <c:v>0</c:v>
                </c:pt>
                <c:pt idx="33">
                  <c:v>27.625499999999999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Graph!$I$3</c:f>
              <c:strCache>
                <c:ptCount val="1"/>
                <c:pt idx="0">
                  <c:v>Implied 3 Month Deposit Rate Mid</c:v>
                </c:pt>
              </c:strCache>
            </c:strRef>
          </c:tx>
          <c:marker>
            <c:symbol val="none"/>
          </c:marker>
          <c:cat>
            <c:strRef>
              <c:f>Graph!$A$4:$A$37</c:f>
              <c:strCache>
                <c:ptCount val="34"/>
                <c:pt idx="0">
                  <c:v>Japan</c:v>
                </c:pt>
                <c:pt idx="1">
                  <c:v>Singapore</c:v>
                </c:pt>
                <c:pt idx="2">
                  <c:v>United States</c:v>
                </c:pt>
                <c:pt idx="3">
                  <c:v>Philippines</c:v>
                </c:pt>
                <c:pt idx="4">
                  <c:v>China</c:v>
                </c:pt>
                <c:pt idx="5">
                  <c:v>United Kingdom</c:v>
                </c:pt>
                <c:pt idx="6">
                  <c:v>Colombia</c:v>
                </c:pt>
                <c:pt idx="7">
                  <c:v>Canada</c:v>
                </c:pt>
                <c:pt idx="8">
                  <c:v>Bulgaria</c:v>
                </c:pt>
                <c:pt idx="9">
                  <c:v>Euro</c:v>
                </c:pt>
                <c:pt idx="10">
                  <c:v>Kazakhstan</c:v>
                </c:pt>
                <c:pt idx="11">
                  <c:v>Lithuania</c:v>
                </c:pt>
                <c:pt idx="12">
                  <c:v>Norway</c:v>
                </c:pt>
                <c:pt idx="13">
                  <c:v>Korea</c:v>
                </c:pt>
                <c:pt idx="14">
                  <c:v>Malaysia</c:v>
                </c:pt>
                <c:pt idx="15">
                  <c:v>Mexico</c:v>
                </c:pt>
                <c:pt idx="16">
                  <c:v>Hungary</c:v>
                </c:pt>
                <c:pt idx="17">
                  <c:v>Chile</c:v>
                </c:pt>
                <c:pt idx="18">
                  <c:v>Australia</c:v>
                </c:pt>
                <c:pt idx="19">
                  <c:v>Peru</c:v>
                </c:pt>
                <c:pt idx="20">
                  <c:v>Poland</c:v>
                </c:pt>
                <c:pt idx="21">
                  <c:v>Croatia</c:v>
                </c:pt>
                <c:pt idx="22">
                  <c:v>Indonesia</c:v>
                </c:pt>
                <c:pt idx="23">
                  <c:v>South Africa</c:v>
                </c:pt>
                <c:pt idx="24">
                  <c:v>Russia</c:v>
                </c:pt>
                <c:pt idx="25">
                  <c:v>Georgia</c:v>
                </c:pt>
                <c:pt idx="26">
                  <c:v>Egypt</c:v>
                </c:pt>
                <c:pt idx="27">
                  <c:v>Brazil</c:v>
                </c:pt>
                <c:pt idx="28">
                  <c:v>Sri Lanka</c:v>
                </c:pt>
                <c:pt idx="29">
                  <c:v>India</c:v>
                </c:pt>
                <c:pt idx="30">
                  <c:v>Turkey</c:v>
                </c:pt>
                <c:pt idx="31">
                  <c:v>Vietnam</c:v>
                </c:pt>
                <c:pt idx="32">
                  <c:v>Ukraine</c:v>
                </c:pt>
                <c:pt idx="33">
                  <c:v>Argentina</c:v>
                </c:pt>
              </c:strCache>
            </c:strRef>
          </c:cat>
          <c:val>
            <c:numRef>
              <c:f>Graph!$I$4:$I$37</c:f>
              <c:numCache>
                <c:formatCode>0.00</c:formatCode>
                <c:ptCount val="34"/>
                <c:pt idx="0">
                  <c:v>-2.6930781214964394E-3</c:v>
                </c:pt>
                <c:pt idx="1">
                  <c:v>0.32606712284132233</c:v>
                </c:pt>
                <c:pt idx="2">
                  <c:v>0.30000000000000004</c:v>
                </c:pt>
                <c:pt idx="3">
                  <c:v>-1.6713416211820877</c:v>
                </c:pt>
                <c:pt idx="4">
                  <c:v>4.1983282540346663</c:v>
                </c:pt>
                <c:pt idx="5">
                  <c:v>0.65254883277753284</c:v>
                </c:pt>
                <c:pt idx="6">
                  <c:v>3.602905878493778</c:v>
                </c:pt>
                <c:pt idx="7">
                  <c:v>1.0886133883216573</c:v>
                </c:pt>
                <c:pt idx="8">
                  <c:v>0.11020197211831761</c:v>
                </c:pt>
                <c:pt idx="9">
                  <c:v>0.76595744680848488</c:v>
                </c:pt>
                <c:pt idx="10">
                  <c:v>3.2723005473544893</c:v>
                </c:pt>
                <c:pt idx="11">
                  <c:v>0.13126589105482123</c:v>
                </c:pt>
                <c:pt idx="12">
                  <c:v>1.6898540653231706</c:v>
                </c:pt>
                <c:pt idx="13">
                  <c:v>2.4001348059503931</c:v>
                </c:pt>
                <c:pt idx="14">
                  <c:v>2.4320137493565204</c:v>
                </c:pt>
                <c:pt idx="15">
                  <c:v>3.8459872691949277</c:v>
                </c:pt>
                <c:pt idx="16">
                  <c:v>4.7632934932982591</c:v>
                </c:pt>
                <c:pt idx="17">
                  <c:v>5.0028418298714845</c:v>
                </c:pt>
                <c:pt idx="18">
                  <c:v>3.2383985727778226</c:v>
                </c:pt>
                <c:pt idx="19">
                  <c:v>0.43315057763847453</c:v>
                </c:pt>
                <c:pt idx="20">
                  <c:v>3.6716915995396944</c:v>
                </c:pt>
                <c:pt idx="21">
                  <c:v>0.98875242688593024</c:v>
                </c:pt>
                <c:pt idx="22">
                  <c:v>3.3525030525030415</c:v>
                </c:pt>
                <c:pt idx="23">
                  <c:v>5.1729754496033449</c:v>
                </c:pt>
                <c:pt idx="24">
                  <c:v>6.0338862437926073</c:v>
                </c:pt>
                <c:pt idx="25">
                  <c:v>4.010304164152056</c:v>
                </c:pt>
                <c:pt idx="26">
                  <c:v>33.448049981067811</c:v>
                </c:pt>
                <c:pt idx="27">
                  <c:v>5.1707609493516378</c:v>
                </c:pt>
                <c:pt idx="28">
                  <c:v>9.1499071549919435</c:v>
                </c:pt>
                <c:pt idx="29">
                  <c:v>6.1466193413242882</c:v>
                </c:pt>
                <c:pt idx="30">
                  <c:v>4.9464245175936723</c:v>
                </c:pt>
                <c:pt idx="31">
                  <c:v>8.9362000719683259</c:v>
                </c:pt>
                <c:pt idx="32">
                  <c:v>22.946156307692334</c:v>
                </c:pt>
                <c:pt idx="33">
                  <c:v>27.534248886284896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1750272"/>
        <c:axId val="441751808"/>
      </c:lineChart>
      <c:catAx>
        <c:axId val="441750272"/>
        <c:scaling>
          <c:orientation val="minMax"/>
        </c:scaling>
        <c:delete val="0"/>
        <c:axPos val="b"/>
        <c:majorTickMark val="out"/>
        <c:minorTickMark val="none"/>
        <c:tickLblPos val="low"/>
        <c:crossAx val="441751808"/>
        <c:crosses val="autoZero"/>
        <c:auto val="1"/>
        <c:lblAlgn val="ctr"/>
        <c:lblOffset val="100"/>
        <c:noMultiLvlLbl val="0"/>
      </c:catAx>
      <c:valAx>
        <c:axId val="4417518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</a:t>
                </a:r>
              </a:p>
            </c:rich>
          </c:tx>
          <c:layout>
            <c:manualLayout>
              <c:xMode val="edge"/>
              <c:yMode val="edge"/>
              <c:x val="3.4071550255536627E-3"/>
              <c:y val="0.34284444276114001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crossAx val="441750272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200025</xdr:colOff>
      <xdr:row>41</xdr:row>
      <xdr:rowOff>161925</xdr:rowOff>
    </xdr:from>
    <xdr:to>
      <xdr:col>9</xdr:col>
      <xdr:colOff>942976</xdr:colOff>
      <xdr:row>68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304800</xdr:colOff>
      <xdr:row>72</xdr:row>
      <xdr:rowOff>157161</xdr:rowOff>
    </xdr:from>
    <xdr:to>
      <xdr:col>9</xdr:col>
      <xdr:colOff>962025</xdr:colOff>
      <xdr:row>98</xdr:row>
      <xdr:rowOff>9524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37"/>
  <sheetViews>
    <sheetView tabSelected="1" workbookViewId="0">
      <pane xSplit="2" ySplit="3" topLeftCell="C4" activePane="bottomRight" state="frozen"/>
      <selection pane="topRight" activeCell="C1" sqref="C1"/>
      <selection pane="bottomLeft" activeCell="A4" sqref="A4"/>
      <selection pane="bottomRight"/>
    </sheetView>
  </sheetViews>
  <sheetFormatPr defaultRowHeight="15" x14ac:dyDescent="0.25"/>
  <cols>
    <col min="1" max="1" width="15.42578125" bestFit="1" customWidth="1"/>
    <col min="2" max="2" width="20.140625" hidden="1" customWidth="1"/>
    <col min="3" max="3" width="25.85546875" bestFit="1" customWidth="1"/>
    <col min="4" max="4" width="20.140625" customWidth="1"/>
    <col min="5" max="5" width="13.85546875" hidden="1" customWidth="1"/>
    <col min="6" max="6" width="19.7109375" customWidth="1"/>
    <col min="7" max="7" width="27.85546875" bestFit="1" customWidth="1"/>
    <col min="8" max="10" width="32.140625" bestFit="1" customWidth="1"/>
    <col min="11" max="11" width="26.5703125" hidden="1" customWidth="1"/>
    <col min="12" max="12" width="9.42578125" hidden="1" customWidth="1"/>
    <col min="13" max="13" width="20.7109375" hidden="1" customWidth="1"/>
    <col min="14" max="14" width="13.28515625" hidden="1" customWidth="1"/>
    <col min="18" max="18" width="10" bestFit="1" customWidth="1"/>
    <col min="19" max="19" width="9.7109375" bestFit="1" customWidth="1"/>
    <col min="20" max="22" width="8.42578125" bestFit="1" customWidth="1"/>
  </cols>
  <sheetData>
    <row r="1" spans="1:22" x14ac:dyDescent="0.25">
      <c r="A1" s="5" t="s">
        <v>280</v>
      </c>
    </row>
    <row r="2" spans="1:22" x14ac:dyDescent="0.25">
      <c r="G2" s="2" t="s">
        <v>0</v>
      </c>
      <c r="H2" s="2"/>
      <c r="I2" s="2" t="s">
        <v>0</v>
      </c>
      <c r="J2" s="2"/>
      <c r="K2" s="2" t="s">
        <v>58</v>
      </c>
      <c r="L2" s="2" t="s">
        <v>90</v>
      </c>
      <c r="M2" s="2" t="s">
        <v>1</v>
      </c>
    </row>
    <row r="3" spans="1:22" x14ac:dyDescent="0.25">
      <c r="A3" s="5" t="s">
        <v>54</v>
      </c>
      <c r="B3" s="10" t="s">
        <v>40</v>
      </c>
      <c r="C3" s="10" t="s">
        <v>88</v>
      </c>
      <c r="D3" s="10" t="s">
        <v>57</v>
      </c>
      <c r="E3" s="10" t="s">
        <v>38</v>
      </c>
      <c r="F3" s="10" t="s">
        <v>37</v>
      </c>
      <c r="G3" s="5" t="s">
        <v>34</v>
      </c>
      <c r="H3" s="5" t="s">
        <v>294</v>
      </c>
      <c r="I3" s="5" t="s">
        <v>293</v>
      </c>
      <c r="J3" s="5" t="s">
        <v>295</v>
      </c>
      <c r="K3" s="10" t="s">
        <v>57</v>
      </c>
      <c r="L3" s="5" t="s">
        <v>35</v>
      </c>
      <c r="M3" s="5" t="s">
        <v>36</v>
      </c>
      <c r="N3" s="5" t="s">
        <v>55</v>
      </c>
    </row>
    <row r="4" spans="1:22" x14ac:dyDescent="0.25">
      <c r="A4" t="s">
        <v>6</v>
      </c>
      <c r="B4" s="1" t="s">
        <v>74</v>
      </c>
      <c r="C4" s="1" t="s">
        <v>44</v>
      </c>
      <c r="D4" s="1" t="s">
        <v>60</v>
      </c>
      <c r="F4" s="8" t="s">
        <v>15</v>
      </c>
      <c r="G4" s="36">
        <f>VLOOKUP($A4,Calculations!$A$2:$V$35,14,FALSE)</f>
        <v>9.5000000000000001E-2</v>
      </c>
      <c r="H4" s="36">
        <f>VLOOKUP($A4,Calculations!$A$2:$Z$35,23,FALSE)</f>
        <v>-4.895937673900419E-2</v>
      </c>
      <c r="I4" s="36">
        <f>VLOOKUP($A4,Calculations!$A$2:$Z$35,24,FALSE)</f>
        <v>-2.6930781214964394E-3</v>
      </c>
      <c r="J4" s="36">
        <f>VLOOKUP($A4,Calculations!$A$2:$Z$35,25,FALSE)</f>
        <v>4.3571825970893652E-2</v>
      </c>
      <c r="K4" s="9" t="e">
        <f>(_xll.BDP(D4,$K$2))/100</f>
        <v>#VALUE!</v>
      </c>
      <c r="L4" s="4">
        <f>_xll.BDP(C4,$L$2)</f>
        <v>89.86</v>
      </c>
      <c r="M4" s="4">
        <f>_xll.BDP(C4,$M$2)</f>
        <v>89.792000000000002</v>
      </c>
      <c r="N4" t="str">
        <f>_xll.BDP("9127953C@BGN Govt","YLD_CNV_MID")</f>
        <v>#N/A N/A</v>
      </c>
      <c r="P4" s="2">
        <v>0.17</v>
      </c>
      <c r="Q4" s="2">
        <v>0.1956</v>
      </c>
    </row>
    <row r="5" spans="1:22" x14ac:dyDescent="0.25">
      <c r="A5" t="s">
        <v>11</v>
      </c>
      <c r="B5" s="1" t="s">
        <v>75</v>
      </c>
      <c r="C5" s="1" t="s">
        <v>47</v>
      </c>
      <c r="D5" s="1" t="s">
        <v>61</v>
      </c>
      <c r="F5" s="8" t="s">
        <v>24</v>
      </c>
      <c r="G5" s="36">
        <f>VLOOKUP($A5,Calculations!$A$2:$V$35,14,FALSE)</f>
        <v>0.3125</v>
      </c>
      <c r="H5" s="36">
        <f>VLOOKUP($A5,Calculations!$A$2:$Z$35,23,FALSE)</f>
        <v>0.27401221995926961</v>
      </c>
      <c r="I5" s="36">
        <f>VLOOKUP($A5,Calculations!$A$2:$Z$35,24,FALSE)</f>
        <v>0.32606712284132233</v>
      </c>
      <c r="J5" s="36">
        <f>VLOOKUP($A5,Calculations!$A$2:$Z$35,25,FALSE)</f>
        <v>0.37812006190431208</v>
      </c>
      <c r="K5" s="9" t="e">
        <f>(_xll.BDP(D5,$K$2))/100</f>
        <v>#VALUE!</v>
      </c>
      <c r="L5" s="4">
        <f>_xll.BDP(C5,$L$2)</f>
        <v>1.2276</v>
      </c>
      <c r="M5" s="4">
        <f>_xll.BDP(C5,$M$2)</f>
        <v>1.2276800000000001</v>
      </c>
      <c r="P5" s="2">
        <v>0.31309999999999999</v>
      </c>
      <c r="Q5" s="2">
        <v>0.25040000000000001</v>
      </c>
    </row>
    <row r="6" spans="1:22" x14ac:dyDescent="0.25">
      <c r="A6" t="s">
        <v>32</v>
      </c>
      <c r="B6" s="1" t="s">
        <v>2</v>
      </c>
      <c r="C6" s="1" t="s">
        <v>2</v>
      </c>
      <c r="D6" t="s">
        <v>59</v>
      </c>
      <c r="F6" s="8" t="s">
        <v>33</v>
      </c>
      <c r="G6" s="36">
        <f>VLOOKUP($A6,Calculations!$A$2:$V$35,14,FALSE)</f>
        <v>0.30000000000000004</v>
      </c>
      <c r="H6" s="36">
        <f>VLOOKUP($A6,Calculations!$A$2:$Z$35,23,FALSE)</f>
        <v>0.26</v>
      </c>
      <c r="I6" s="36">
        <f>VLOOKUP($A6,Calculations!$A$2:$Z$35,24,FALSE)</f>
        <v>0.30000000000000004</v>
      </c>
      <c r="J6" s="36">
        <f>VLOOKUP($A6,Calculations!$A$2:$Z$35,25,FALSE)</f>
        <v>0.34</v>
      </c>
      <c r="K6" s="9" t="e">
        <f>(_xll.BDP(D6,$K$2))/100</f>
        <v>#VALUE!</v>
      </c>
      <c r="L6" s="4">
        <f>_xll.BDP(C6,$L$2)</f>
        <v>1.3301000000000001</v>
      </c>
      <c r="M6" s="4">
        <f>_xll.BDP(C6,$M$2)</f>
        <v>1.331026</v>
      </c>
      <c r="N6" s="34" t="s">
        <v>56</v>
      </c>
      <c r="O6" s="46"/>
      <c r="P6" s="46">
        <v>0.3125</v>
      </c>
      <c r="Q6" s="46">
        <v>0.31019999999999998</v>
      </c>
      <c r="R6" s="47" t="s">
        <v>91</v>
      </c>
      <c r="S6" s="47" t="s">
        <v>92</v>
      </c>
      <c r="T6" s="47" t="s">
        <v>93</v>
      </c>
      <c r="U6" s="47" t="s">
        <v>94</v>
      </c>
      <c r="V6" s="46"/>
    </row>
    <row r="7" spans="1:22" x14ac:dyDescent="0.25">
      <c r="A7" s="32" t="s">
        <v>156</v>
      </c>
      <c r="B7" s="1"/>
      <c r="C7" s="1"/>
      <c r="D7" s="1"/>
      <c r="F7" s="8"/>
      <c r="G7" s="36">
        <f>VLOOKUP($A7,Calculations!$A$2:$V$35,14,FALSE)</f>
        <v>-1.325</v>
      </c>
      <c r="H7" s="36">
        <f>VLOOKUP($A7,Calculations!$A$2:$Z$35,23,FALSE)</f>
        <v>-2.1855784828538276</v>
      </c>
      <c r="I7" s="36">
        <f>VLOOKUP($A7,Calculations!$A$2:$Z$35,24,FALSE)</f>
        <v>-1.6713416211820877</v>
      </c>
      <c r="J7" s="36">
        <f>VLOOKUP($A7,Calculations!$A$2:$Z$35,25,FALSE)</f>
        <v>-1.1575369458128273</v>
      </c>
      <c r="K7" s="9" t="e">
        <f>(_xll.BDP(D7,$K$2))/100</f>
        <v>#VALUE!</v>
      </c>
      <c r="L7" s="4" t="str">
        <f>_xll.BDP(C7,$L$2)</f>
        <v>#N/A Invalid Security</v>
      </c>
      <c r="M7" s="4" t="str">
        <f>_xll.BDP(C7,$M$2)</f>
        <v>#N/A Invalid Security</v>
      </c>
      <c r="N7" s="35"/>
      <c r="O7" s="46"/>
      <c r="P7" s="46">
        <v>0.42499999999999999</v>
      </c>
      <c r="Q7" s="46">
        <v>0.4572</v>
      </c>
      <c r="R7" s="48">
        <v>40875</v>
      </c>
      <c r="S7" s="49">
        <v>40968</v>
      </c>
      <c r="T7" s="50">
        <f>S7-R7</f>
        <v>93</v>
      </c>
      <c r="U7" s="47">
        <v>10000</v>
      </c>
      <c r="V7" s="46"/>
    </row>
    <row r="8" spans="1:22" x14ac:dyDescent="0.25">
      <c r="A8" t="s">
        <v>13</v>
      </c>
      <c r="B8" s="1" t="s">
        <v>77</v>
      </c>
      <c r="C8" s="1" t="s">
        <v>51</v>
      </c>
      <c r="D8" s="1" t="s">
        <v>62</v>
      </c>
      <c r="F8" s="8" t="s">
        <v>23</v>
      </c>
      <c r="G8" s="36">
        <f>VLOOKUP($A8,Calculations!$A$2:$V$35,14,FALSE)</f>
        <v>4.2630499999999998</v>
      </c>
      <c r="H8" s="36">
        <f>VLOOKUP($A8,Calculations!$A$2:$Z$35,23,FALSE)</f>
        <v>4.089568127695193</v>
      </c>
      <c r="I8" s="36">
        <f>VLOOKUP($A8,Calculations!$A$2:$Z$35,24,FALSE)</f>
        <v>4.1983282540346663</v>
      </c>
      <c r="J8" s="36">
        <f>VLOOKUP($A8,Calculations!$A$2:$Z$35,25,FALSE)</f>
        <v>4.3070165399514622</v>
      </c>
      <c r="K8" s="9">
        <f>(_xll.BDP(D8,"PX_LAST"))/100</f>
        <v>2.7000000000000003E-2</v>
      </c>
      <c r="L8" s="4">
        <f>_xll.BDP(C8,$L$2)</f>
        <v>6.2180999999999997</v>
      </c>
      <c r="M8" s="4">
        <f>_xll.BDP(C8,$M$2)</f>
        <v>6.2765000000000004</v>
      </c>
      <c r="N8" s="6" t="e">
        <f>M4*(1+N4)</f>
        <v>#VALUE!</v>
      </c>
      <c r="O8" s="46"/>
      <c r="P8" s="46">
        <v>1.0049999999999999</v>
      </c>
      <c r="Q8" s="46">
        <v>1.032</v>
      </c>
      <c r="R8" s="48"/>
      <c r="S8" s="49"/>
      <c r="T8" s="50"/>
      <c r="U8" s="47"/>
      <c r="V8" s="46"/>
    </row>
    <row r="9" spans="1:22" x14ac:dyDescent="0.25">
      <c r="A9" t="s">
        <v>10</v>
      </c>
      <c r="B9" s="1" t="s">
        <v>76</v>
      </c>
      <c r="C9" s="1" t="s">
        <v>42</v>
      </c>
      <c r="D9" s="1" t="s">
        <v>63</v>
      </c>
      <c r="F9" s="8" t="s">
        <v>17</v>
      </c>
      <c r="G9" s="36">
        <f>VLOOKUP($A9,Calculations!$A$2:$V$35,14,FALSE)</f>
        <v>0.48</v>
      </c>
      <c r="H9" s="36">
        <f>VLOOKUP($A9,Calculations!$A$2:$Z$35,23,FALSE)</f>
        <v>0.59349213911382237</v>
      </c>
      <c r="I9" s="36">
        <f>VLOOKUP($A9,Calculations!$A$2:$Z$35,24,FALSE)</f>
        <v>0.65254883277753284</v>
      </c>
      <c r="J9" s="36">
        <f>VLOOKUP($A9,Calculations!$A$2:$Z$35,25,FALSE)</f>
        <v>0.71160552644115449</v>
      </c>
      <c r="K9" s="9" t="e">
        <f>(_xll.BDP(D9,$K$2))/100</f>
        <v>#VALUE!</v>
      </c>
      <c r="L9" s="3">
        <f>_xll.BDP(C9,$L$2)</f>
        <v>1.5880000000000001</v>
      </c>
      <c r="M9" s="4">
        <f>_xll.BDP(C9,$M$2)</f>
        <v>1.5873569999999999</v>
      </c>
      <c r="N9" s="6"/>
      <c r="O9" s="46"/>
      <c r="P9" s="46">
        <v>1.43</v>
      </c>
      <c r="Q9" s="46">
        <v>1.462</v>
      </c>
      <c r="R9" s="48" t="s">
        <v>96</v>
      </c>
      <c r="S9" s="49" t="s">
        <v>97</v>
      </c>
      <c r="T9" s="50"/>
      <c r="U9" s="47"/>
      <c r="V9" s="46"/>
    </row>
    <row r="10" spans="1:22" x14ac:dyDescent="0.25">
      <c r="A10" s="32" t="s">
        <v>159</v>
      </c>
      <c r="B10" s="1"/>
      <c r="C10" s="1"/>
      <c r="D10" s="1"/>
      <c r="F10" s="8"/>
      <c r="G10" s="36">
        <f>VLOOKUP($A10,Calculations!$A$2:$V$35,14,FALSE)</f>
        <v>3.8109000000000002</v>
      </c>
      <c r="H10" s="36">
        <f>VLOOKUP($A10,Calculations!$A$2:$Z$35,23,FALSE)</f>
        <v>3.442543544937033</v>
      </c>
      <c r="I10" s="36">
        <f>VLOOKUP($A10,Calculations!$A$2:$Z$35,24,FALSE)</f>
        <v>3.602905878493778</v>
      </c>
      <c r="J10" s="36">
        <f>VLOOKUP($A10,Calculations!$A$2:$Z$35,25,FALSE)</f>
        <v>3.7631321433012772</v>
      </c>
      <c r="K10" s="9"/>
      <c r="L10" s="4"/>
      <c r="M10" s="4"/>
      <c r="N10" s="7"/>
      <c r="O10" s="46"/>
      <c r="P10" s="46">
        <v>2.7</v>
      </c>
      <c r="Q10" s="46">
        <v>2.5817999999999999</v>
      </c>
      <c r="R10" s="47">
        <v>360</v>
      </c>
      <c r="S10" s="47">
        <v>360</v>
      </c>
      <c r="T10" s="51"/>
      <c r="U10" s="51"/>
      <c r="V10" s="46"/>
    </row>
    <row r="11" spans="1:22" x14ac:dyDescent="0.25">
      <c r="A11" s="32" t="s">
        <v>167</v>
      </c>
      <c r="B11" s="1"/>
      <c r="C11" s="1"/>
      <c r="D11" s="1"/>
      <c r="F11" s="8"/>
      <c r="G11" s="36">
        <f>VLOOKUP($A11,Calculations!$A$2:$V$35,14,FALSE)</f>
        <v>1.165</v>
      </c>
      <c r="H11" s="36">
        <f>VLOOKUP($A11,Calculations!$A$2:$Z$35,23,FALSE)</f>
        <v>1.0385937028468304</v>
      </c>
      <c r="I11" s="36">
        <f>VLOOKUP($A11,Calculations!$A$2:$Z$35,24,FALSE)</f>
        <v>1.0886133883216573</v>
      </c>
      <c r="J11" s="36">
        <f>VLOOKUP($A11,Calculations!$A$2:$Z$35,25,FALSE)</f>
        <v>1.1386320659827407</v>
      </c>
      <c r="K11" s="9"/>
      <c r="L11" s="4"/>
      <c r="M11" s="4"/>
      <c r="O11" s="46"/>
      <c r="P11" s="46">
        <v>4.7329999999999997</v>
      </c>
      <c r="Q11" s="46">
        <v>4.7473000000000001</v>
      </c>
      <c r="R11" s="46"/>
      <c r="S11" s="46"/>
      <c r="T11" s="46"/>
      <c r="U11" s="46"/>
      <c r="V11" s="46"/>
    </row>
    <row r="12" spans="1:22" x14ac:dyDescent="0.25">
      <c r="A12" s="32" t="s">
        <v>140</v>
      </c>
      <c r="B12" s="1"/>
      <c r="C12" s="1"/>
      <c r="D12" s="1"/>
      <c r="F12" s="8"/>
      <c r="G12" s="36">
        <f>VLOOKUP($A12,Calculations!$A$2:$V$35,14,FALSE)</f>
        <v>1.55</v>
      </c>
      <c r="H12" s="36">
        <f>VLOOKUP($A12,Calculations!$A$2:$Z$35,23,FALSE)</f>
        <v>-0.20240903217031891</v>
      </c>
      <c r="I12" s="36">
        <f>VLOOKUP($A12,Calculations!$A$2:$Z$35,24,FALSE)</f>
        <v>0.11020197211831761</v>
      </c>
      <c r="J12" s="36">
        <f>VLOOKUP($A12,Calculations!$A$2:$Z$35,25,FALSE)</f>
        <v>0.42273883184877209</v>
      </c>
      <c r="K12" s="9"/>
      <c r="L12" s="4"/>
      <c r="M12" s="4"/>
      <c r="O12" s="46"/>
      <c r="P12" s="46"/>
      <c r="Q12" s="46">
        <v>4.6444000000000001</v>
      </c>
      <c r="R12" s="46"/>
      <c r="S12" s="46"/>
      <c r="T12" s="46"/>
      <c r="U12" s="46"/>
      <c r="V12" s="46"/>
    </row>
    <row r="13" spans="1:22" x14ac:dyDescent="0.25">
      <c r="A13" t="s">
        <v>4</v>
      </c>
      <c r="B13" s="1" t="s">
        <v>73</v>
      </c>
      <c r="C13" s="1" t="s">
        <v>2</v>
      </c>
      <c r="D13" s="1" t="s">
        <v>3</v>
      </c>
      <c r="F13" s="8" t="s">
        <v>16</v>
      </c>
      <c r="G13" s="36">
        <f>VLOOKUP($A13,Calculations!$A$2:$V$35,14,FALSE)</f>
        <v>0.15000000000000002</v>
      </c>
      <c r="H13" s="36">
        <f>VLOOKUP($A13,Calculations!$A$2:$Z$35,23,FALSE)</f>
        <v>0.71797872340429536</v>
      </c>
      <c r="I13" s="36">
        <f>VLOOKUP($A13,Calculations!$A$2:$Z$35,24,FALSE)</f>
        <v>0.76595744680848488</v>
      </c>
      <c r="J13" s="36">
        <f>VLOOKUP($A13,Calculations!$A$2:$Z$35,25,FALSE)</f>
        <v>0.81393617021276321</v>
      </c>
      <c r="K13" s="9" t="e">
        <f>(_xll.BDP(D13,"PX_LAST"))/100</f>
        <v>#VALUE!</v>
      </c>
      <c r="L13" s="4">
        <f>_xll.BDP(C13,$L$2)</f>
        <v>1.3301000000000001</v>
      </c>
      <c r="M13" s="4">
        <f>_xll.BDP(C13,$M$2)</f>
        <v>1.331026</v>
      </c>
      <c r="O13" s="46"/>
      <c r="P13" s="46">
        <v>4.6399999999999997</v>
      </c>
      <c r="Q13" s="46">
        <v>5.05</v>
      </c>
      <c r="R13" s="52">
        <f>_xll.BDP(C4,"PX_BID")</f>
        <v>89.85</v>
      </c>
      <c r="S13" s="52">
        <f>_xll.BDP(C4,"PX_ASK")</f>
        <v>89.87</v>
      </c>
      <c r="T13" s="46"/>
      <c r="U13" s="46"/>
      <c r="V13" s="46"/>
    </row>
    <row r="14" spans="1:22" x14ac:dyDescent="0.25">
      <c r="A14" s="32" t="s">
        <v>147</v>
      </c>
      <c r="B14" s="1"/>
      <c r="C14" s="1"/>
      <c r="D14" s="1"/>
      <c r="F14" s="8"/>
      <c r="G14" s="36">
        <f>VLOOKUP($A14,Calculations!$A$2:$V$35,14,FALSE)</f>
        <v>5.7</v>
      </c>
      <c r="H14" s="36">
        <f>VLOOKUP($A14,Calculations!$A$2:$Z$35,23,FALSE)</f>
        <v>2.6355806237558017</v>
      </c>
      <c r="I14" s="36">
        <f>VLOOKUP($A14,Calculations!$A$2:$Z$35,24,FALSE)</f>
        <v>3.2723005473544893</v>
      </c>
      <c r="J14" s="36">
        <f>VLOOKUP($A14,Calculations!$A$2:$Z$35,25,FALSE)</f>
        <v>3.9088225538971884</v>
      </c>
      <c r="K14" s="9" t="e">
        <f>(_xll.BDP(D14,$K$2))/100</f>
        <v>#VALUE!</v>
      </c>
      <c r="L14" s="4" t="str">
        <f>_xll.BDP(C14,$L$2)</f>
        <v>#N/A Invalid Security</v>
      </c>
      <c r="M14" s="4" t="str">
        <f>_xll.BDP(C14,$M$2)</f>
        <v>#N/A Invalid Security</v>
      </c>
      <c r="N14" s="19">
        <f>(N13/L9)-1</f>
        <v>-1</v>
      </c>
      <c r="O14" s="46">
        <f>((1130.78/1124.02)-1)*4</f>
        <v>2.4056511449973783E-2</v>
      </c>
      <c r="P14" s="46">
        <v>5.5750000000000002</v>
      </c>
      <c r="Q14" s="46">
        <v>6.84</v>
      </c>
      <c r="R14" s="52">
        <f>_xll.BDP("JPY3M BGN Curncy","PX_YEST_BID")</f>
        <v>-7.1</v>
      </c>
      <c r="S14" s="52">
        <f>_xll.BDP("JPY3M BGN Curncy","PX_YEST_ASK")</f>
        <v>-6.8</v>
      </c>
      <c r="T14" s="46"/>
      <c r="U14" s="46"/>
      <c r="V14" s="46"/>
    </row>
    <row r="15" spans="1:22" x14ac:dyDescent="0.25">
      <c r="A15" s="32" t="s">
        <v>154</v>
      </c>
      <c r="B15" s="1"/>
      <c r="C15" s="1"/>
      <c r="D15" s="1"/>
      <c r="F15" s="8"/>
      <c r="G15" s="36">
        <f>VLOOKUP($A15,Calculations!$A$2:$V$35,14,FALSE)</f>
        <v>1.4750000000000001</v>
      </c>
      <c r="H15" s="36">
        <f>VLOOKUP($A15,Calculations!$A$2:$Z$35,23,FALSE)</f>
        <v>-1.5851440900032321E-2</v>
      </c>
      <c r="I15" s="36">
        <f>VLOOKUP($A15,Calculations!$A$2:$Z$35,24,FALSE)</f>
        <v>0.13126589105482123</v>
      </c>
      <c r="J15" s="36">
        <f>VLOOKUP($A15,Calculations!$A$2:$Z$35,25,FALSE)</f>
        <v>0.2783667180277602</v>
      </c>
      <c r="K15" s="9" t="e">
        <f>(_xll.BDP(D15,"YLD_YTM_MID"))/100</f>
        <v>#VALUE!</v>
      </c>
      <c r="L15" s="4" t="str">
        <f>_xll.BDP(C15,$L$2)</f>
        <v>#N/A Invalid Security</v>
      </c>
      <c r="M15" s="4" t="str">
        <f>_xll.BDP(C15,$M$2)</f>
        <v>#N/A Invalid Security</v>
      </c>
      <c r="O15" s="46"/>
      <c r="P15" s="46">
        <v>6.4386000000000001</v>
      </c>
      <c r="Q15" s="46">
        <v>6.7911000000000001</v>
      </c>
      <c r="R15" s="52" t="str">
        <f>_xll.BDP(F7,"PX_BID")</f>
        <v>#N/A Invalid Security</v>
      </c>
      <c r="S15" s="52" t="str">
        <f>_xll.BDP(F7,"PX_ask")</f>
        <v>#N/A Invalid Security</v>
      </c>
      <c r="T15" s="53">
        <f>((1+R16/100*T7/S10)*S13/(S13+S14/U7)-1)*100*R10/T7</f>
        <v>2.2929135398450005E-2</v>
      </c>
      <c r="U15" s="53">
        <f>((1+S16/100*T7/S10)*R13/(R13+R14/U7)-1)*100*R10/T7</f>
        <v>0.17306022907560523</v>
      </c>
      <c r="V15" s="54">
        <f>(U15+T15)/2</f>
        <v>9.7994682237027619E-2</v>
      </c>
    </row>
    <row r="16" spans="1:22" x14ac:dyDescent="0.25">
      <c r="A16" s="32" t="s">
        <v>168</v>
      </c>
      <c r="B16" s="1"/>
      <c r="C16" s="1"/>
      <c r="D16" s="1"/>
      <c r="F16" s="8"/>
      <c r="G16" s="36">
        <f>VLOOKUP($A16,Calculations!$A$2:$V$35,14,FALSE)</f>
        <v>1.7515499999999999</v>
      </c>
      <c r="H16" s="36">
        <f>VLOOKUP($A16,Calculations!$A$2:$Z$35,23,FALSE)</f>
        <v>1.6347772153703153</v>
      </c>
      <c r="I16" s="36">
        <f>VLOOKUP($A16,Calculations!$A$2:$Z$35,24,FALSE)</f>
        <v>1.6898540653231706</v>
      </c>
      <c r="J16" s="36">
        <f>VLOOKUP($A16,Calculations!$A$2:$Z$35,25,FALSE)</f>
        <v>1.7449239320198304</v>
      </c>
      <c r="K16" s="9"/>
      <c r="L16" s="4"/>
      <c r="M16" s="4"/>
      <c r="N16" s="19">
        <f>N15*100*4</f>
        <v>0</v>
      </c>
      <c r="O16" s="46"/>
      <c r="P16" s="46">
        <v>8.7690000000000001</v>
      </c>
      <c r="Q16" s="46">
        <v>8.0050000000000008</v>
      </c>
      <c r="R16" s="52">
        <f>_xll.BDP(F4,"PX_BID")</f>
        <v>0.02</v>
      </c>
      <c r="S16" s="52">
        <f>_xll.BDP(F4,"PX_ask")</f>
        <v>0.17</v>
      </c>
      <c r="T16" s="46"/>
      <c r="U16" s="46"/>
      <c r="V16" s="46"/>
    </row>
    <row r="17" spans="1:17" x14ac:dyDescent="0.25">
      <c r="A17" t="s">
        <v>7</v>
      </c>
      <c r="B17" s="1" t="s">
        <v>78</v>
      </c>
      <c r="C17" s="1" t="s">
        <v>45</v>
      </c>
      <c r="D17" s="1" t="s">
        <v>65</v>
      </c>
      <c r="F17" s="8" t="s">
        <v>20</v>
      </c>
      <c r="G17" s="36">
        <f>VLOOKUP($A17,Calculations!$A$2:$V$35,14,FALSE)</f>
        <v>2.4950000000000001</v>
      </c>
      <c r="H17" s="36">
        <f>VLOOKUP($A17,Calculations!$A$2:$Z$35,23,FALSE)</f>
        <v>2.2471309613928465</v>
      </c>
      <c r="I17" s="36">
        <f>VLOOKUP($A17,Calculations!$A$2:$Z$35,24,FALSE)</f>
        <v>2.4001348059503931</v>
      </c>
      <c r="J17" s="36">
        <f>VLOOKUP($A17,Calculations!$A$2:$Z$35,25,FALSE)</f>
        <v>2.5530798694849572</v>
      </c>
      <c r="K17" s="9" t="e">
        <f>(_xll.BDP(D17,$K$2))/100</f>
        <v>#VALUE!</v>
      </c>
      <c r="L17" s="4">
        <f>_xll.BDP(C17,$L$2)</f>
        <v>1057.08</v>
      </c>
      <c r="M17" s="4">
        <f>_xll.BDP(C17,$M$2)</f>
        <v>1064.3800000000001</v>
      </c>
      <c r="P17" s="2">
        <v>9.6</v>
      </c>
      <c r="Q17" s="2">
        <v>7.3872999999999998</v>
      </c>
    </row>
    <row r="18" spans="1:17" x14ac:dyDescent="0.25">
      <c r="A18" s="32" t="s">
        <v>153</v>
      </c>
      <c r="B18" s="1"/>
      <c r="C18" s="1"/>
      <c r="D18" s="1"/>
      <c r="F18" s="8"/>
      <c r="G18" s="36">
        <f>VLOOKUP($A18,Calculations!$A$2:$V$35,14,FALSE)</f>
        <v>3.2050000000000001</v>
      </c>
      <c r="H18" s="36">
        <f>VLOOKUP($A18,Calculations!$A$2:$Z$35,23,FALSE)</f>
        <v>2.2997342192691068</v>
      </c>
      <c r="I18" s="36">
        <f>VLOOKUP($A18,Calculations!$A$2:$Z$35,24,FALSE)</f>
        <v>2.4320137493565204</v>
      </c>
      <c r="J18" s="36">
        <f>VLOOKUP($A18,Calculations!$A$2:$Z$35,25,FALSE)</f>
        <v>2.5642289432621297</v>
      </c>
      <c r="K18" s="9" t="e">
        <f>(_xll.BDP(D18,$K$2))/100</f>
        <v>#VALUE!</v>
      </c>
      <c r="L18" s="4" t="str">
        <f>_xll.BDP(C18,$L$2)</f>
        <v>#N/A Invalid Security</v>
      </c>
      <c r="M18" s="4" t="str">
        <f>_xll.BDP(C18,$M$2)</f>
        <v>#N/A Invalid Security</v>
      </c>
      <c r="P18" s="2">
        <v>10.5</v>
      </c>
      <c r="Q18" s="2">
        <v>10.0345</v>
      </c>
    </row>
    <row r="19" spans="1:17" x14ac:dyDescent="0.25">
      <c r="A19" t="s">
        <v>8</v>
      </c>
      <c r="B19" s="1" t="s">
        <v>79</v>
      </c>
      <c r="C19" s="1" t="s">
        <v>46</v>
      </c>
      <c r="D19" s="1" t="s">
        <v>64</v>
      </c>
      <c r="F19" s="8" t="s">
        <v>31</v>
      </c>
      <c r="G19" s="36">
        <f>VLOOKUP($A19,Calculations!$A$2:$V$35,14,FALSE)</f>
        <v>3.8514999999999997</v>
      </c>
      <c r="H19" s="36">
        <f>VLOOKUP($A19,Calculations!$A$2:$Z$35,23,FALSE)</f>
        <v>3.7612557853002055</v>
      </c>
      <c r="I19" s="36">
        <f>VLOOKUP($A19,Calculations!$A$2:$Z$35,24,FALSE)</f>
        <v>3.8459872691949277</v>
      </c>
      <c r="J19" s="36">
        <f>VLOOKUP($A19,Calculations!$A$2:$Z$35,25,FALSE)</f>
        <v>3.9307131011608583</v>
      </c>
      <c r="K19" s="9">
        <f>(_xll.BDP(D19,"PX_LAST"))/100</f>
        <v>4.2880000000000001E-2</v>
      </c>
      <c r="L19" s="4">
        <f>_xll.BDP(C19,$L$2)</f>
        <v>12.6622</v>
      </c>
      <c r="M19" s="4">
        <f>_xll.BDP(C19,$M$2)</f>
        <v>12.77445</v>
      </c>
      <c r="P19" s="2"/>
      <c r="Q19" s="2"/>
    </row>
    <row r="20" spans="1:17" x14ac:dyDescent="0.25">
      <c r="A20" s="32" t="s">
        <v>157</v>
      </c>
      <c r="B20" s="1"/>
      <c r="C20" s="1"/>
      <c r="D20" s="1"/>
      <c r="F20" s="8"/>
      <c r="G20" s="36">
        <f>VLOOKUP($A20,Calculations!$A$2:$V$35,14,FALSE)</f>
        <v>4.8650000000000002</v>
      </c>
      <c r="H20" s="36">
        <f>VLOOKUP($A20,Calculations!$A$2:$Z$35,23,FALSE)</f>
        <v>4.5431215970962509</v>
      </c>
      <c r="I20" s="36">
        <f>VLOOKUP($A20,Calculations!$A$2:$Z$35,24,FALSE)</f>
        <v>4.7632934932982591</v>
      </c>
      <c r="J20" s="36">
        <f>VLOOKUP($A20,Calculations!$A$2:$Z$35,25,FALSE)</f>
        <v>4.9833591801569028</v>
      </c>
      <c r="K20" s="9" t="e">
        <f>(_xll.BDP(D20,"PX_MID"))/100</f>
        <v>#VALUE!</v>
      </c>
      <c r="L20" s="4" t="str">
        <f>_xll.BDP(C20,$L$2)</f>
        <v>#N/A Invalid Security</v>
      </c>
      <c r="M20" s="4" t="str">
        <f>_xll.BDP(C20,$M$2)</f>
        <v>#N/A Invalid Security</v>
      </c>
      <c r="P20" s="2"/>
      <c r="Q20" s="2"/>
    </row>
    <row r="21" spans="1:17" x14ac:dyDescent="0.25">
      <c r="A21" t="s">
        <v>29</v>
      </c>
      <c r="B21" s="1" t="s">
        <v>81</v>
      </c>
      <c r="C21" s="1" t="s">
        <v>53</v>
      </c>
      <c r="D21" s="1" t="s">
        <v>66</v>
      </c>
      <c r="F21" s="8" t="s">
        <v>30</v>
      </c>
      <c r="G21" s="36">
        <f>VLOOKUP($A21,Calculations!$A$2:$V$35,14,FALSE)</f>
        <v>5.01</v>
      </c>
      <c r="H21" s="36">
        <f>VLOOKUP($A21,Calculations!$A$2:$Z$35,23,FALSE)</f>
        <v>4.8559467480709113</v>
      </c>
      <c r="I21" s="36">
        <f>VLOOKUP($A21,Calculations!$A$2:$Z$35,24,FALSE)</f>
        <v>5.0028418298714845</v>
      </c>
      <c r="J21" s="36">
        <f>VLOOKUP($A21,Calculations!$A$2:$Z$35,25,FALSE)</f>
        <v>5.1495853002815934</v>
      </c>
      <c r="K21" s="9" t="e">
        <f>(_xll.BDP(D21,$K$2))/100</f>
        <v>#VALUE!</v>
      </c>
      <c r="L21" s="4">
        <f>_xll.BDP(C21,$L$2)</f>
        <v>472.05</v>
      </c>
      <c r="M21" s="4">
        <f>_xll.BDP(C21,$M$2)</f>
        <v>477.60500000000002</v>
      </c>
      <c r="P21" s="2"/>
      <c r="Q21" s="2"/>
    </row>
    <row r="22" spans="1:17" x14ac:dyDescent="0.25">
      <c r="A22" t="s">
        <v>9</v>
      </c>
      <c r="B22" s="1" t="s">
        <v>72</v>
      </c>
      <c r="C22" s="1" t="s">
        <v>41</v>
      </c>
      <c r="D22" s="1" t="s">
        <v>86</v>
      </c>
      <c r="F22" s="8" t="s">
        <v>18</v>
      </c>
      <c r="G22" s="36">
        <f>VLOOKUP($A22,Calculations!$A$2:$V$35,14,FALSE)</f>
        <v>3.145</v>
      </c>
      <c r="H22" s="36">
        <f>VLOOKUP($A22,Calculations!$A$2:$Z$35,23,FALSE)</f>
        <v>3.2093126246195709</v>
      </c>
      <c r="I22" s="36">
        <f>VLOOKUP($A22,Calculations!$A$2:$Z$35,24,FALSE)</f>
        <v>3.2383985727778226</v>
      </c>
      <c r="J22" s="36">
        <f>VLOOKUP($A22,Calculations!$A$2:$Z$35,25,FALSE)</f>
        <v>3.2674845209361187</v>
      </c>
      <c r="K22" s="9"/>
      <c r="L22" s="39"/>
      <c r="M22" s="38"/>
      <c r="P22" s="2"/>
      <c r="Q22" s="2"/>
    </row>
    <row r="23" spans="1:17" x14ac:dyDescent="0.25">
      <c r="A23" s="32" t="s">
        <v>162</v>
      </c>
      <c r="B23" s="1"/>
      <c r="C23" s="1"/>
      <c r="D23" s="1"/>
      <c r="F23" s="8"/>
      <c r="G23" s="36">
        <f>VLOOKUP($A23,Calculations!$A$2:$V$35,14,FALSE)</f>
        <v>4.3475999999999999</v>
      </c>
      <c r="H23" s="36">
        <f>VLOOKUP($A23,Calculations!$A$2:$Z$35,23,FALSE)</f>
        <v>0.10332158245203815</v>
      </c>
      <c r="I23" s="36">
        <f>VLOOKUP($A23,Calculations!$A$2:$Z$35,24,FALSE)</f>
        <v>0.43315057763847453</v>
      </c>
      <c r="J23" s="36">
        <f>VLOOKUP($A23,Calculations!$A$2:$Z$35,25,FALSE)</f>
        <v>0.76286609240402847</v>
      </c>
      <c r="K23" s="9">
        <f>(_xll.BDP(D23,"PX_LAST"))/100</f>
        <v>0</v>
      </c>
      <c r="L23" s="4" t="str">
        <f>_xll.BDP(C23,$L$2)</f>
        <v>#N/A Invalid Security</v>
      </c>
      <c r="M23" s="4" t="str">
        <f>_xll.BDP(C23,$M$2)</f>
        <v>#N/A Invalid Security</v>
      </c>
      <c r="P23" s="2"/>
      <c r="Q23" s="2"/>
    </row>
    <row r="24" spans="1:17" x14ac:dyDescent="0.25">
      <c r="A24" s="32" t="s">
        <v>146</v>
      </c>
      <c r="B24" s="1"/>
      <c r="C24" s="1"/>
      <c r="D24" s="1"/>
      <c r="F24" s="8"/>
      <c r="G24" s="36">
        <f>VLOOKUP($A24,Calculations!$A$2:$V$35,14,FALSE)</f>
        <v>3.97</v>
      </c>
      <c r="H24" s="36">
        <f>VLOOKUP($A24,Calculations!$A$2:$Z$35,23,FALSE)</f>
        <v>3.5684177882924946</v>
      </c>
      <c r="I24" s="36">
        <f>VLOOKUP($A24,Calculations!$A$2:$Z$35,24,FALSE)</f>
        <v>3.6716915995396944</v>
      </c>
      <c r="J24" s="36">
        <f>VLOOKUP($A24,Calculations!$A$2:$Z$35,25,FALSE)</f>
        <v>3.774945188404903</v>
      </c>
      <c r="K24" s="9"/>
      <c r="L24" s="4"/>
      <c r="M24" s="4"/>
      <c r="P24" s="2"/>
      <c r="Q24" s="2"/>
    </row>
    <row r="25" spans="1:17" x14ac:dyDescent="0.25">
      <c r="A25" s="32" t="s">
        <v>138</v>
      </c>
      <c r="B25" s="1"/>
      <c r="C25" s="1"/>
      <c r="D25" s="1"/>
      <c r="F25" s="8"/>
      <c r="G25" s="36">
        <f>VLOOKUP($A25,Calculations!$A$2:$V$35,14,FALSE)</f>
        <v>1.1499999999999999</v>
      </c>
      <c r="H25" s="36">
        <f>VLOOKUP($A25,Calculations!$A$2:$Z$35,23,FALSE)</f>
        <v>0.5984512330554479</v>
      </c>
      <c r="I25" s="36">
        <f>VLOOKUP($A25,Calculations!$A$2:$Z$35,24,FALSE)</f>
        <v>0.98875242688593024</v>
      </c>
      <c r="J25" s="36">
        <f>VLOOKUP($A25,Calculations!$A$2:$Z$35,25,FALSE)</f>
        <v>1.3767775831873872</v>
      </c>
      <c r="K25" s="9"/>
      <c r="L25" s="4"/>
      <c r="M25" s="4"/>
      <c r="P25" s="2"/>
      <c r="Q25" s="2"/>
    </row>
    <row r="26" spans="1:17" x14ac:dyDescent="0.25">
      <c r="A26" t="s">
        <v>21</v>
      </c>
      <c r="B26" s="1" t="s">
        <v>82</v>
      </c>
      <c r="C26" s="1" t="s">
        <v>50</v>
      </c>
      <c r="D26" s="1" t="s">
        <v>71</v>
      </c>
      <c r="F26" s="8" t="s">
        <v>22</v>
      </c>
      <c r="G26" s="36">
        <f>VLOOKUP($A26,Calculations!$A$2:$V$35,14,FALSE)</f>
        <v>4.7750000000000004</v>
      </c>
      <c r="H26" s="36">
        <f>VLOOKUP($A26,Calculations!$A$2:$Z$35,23,FALSE)</f>
        <v>3.1092927648315456</v>
      </c>
      <c r="I26" s="36">
        <f>VLOOKUP($A26,Calculations!$A$2:$Z$35,24,FALSE)</f>
        <v>3.3525030525030415</v>
      </c>
      <c r="J26" s="36">
        <f>VLOOKUP($A26,Calculations!$A$2:$Z$35,25,FALSE)</f>
        <v>3.59567199104686</v>
      </c>
      <c r="K26" s="9"/>
      <c r="L26" s="4"/>
      <c r="M26" s="4"/>
      <c r="P26" s="2"/>
      <c r="Q26" s="2"/>
    </row>
    <row r="27" spans="1:17" x14ac:dyDescent="0.25">
      <c r="A27" s="32" t="s">
        <v>158</v>
      </c>
      <c r="B27" s="1"/>
      <c r="C27" s="1"/>
      <c r="D27" s="1"/>
      <c r="F27" s="8"/>
      <c r="G27" s="36">
        <f>VLOOKUP($A27,Calculations!$A$2:$V$35,14,FALSE)</f>
        <v>3.7874999999999996</v>
      </c>
      <c r="H27" s="36">
        <f>VLOOKUP($A27,Calculations!$A$2:$Z$35,23,FALSE)</f>
        <v>5.0642644594640469</v>
      </c>
      <c r="I27" s="36">
        <f>VLOOKUP($A27,Calculations!$A$2:$Z$35,24,FALSE)</f>
        <v>5.1729754496033449</v>
      </c>
      <c r="J27" s="36">
        <f>VLOOKUP($A27,Calculations!$A$2:$Z$35,25,FALSE)</f>
        <v>5.2816578610130378</v>
      </c>
      <c r="K27" s="9"/>
      <c r="L27" s="4"/>
      <c r="M27" s="4"/>
      <c r="P27" s="2"/>
      <c r="Q27" s="2"/>
    </row>
    <row r="28" spans="1:17" x14ac:dyDescent="0.25">
      <c r="A28" t="s">
        <v>14</v>
      </c>
      <c r="B28" s="1" t="s">
        <v>80</v>
      </c>
      <c r="C28" s="1" t="s">
        <v>49</v>
      </c>
      <c r="D28" s="1" t="s">
        <v>67</v>
      </c>
      <c r="F28" s="8" t="s">
        <v>25</v>
      </c>
      <c r="G28" s="36">
        <f>VLOOKUP($A28,Calculations!$A$2:$V$35,14,FALSE)</f>
        <v>6.1</v>
      </c>
      <c r="H28" s="36">
        <f>VLOOKUP($A28,Calculations!$A$2:$Z$35,23,FALSE)</f>
        <v>5.9567074206091259</v>
      </c>
      <c r="I28" s="36">
        <f>VLOOKUP($A28,Calculations!$A$2:$Z$35,24,FALSE)</f>
        <v>6.0338862437926073</v>
      </c>
      <c r="J28" s="36">
        <f>VLOOKUP($A28,Calculations!$A$2:$Z$35,25,FALSE)</f>
        <v>6.1110526663408145</v>
      </c>
      <c r="K28" s="9"/>
      <c r="L28" s="4"/>
      <c r="M28" s="4"/>
      <c r="P28" s="2"/>
      <c r="Q28" s="2"/>
    </row>
    <row r="29" spans="1:17" x14ac:dyDescent="0.25">
      <c r="A29" s="32" t="s">
        <v>164</v>
      </c>
      <c r="B29" s="1"/>
      <c r="C29" s="1"/>
      <c r="D29" s="1"/>
      <c r="F29" s="8"/>
      <c r="G29" s="36" t="e">
        <f>VLOOKUP($A29,Calculations!$A$2:$V$35,14,FALSE)</f>
        <v>#VALUE!</v>
      </c>
      <c r="H29" s="36">
        <f>VLOOKUP($A29,Calculations!$A$2:$Z$35,23,FALSE)</f>
        <v>2.6154400000000084</v>
      </c>
      <c r="I29" s="36">
        <f>VLOOKUP($A29,Calculations!$A$2:$Z$35,24,FALSE)</f>
        <v>4.010304164152056</v>
      </c>
      <c r="J29" s="36">
        <f>VLOOKUP($A29,Calculations!$A$2:$Z$35,25,FALSE)</f>
        <v>5.3937692307692338</v>
      </c>
      <c r="K29" s="9"/>
      <c r="L29" s="4"/>
      <c r="M29" s="4"/>
      <c r="P29" s="2"/>
      <c r="Q29" s="2"/>
    </row>
    <row r="30" spans="1:17" x14ac:dyDescent="0.25">
      <c r="A30" s="32" t="s">
        <v>135</v>
      </c>
      <c r="B30" s="1"/>
      <c r="C30" s="1"/>
      <c r="D30" s="1"/>
      <c r="F30" s="8"/>
      <c r="G30" s="36">
        <f>VLOOKUP($A30,Calculations!$A$2:$V$35,14,FALSE)</f>
        <v>8.5</v>
      </c>
      <c r="H30" s="36">
        <f>VLOOKUP($A30,Calculations!$A$2:$Z$35,23,FALSE)</f>
        <v>27.363030303030275</v>
      </c>
      <c r="I30" s="36">
        <f>VLOOKUP($A30,Calculations!$A$2:$Z$35,24,FALSE)</f>
        <v>33.448049981067811</v>
      </c>
      <c r="J30" s="36">
        <f>VLOOKUP($A30,Calculations!$A$2:$Z$35,25,FALSE)</f>
        <v>39.528493565480716</v>
      </c>
      <c r="K30" s="9"/>
      <c r="L30" s="4"/>
      <c r="M30" s="4"/>
      <c r="P30" s="2"/>
      <c r="Q30" s="2"/>
    </row>
    <row r="31" spans="1:17" x14ac:dyDescent="0.25">
      <c r="A31" t="s">
        <v>5</v>
      </c>
      <c r="B31" s="1" t="s">
        <v>85</v>
      </c>
      <c r="C31" s="1" t="s">
        <v>43</v>
      </c>
      <c r="D31" s="1" t="s">
        <v>68</v>
      </c>
      <c r="E31" s="1"/>
      <c r="F31" s="8" t="s">
        <v>28</v>
      </c>
      <c r="G31" s="36">
        <f>VLOOKUP($A31,Calculations!$A$2:$V$35,14,FALSE)</f>
        <v>5.25</v>
      </c>
      <c r="H31" s="36">
        <f>VLOOKUP($A31,Calculations!$A$2:$Z$35,23,FALSE)</f>
        <v>5.0489584964761587</v>
      </c>
      <c r="I31" s="36">
        <f>VLOOKUP($A31,Calculations!$A$2:$Z$35,24,FALSE)</f>
        <v>5.1707609493516378</v>
      </c>
      <c r="J31" s="36">
        <f>VLOOKUP($A31,Calculations!$A$2:$Z$35,25,FALSE)</f>
        <v>5.2925393874155553</v>
      </c>
      <c r="K31" s="9"/>
      <c r="L31" s="4"/>
      <c r="M31" s="4"/>
      <c r="P31" s="2"/>
      <c r="Q31" s="2"/>
    </row>
    <row r="32" spans="1:17" x14ac:dyDescent="0.25">
      <c r="A32" s="32" t="s">
        <v>144</v>
      </c>
      <c r="B32" s="1"/>
      <c r="C32" s="1"/>
      <c r="D32" s="1"/>
      <c r="F32" s="8"/>
      <c r="G32" s="36">
        <f>VLOOKUP($A32,Calculations!$A$2:$V$35,14,FALSE)</f>
        <v>13.125</v>
      </c>
      <c r="H32" s="36">
        <f>VLOOKUP($A32,Calculations!$A$2:$Z$35,23,FALSE)</f>
        <v>8.4826438962682555</v>
      </c>
      <c r="I32" s="36">
        <f>VLOOKUP($A32,Calculations!$A$2:$Z$35,24,FALSE)</f>
        <v>9.1499071549919435</v>
      </c>
      <c r="J32" s="36">
        <f>VLOOKUP($A32,Calculations!$A$2:$Z$35,25,FALSE)</f>
        <v>9.8164273868751302</v>
      </c>
      <c r="K32" s="9"/>
      <c r="L32" s="4"/>
      <c r="M32" s="4"/>
      <c r="P32" s="2"/>
      <c r="Q32" s="2"/>
    </row>
    <row r="33" spans="1:17" x14ac:dyDescent="0.25">
      <c r="A33" t="s">
        <v>12</v>
      </c>
      <c r="B33" s="1" t="s">
        <v>83</v>
      </c>
      <c r="C33" s="1" t="s">
        <v>48</v>
      </c>
      <c r="D33" s="1" t="s">
        <v>69</v>
      </c>
      <c r="F33" s="8" t="s">
        <v>19</v>
      </c>
      <c r="G33" s="36">
        <f>VLOOKUP($A33,Calculations!$A$2:$V$35,14,FALSE)</f>
        <v>8.8249999999999993</v>
      </c>
      <c r="H33" s="36">
        <f>VLOOKUP($A33,Calculations!$A$2:$Z$35,23,FALSE)</f>
        <v>5.9910986964617781</v>
      </c>
      <c r="I33" s="36">
        <f>VLOOKUP($A33,Calculations!$A$2:$Z$35,24,FALSE)</f>
        <v>6.1466193413242882</v>
      </c>
      <c r="J33" s="36">
        <f>VLOOKUP($A33,Calculations!$A$2:$Z$35,25,FALSE)</f>
        <v>6.3021131021643235</v>
      </c>
      <c r="K33" s="9"/>
      <c r="L33" s="4"/>
      <c r="M33" s="4"/>
      <c r="P33" s="2"/>
      <c r="Q33" s="2"/>
    </row>
    <row r="34" spans="1:17" x14ac:dyDescent="0.25">
      <c r="A34" t="s">
        <v>26</v>
      </c>
      <c r="B34" s="1" t="s">
        <v>84</v>
      </c>
      <c r="C34" s="1" t="s">
        <v>52</v>
      </c>
      <c r="D34" s="1" t="s">
        <v>70</v>
      </c>
      <c r="F34" s="8" t="s">
        <v>27</v>
      </c>
      <c r="G34" s="36">
        <f>VLOOKUP($A34,Calculations!$A$2:$V$35,14,FALSE)</f>
        <v>6.25</v>
      </c>
      <c r="H34" s="36">
        <f>VLOOKUP($A34,Calculations!$A$2:$Z$35,23,FALSE)</f>
        <v>4.7835257392587156</v>
      </c>
      <c r="I34" s="36">
        <f>VLOOKUP($A34,Calculations!$A$2:$Z$35,24,FALSE)</f>
        <v>4.9464245175936723</v>
      </c>
      <c r="J34" s="36">
        <f>VLOOKUP($A34,Calculations!$A$2:$Z$35,25,FALSE)</f>
        <v>5.1093093468020641</v>
      </c>
      <c r="K34" s="9"/>
      <c r="L34" s="4"/>
      <c r="M34" s="4"/>
      <c r="P34" s="2"/>
      <c r="Q34" s="2"/>
    </row>
    <row r="35" spans="1:17" x14ac:dyDescent="0.25">
      <c r="A35" s="32" t="s">
        <v>149</v>
      </c>
      <c r="G35" s="36">
        <f>VLOOKUP($A35,Calculations!$A$2:$V$35,14,FALSE)</f>
        <v>6.5</v>
      </c>
      <c r="H35" s="36">
        <f>VLOOKUP($A35,Calculations!$A$2:$Z$35,23,FALSE)</f>
        <v>6.9843035542747796</v>
      </c>
      <c r="I35" s="36">
        <f>VLOOKUP($A35,Calculations!$A$2:$Z$35,24,FALSE)</f>
        <v>8.9362000719683259</v>
      </c>
      <c r="J35" s="36">
        <f>VLOOKUP($A35,Calculations!$A$2:$Z$35,25,FALSE)</f>
        <v>10.883973160795605</v>
      </c>
      <c r="K35" s="9"/>
      <c r="L35" s="4"/>
      <c r="M35" s="4"/>
      <c r="P35" s="2"/>
      <c r="Q35" s="2"/>
    </row>
    <row r="36" spans="1:17" x14ac:dyDescent="0.25">
      <c r="A36" s="32" t="s">
        <v>142</v>
      </c>
      <c r="G36" s="36" t="e">
        <f>VLOOKUP($A36,Calculations!$A$2:$V$35,14,FALSE)</f>
        <v>#VALUE!</v>
      </c>
      <c r="H36" s="36">
        <f>VLOOKUP($A36,Calculations!$A$2:$Z$35,23,FALSE)</f>
        <v>18.026813078346734</v>
      </c>
      <c r="I36" s="36">
        <f>VLOOKUP($A36,Calculations!$A$2:$Z$35,24,FALSE)</f>
        <v>22.946156307692334</v>
      </c>
      <c r="J36" s="36">
        <f>VLOOKUP($A36,Calculations!$A$2:$Z$35,25,FALSE)</f>
        <v>27.841537139349263</v>
      </c>
      <c r="P36" s="2"/>
      <c r="Q36" s="2"/>
    </row>
    <row r="37" spans="1:17" x14ac:dyDescent="0.25">
      <c r="A37" s="32" t="s">
        <v>133</v>
      </c>
      <c r="B37" s="1"/>
      <c r="C37" s="1"/>
      <c r="D37" s="1"/>
      <c r="F37" s="8"/>
      <c r="G37" s="36">
        <f>VLOOKUP($A37,Calculations!$A$2:$V$35,14,FALSE)</f>
        <v>27.625499999999999</v>
      </c>
      <c r="H37" s="36">
        <f>VLOOKUP($A37,Calculations!$A$2:$Z$35,23,FALSE)</f>
        <v>25.179172324603968</v>
      </c>
      <c r="I37" s="36">
        <f>VLOOKUP($A37,Calculations!$A$2:$Z$35,24,FALSE)</f>
        <v>27.534248886284896</v>
      </c>
      <c r="J37" s="36">
        <f>VLOOKUP($A37,Calculations!$A$2:$Z$35,25,FALSE)</f>
        <v>29.888530451469546</v>
      </c>
    </row>
  </sheetData>
  <sortState ref="A4:I37">
    <sortCondition ref="G4:G37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I57"/>
  <sheetViews>
    <sheetView workbookViewId="0">
      <pane xSplit="5" ySplit="1" topLeftCell="F2" activePane="bottomRight" state="frozen"/>
      <selection pane="topRight" activeCell="E1" sqref="E1"/>
      <selection pane="bottomLeft" activeCell="A2" sqref="A2"/>
      <selection pane="bottomRight"/>
    </sheetView>
  </sheetViews>
  <sheetFormatPr defaultRowHeight="15" x14ac:dyDescent="0.25"/>
  <cols>
    <col min="1" max="1" width="18.85546875" bestFit="1" customWidth="1"/>
    <col min="2" max="2" width="19.85546875" bestFit="1" customWidth="1"/>
    <col min="3" max="3" width="20.85546875" bestFit="1" customWidth="1"/>
    <col min="4" max="4" width="19.85546875" bestFit="1" customWidth="1"/>
    <col min="5" max="5" width="19.28515625" bestFit="1" customWidth="1"/>
    <col min="6" max="8" width="19.28515625" customWidth="1"/>
    <col min="9" max="11" width="25" bestFit="1" customWidth="1"/>
    <col min="12" max="12" width="19.7109375" bestFit="1" customWidth="1"/>
    <col min="13" max="13" width="20" bestFit="1" customWidth="1"/>
    <col min="14" max="14" width="20" customWidth="1"/>
    <col min="15" max="16" width="19.85546875" bestFit="1" customWidth="1"/>
    <col min="17" max="17" width="19.85546875" customWidth="1"/>
    <col min="18" max="18" width="19.85546875" hidden="1" customWidth="1"/>
    <col min="19" max="19" width="4" customWidth="1"/>
    <col min="20" max="20" width="21" hidden="1" customWidth="1"/>
    <col min="21" max="21" width="21.42578125" hidden="1" customWidth="1"/>
    <col min="22" max="22" width="21.85546875" hidden="1" customWidth="1"/>
    <col min="23" max="25" width="24" bestFit="1" customWidth="1"/>
    <col min="26" max="26" width="28.28515625" bestFit="1" customWidth="1"/>
    <col min="27" max="27" width="19.85546875" hidden="1" customWidth="1"/>
    <col min="28" max="28" width="18.42578125" bestFit="1" customWidth="1"/>
    <col min="29" max="29" width="10" bestFit="1" customWidth="1"/>
    <col min="30" max="30" width="9.7109375" bestFit="1" customWidth="1"/>
    <col min="31" max="32" width="9.5703125" bestFit="1" customWidth="1"/>
    <col min="33" max="33" width="12" bestFit="1" customWidth="1"/>
    <col min="36" max="36" width="3" customWidth="1"/>
  </cols>
  <sheetData>
    <row r="1" spans="1:35" x14ac:dyDescent="0.25">
      <c r="A1" s="5" t="s">
        <v>54</v>
      </c>
      <c r="B1" s="10" t="s">
        <v>39</v>
      </c>
      <c r="C1" s="10" t="s">
        <v>36</v>
      </c>
      <c r="D1" s="10" t="s">
        <v>116</v>
      </c>
      <c r="E1" s="10" t="s">
        <v>107</v>
      </c>
      <c r="F1" s="10" t="s">
        <v>117</v>
      </c>
      <c r="G1" s="10" t="s">
        <v>118</v>
      </c>
      <c r="H1" s="10" t="s">
        <v>261</v>
      </c>
      <c r="I1" s="10" t="s">
        <v>290</v>
      </c>
      <c r="J1" s="10" t="s">
        <v>291</v>
      </c>
      <c r="K1" s="10" t="s">
        <v>289</v>
      </c>
      <c r="L1" s="10" t="s">
        <v>119</v>
      </c>
      <c r="M1" s="10" t="s">
        <v>120</v>
      </c>
      <c r="N1" s="10" t="s">
        <v>229</v>
      </c>
      <c r="O1" s="10" t="s">
        <v>108</v>
      </c>
      <c r="P1" s="10" t="s">
        <v>109</v>
      </c>
      <c r="Q1" s="10" t="s">
        <v>282</v>
      </c>
      <c r="R1" s="10" t="s">
        <v>263</v>
      </c>
      <c r="T1" s="10" t="s">
        <v>121</v>
      </c>
      <c r="U1" s="10" t="s">
        <v>123</v>
      </c>
      <c r="V1" s="10" t="s">
        <v>122</v>
      </c>
      <c r="W1" s="10" t="s">
        <v>287</v>
      </c>
      <c r="X1" s="10" t="s">
        <v>286</v>
      </c>
      <c r="Y1" s="10" t="s">
        <v>288</v>
      </c>
      <c r="Z1" s="10" t="s">
        <v>283</v>
      </c>
      <c r="AA1" s="10" t="s">
        <v>262</v>
      </c>
    </row>
    <row r="2" spans="1:35" x14ac:dyDescent="0.25">
      <c r="A2" t="s">
        <v>6</v>
      </c>
      <c r="B2" s="1" t="s">
        <v>44</v>
      </c>
      <c r="C2" s="1" t="s">
        <v>281</v>
      </c>
      <c r="D2" s="8" t="s">
        <v>15</v>
      </c>
      <c r="E2" s="1" t="s">
        <v>106</v>
      </c>
      <c r="F2" s="4">
        <f>_xll.BDP($B2,"PX_BID")</f>
        <v>89.85</v>
      </c>
      <c r="G2" s="3">
        <f>_xll.BDP($B2,"PX_ASK")</f>
        <v>89.87</v>
      </c>
      <c r="H2" s="4">
        <f>(G2+F2)/2</f>
        <v>89.86</v>
      </c>
      <c r="I2" s="4">
        <f>F2+(O2/VLOOKUP($A2,Scale!$A$2:$B$35,2,FALSE))</f>
        <v>89.780599999999993</v>
      </c>
      <c r="J2" s="4">
        <f>G2+(P2/VLOOKUP($A2,Scale!$A$2:$B$35,2,FALSE))</f>
        <v>89.803400000000011</v>
      </c>
      <c r="K2" s="4">
        <f>H2+(Q2/VLOOKUP($A2,Scale!$A$2:$B$35,2,FALSE))</f>
        <v>89.792000000000002</v>
      </c>
      <c r="L2" s="4">
        <f>_xll.BDP($D2,"PX_BID")</f>
        <v>0.02</v>
      </c>
      <c r="M2" s="4">
        <f>_xll.BDP($D2,"PX_ASK")</f>
        <v>0.17</v>
      </c>
      <c r="N2" s="33">
        <f>(M2+L2)/2</f>
        <v>9.5000000000000001E-2</v>
      </c>
      <c r="O2" s="4">
        <f>_xll.BDP($E2,"PX_BID_POINTS")</f>
        <v>-6.94</v>
      </c>
      <c r="P2" s="4">
        <f>_xll.BDP($E2,"PX_ASK_POINTS")</f>
        <v>-6.66</v>
      </c>
      <c r="Q2" s="4">
        <f>(O2+P2)/2</f>
        <v>-6.8000000000000007</v>
      </c>
      <c r="R2" s="4">
        <f>K2/(1+(($N$5/100)^4))</f>
        <v>89.791999992726844</v>
      </c>
      <c r="T2" s="33">
        <f>((1+$AC$15/100*$AE$7/$AD$10)*($F2+$O2/$AF$7)/$F2-1)*100*$AD$10/$AE$7</f>
        <v>0.25694234957663009</v>
      </c>
      <c r="U2" s="33">
        <f>((1+$AD$15/100*$AE$7/$AD$10)*($G2+$P2/$AF$7)/$G2-1)*100*$AD$10/$AE$7</f>
        <v>0.33706577314487196</v>
      </c>
      <c r="V2" s="31">
        <f>(U2+T2)/2</f>
        <v>0.29700406136075103</v>
      </c>
      <c r="W2" s="31">
        <f>(((($I2/$F2)-1)*4)*100)+$L$5</f>
        <v>-4.895937673900419E-2</v>
      </c>
      <c r="X2" s="31">
        <f>(((($K2/$H2)-1)*4)*100)+$N$5</f>
        <v>-2.6930781214964394E-3</v>
      </c>
      <c r="Y2" s="31">
        <f>(((($J2/$G2)-1)*4)*100)+$M$5</f>
        <v>4.3571825970893652E-2</v>
      </c>
      <c r="Z2" s="43">
        <f>((77.6107/77.8-1)*4)*100+$N$5</f>
        <v>-0.67326478149102331</v>
      </c>
      <c r="AA2" s="31">
        <f>((($K2/$H2)-1)*4)+N2</f>
        <v>9.1973069218785036E-2</v>
      </c>
      <c r="AI2" s="42"/>
    </row>
    <row r="3" spans="1:35" x14ac:dyDescent="0.25">
      <c r="A3" t="s">
        <v>13</v>
      </c>
      <c r="B3" s="1" t="s">
        <v>51</v>
      </c>
      <c r="C3" s="1" t="s">
        <v>260</v>
      </c>
      <c r="D3" s="8" t="s">
        <v>23</v>
      </c>
      <c r="E3" s="1" t="s">
        <v>124</v>
      </c>
      <c r="F3" s="38">
        <f>_xll.BDP($B3,"PX_BID")</f>
        <v>6.2148000000000003</v>
      </c>
      <c r="G3" s="38">
        <f>_xll.BDP($B3,"PX_ASK")</f>
        <v>6.2213000000000003</v>
      </c>
      <c r="H3" s="4">
        <f t="shared" ref="H3:H35" si="0">(G3+F3)/2</f>
        <v>6.2180499999999999</v>
      </c>
      <c r="I3" s="4">
        <f>F3+(O3/VLOOKUP($A3,Scale!$A$2:$B$35,2,FALSE))</f>
        <v>6.2743000000000002</v>
      </c>
      <c r="J3" s="4">
        <f>G3+(P3/VLOOKUP($A3,Scale!$A$2:$B$35,2,FALSE))</f>
        <v>6.2830000000000004</v>
      </c>
      <c r="K3" s="4">
        <f>H3+(Q3/VLOOKUP($A3,Scale!$A$2:$B$35,2,FALSE))</f>
        <v>6.2786499999999998</v>
      </c>
      <c r="L3" s="4">
        <f>_xll.BDP($D3,"PX_BID")</f>
        <v>4.1916000000000002</v>
      </c>
      <c r="M3" s="4">
        <f>_xll.BDP($D3,"PX_ASK")</f>
        <v>4.3345000000000002</v>
      </c>
      <c r="N3" s="33">
        <f>(M3+L3)/2</f>
        <v>4.2630499999999998</v>
      </c>
      <c r="O3" s="4">
        <f>_xll.BDP($E3,"PX_BID_POINTS")</f>
        <v>5.9499999999999997E-2</v>
      </c>
      <c r="P3" s="4">
        <f>_xll.BDP($E3,"PX_ASK_POINTS")</f>
        <v>6.1699999999999998E-2</v>
      </c>
      <c r="Q3" s="4">
        <f t="shared" ref="Q3:Q35" si="1">(O3+P3)/2</f>
        <v>6.0600000000000001E-2</v>
      </c>
      <c r="R3" s="4">
        <f t="shared" ref="R3:R35" si="2">K3/(1+(($N$5/100)^4))</f>
        <v>6.2786499994914289</v>
      </c>
      <c r="T3" s="33">
        <f>((1+$AC$15/100*$AE$7/$AD$10)*($F3+$O3/$AG$7)/$F3-1)*100*$AD$10/$AE$7</f>
        <v>0.26003789974184077</v>
      </c>
      <c r="U3" s="33">
        <f>((1+$AD$15/100*$AE$7/$AD$10)*($G3+$P3/$AG$7)/$G3-1)*100*$AD$10/$AE$7</f>
        <v>0.34003926794918743</v>
      </c>
      <c r="V3" s="31">
        <f t="shared" ref="V3:V15" si="3">(U3+T3)/2</f>
        <v>0.30003858384551407</v>
      </c>
      <c r="W3" s="31">
        <f>(((($I3/$F3)-1)*4)*100)+$L$5</f>
        <v>4.089568127695193</v>
      </c>
      <c r="X3" s="31">
        <f>(((($K3/$H3)-1)*4)*100)+$N$5</f>
        <v>4.1983282540346663</v>
      </c>
      <c r="Y3" s="31">
        <f>(((($J3/$G3)-1)*4)*100)+$M$5</f>
        <v>4.3070165399514622</v>
      </c>
      <c r="Z3" s="43">
        <f>((6.3646/6.3617-1)*4)*100+N5</f>
        <v>0.48234119810740528</v>
      </c>
      <c r="AA3" s="31">
        <f>((($K3/$H3)-1)*4)+N3</f>
        <v>4.3020332825403464</v>
      </c>
      <c r="AI3" s="42"/>
    </row>
    <row r="4" spans="1:35" x14ac:dyDescent="0.25">
      <c r="A4" t="s">
        <v>11</v>
      </c>
      <c r="B4" s="1" t="s">
        <v>47</v>
      </c>
      <c r="C4" s="1" t="s">
        <v>264</v>
      </c>
      <c r="D4" s="8" t="s">
        <v>24</v>
      </c>
      <c r="E4" s="1" t="s">
        <v>110</v>
      </c>
      <c r="F4" s="4">
        <f>_xll.BDP($B4,"PX_BID")</f>
        <v>1.2275</v>
      </c>
      <c r="G4" s="4">
        <f>_xll.BDP($B4,"PX_ASK")</f>
        <v>1.2277</v>
      </c>
      <c r="H4" s="4">
        <f t="shared" si="0"/>
        <v>1.2276</v>
      </c>
      <c r="I4" s="4">
        <f>F4+(O4/VLOOKUP($A4,Scale!$A$2:$B$35,2,FALSE))</f>
        <v>1.2275430000000001</v>
      </c>
      <c r="J4" s="4">
        <f>G4+(P4/VLOOKUP($A4,Scale!$A$2:$B$35,2,FALSE))</f>
        <v>1.2278169999999999</v>
      </c>
      <c r="K4" s="4">
        <f>H4+(Q4/VLOOKUP($A4,Scale!$A$2:$B$35,2,FALSE))</f>
        <v>1.2276800000000001</v>
      </c>
      <c r="L4" s="4">
        <f>_xll.BDP($D4,"PX_BID")</f>
        <v>0.25</v>
      </c>
      <c r="M4" s="4">
        <f>_xll.BDP($D4,"PX_ASK")</f>
        <v>0.375</v>
      </c>
      <c r="N4" s="33">
        <f t="shared" ref="N4:N35" si="4">(M4+L4)/2</f>
        <v>0.3125</v>
      </c>
      <c r="O4" s="4">
        <f>_xll.BDP($E4,"PX_BID_POINTS")</f>
        <v>0.43</v>
      </c>
      <c r="P4" s="4">
        <f>_xll.BDP($E4,"PX_ASK_POINTS")</f>
        <v>1.17</v>
      </c>
      <c r="Q4" s="4">
        <f t="shared" si="1"/>
        <v>0.79999999999999993</v>
      </c>
      <c r="R4" s="4">
        <f t="shared" si="2"/>
        <v>1.2276799999005579</v>
      </c>
      <c r="T4" s="33">
        <f>((1+$L4/100*$AE$7/$AD$10)*($F4+$O4/100000)/$F4-1)*100*$AD$10/$AE$7</f>
        <v>0.25138669971585909</v>
      </c>
      <c r="U4" s="33">
        <f>((1+$M4/100*$AE$7/$AD$10)*($G4+$P4/$AG$7)/$G4-1)*100*$AD$10/$AE$7</f>
        <v>0.37877368976829512</v>
      </c>
      <c r="V4" s="31">
        <f t="shared" si="3"/>
        <v>0.3150801947420771</v>
      </c>
      <c r="W4" s="31">
        <f>(((($I4/$F4)-1)*4)*100)+$L$5</f>
        <v>0.27401221995926961</v>
      </c>
      <c r="X4" s="31">
        <f>(((($K4/$H4)-1)*4)*100)+$N$5</f>
        <v>0.32606712284132233</v>
      </c>
      <c r="Y4" s="31">
        <f>(((($J4/$G4)-1)*4)*100)+$M$5</f>
        <v>0.37812006190431208</v>
      </c>
      <c r="Z4" s="43">
        <f>((1.279962/1.2804-1)*4)*100+N5</f>
        <v>0.16316776007497791</v>
      </c>
      <c r="AA4" s="31">
        <f t="shared" ref="AA4:AA35" si="5">((($K4/$H4)-1)*4)+N4</f>
        <v>0.31276067122841322</v>
      </c>
      <c r="AI4" s="42"/>
    </row>
    <row r="5" spans="1:35" x14ac:dyDescent="0.25">
      <c r="A5" t="s">
        <v>32</v>
      </c>
      <c r="B5" s="1" t="s">
        <v>129</v>
      </c>
      <c r="C5" s="1" t="s">
        <v>250</v>
      </c>
      <c r="D5" s="8" t="s">
        <v>33</v>
      </c>
      <c r="E5" s="1" t="s">
        <v>111</v>
      </c>
      <c r="F5" s="4">
        <f>_xll.BDP($B5,"PX_BID")</f>
        <v>0.752</v>
      </c>
      <c r="G5" s="4">
        <f>_xll.BDP($B5,"PX_ASK")</f>
        <v>0.752</v>
      </c>
      <c r="H5" s="4">
        <f t="shared" si="0"/>
        <v>0.752</v>
      </c>
      <c r="I5" s="4">
        <f>_xll.BDP("USDEUR CMPN Curncy","FWD_RT_3MO")</f>
        <v>0.75132690000000002</v>
      </c>
      <c r="J5" s="4">
        <f>_xll.BDP("USDEUR CMPN Curncy","FWD_RT_3MO")</f>
        <v>0.75132690000000002</v>
      </c>
      <c r="K5" s="4">
        <f>_xll.BDP("USDEUR CMPN Curncy","FWD_RT_3MO")</f>
        <v>0.75132690000000002</v>
      </c>
      <c r="L5" s="4">
        <f>_xll.BDP($D5,"PX_BID")</f>
        <v>0.26</v>
      </c>
      <c r="M5" s="4">
        <f>_xll.BDP($D5,"PX_ASK")</f>
        <v>0.34</v>
      </c>
      <c r="N5" s="33">
        <f>(M5+L5)/2</f>
        <v>0.30000000000000004</v>
      </c>
      <c r="O5" s="4">
        <f>_xll.BDP($E7,"PX_BID_POINTS")</f>
        <v>8.61</v>
      </c>
      <c r="P5" s="4">
        <f>_xll.BDP($E7,"PX_ASK_POINTS")</f>
        <v>8.91</v>
      </c>
      <c r="Q5" s="4">
        <f t="shared" si="1"/>
        <v>8.76</v>
      </c>
      <c r="R5" s="4">
        <f>K5/(1+(($N$7/100)^4))</f>
        <v>0.75132689999619651</v>
      </c>
      <c r="T5" s="33">
        <f>((1+$L5/100*$AE$7/$AD$10)*($F5+$O5/$AG$7)/$F5-1)*100*$AD$10/$AE$7</f>
        <v>0.30532436763499327</v>
      </c>
      <c r="U5" s="33">
        <f>((1+$M5/100*$AE$7/$AD$10)*($G5+$P5/$AG$7)/$G5-1)*100*$AD$10/$AE$7</f>
        <v>0.38691309261750617</v>
      </c>
      <c r="V5" s="31">
        <f t="shared" si="3"/>
        <v>0.34611873012624972</v>
      </c>
      <c r="W5" s="31">
        <f>L5</f>
        <v>0.26</v>
      </c>
      <c r="X5" s="31">
        <f>$N$5</f>
        <v>0.30000000000000004</v>
      </c>
      <c r="Y5" s="31">
        <f>M5</f>
        <v>0.34</v>
      </c>
      <c r="Z5" s="43">
        <f>((1.34687/1.346-1)*4)*100+N5</f>
        <v>0.55854383358092652</v>
      </c>
      <c r="AA5" s="31">
        <f t="shared" si="5"/>
        <v>0.29641968085106396</v>
      </c>
      <c r="AB5" s="27" t="s">
        <v>105</v>
      </c>
      <c r="AC5" s="11"/>
      <c r="AD5" s="11"/>
      <c r="AE5" s="11"/>
      <c r="AF5" s="11"/>
      <c r="AG5" s="12"/>
      <c r="AI5" s="42"/>
    </row>
    <row r="6" spans="1:35" x14ac:dyDescent="0.25">
      <c r="A6" t="s">
        <v>10</v>
      </c>
      <c r="B6" s="1" t="s">
        <v>284</v>
      </c>
      <c r="C6" s="1" t="s">
        <v>297</v>
      </c>
      <c r="D6" s="8" t="s">
        <v>17</v>
      </c>
      <c r="E6" s="1" t="s">
        <v>112</v>
      </c>
      <c r="F6" s="4">
        <f>_xll.BDP($B6,"PX_BID")</f>
        <v>0.62970000000000004</v>
      </c>
      <c r="G6" s="4">
        <f>_xll.BDP($B6,"PX_ASK")</f>
        <v>0.62970000000000004</v>
      </c>
      <c r="H6" s="4">
        <f t="shared" si="0"/>
        <v>0.62970000000000004</v>
      </c>
      <c r="I6" s="4">
        <f>F6+(O6/VLOOKUP($A6,Scale!$A$2:$B$35,2,FALSE))</f>
        <v>0.63022500000000004</v>
      </c>
      <c r="J6" s="4">
        <f>G6+(P6/VLOOKUP($A6,Scale!$A$2:$B$35,2,FALSE))</f>
        <v>0.63028499999999998</v>
      </c>
      <c r="K6" s="4">
        <f>H6+(Q6/VLOOKUP($A6,Scale!$A$2:$B$35,2,FALSE))</f>
        <v>0.63025500000000001</v>
      </c>
      <c r="L6" s="4">
        <f>_xll.BDP($D6,"PX_BID")</f>
        <v>0.44</v>
      </c>
      <c r="M6" s="4">
        <f>_xll.BDP($D6,"PX_ASK")</f>
        <v>0.52</v>
      </c>
      <c r="N6" s="33">
        <f t="shared" si="4"/>
        <v>0.48</v>
      </c>
      <c r="O6" s="4">
        <f>_xll.BDP($E8,"PX_BID_POINTS")</f>
        <v>5.25</v>
      </c>
      <c r="P6" s="4">
        <f>_xll.BDP($E8,"PX_ASK_POINTS")</f>
        <v>5.85</v>
      </c>
      <c r="Q6" s="4">
        <f t="shared" si="1"/>
        <v>5.55</v>
      </c>
      <c r="R6" s="4">
        <f t="shared" si="2"/>
        <v>0.63025499994894929</v>
      </c>
      <c r="T6" s="33">
        <f>((1+$L6/100*$AE$7/$AD$10)*($F6+$O6/$AG$7)/$F6-1)*100*$AD$10/$AE$7</f>
        <v>0.47301942316850881</v>
      </c>
      <c r="U6" s="33">
        <f>((1+$M6/100*$AE$7/$AD$10)*($G6+$P6/$AG$7)/$G6-1)*100*$AD$10/$AE$7</f>
        <v>0.55680050364113809</v>
      </c>
      <c r="V6" s="31">
        <f t="shared" si="3"/>
        <v>0.51490996340482342</v>
      </c>
      <c r="W6" s="31">
        <f>(((($I6/$F6)-1)*4)*100)+$L$5</f>
        <v>0.59349213911382237</v>
      </c>
      <c r="X6" s="31">
        <f>(((($K6/$H6)-1)*4)*100)+$N$5</f>
        <v>0.65254883277753284</v>
      </c>
      <c r="Y6" s="31">
        <f>(((($J6/$G6)-1)*4)*100)+$M$5</f>
        <v>0.71160552644115449</v>
      </c>
      <c r="Z6" s="43">
        <f>((0.639706/0.6392-1)*4)*100+N5</f>
        <v>0.61664580725907503</v>
      </c>
      <c r="AA6" s="31">
        <f t="shared" si="5"/>
        <v>0.48352548832777531</v>
      </c>
      <c r="AB6" s="13"/>
      <c r="AC6" s="26" t="s">
        <v>91</v>
      </c>
      <c r="AD6" s="26" t="s">
        <v>92</v>
      </c>
      <c r="AE6" s="26" t="s">
        <v>93</v>
      </c>
      <c r="AF6" s="26" t="s">
        <v>94</v>
      </c>
      <c r="AG6" s="29" t="s">
        <v>94</v>
      </c>
      <c r="AI6" s="42"/>
    </row>
    <row r="7" spans="1:35" x14ac:dyDescent="0.25">
      <c r="A7" t="s">
        <v>4</v>
      </c>
      <c r="B7" s="1" t="s">
        <v>129</v>
      </c>
      <c r="C7" s="1" t="s">
        <v>285</v>
      </c>
      <c r="D7" s="8" t="s">
        <v>16</v>
      </c>
      <c r="E7" s="1" t="s">
        <v>113</v>
      </c>
      <c r="F7" s="4">
        <f>_xll.BDP($B7,"PX_BID")</f>
        <v>0.752</v>
      </c>
      <c r="G7" s="4">
        <f>_xll.BDP($B7,"PX_ASK")</f>
        <v>0.752</v>
      </c>
      <c r="H7" s="4">
        <f t="shared" si="0"/>
        <v>0.752</v>
      </c>
      <c r="I7" s="4">
        <f>F7+(O7/VLOOKUP($A7,Scale!$A$2:$B$35,2,FALSE))</f>
        <v>0.752861</v>
      </c>
      <c r="J7" s="4">
        <f>G7+(P7/VLOOKUP($A7,Scale!$A$2:$B$35,2,FALSE))</f>
        <v>0.75289099999999998</v>
      </c>
      <c r="K7" s="4">
        <f>H7+(Q7/VLOOKUP($A7,Scale!$A$2:$B$35,2,FALSE))</f>
        <v>0.75287599999999999</v>
      </c>
      <c r="L7" s="4">
        <f>_xll.BDP($D7,"PX_BID")</f>
        <v>0.1</v>
      </c>
      <c r="M7" s="4">
        <f>_xll.BDP($D7,"PX_ASK")</f>
        <v>0.2</v>
      </c>
      <c r="N7" s="33">
        <f t="shared" si="4"/>
        <v>0.15000000000000002</v>
      </c>
      <c r="O7" s="4">
        <f>_xll.BDP($E7,"PX_BID_POINTS")</f>
        <v>8.61</v>
      </c>
      <c r="P7" s="4">
        <f>_xll.BDP($E7,"PX_ASK_POINTS")</f>
        <v>8.91</v>
      </c>
      <c r="Q7" s="4">
        <f t="shared" si="1"/>
        <v>8.76</v>
      </c>
      <c r="R7" s="4">
        <f t="shared" si="2"/>
        <v>0.75287599993901699</v>
      </c>
      <c r="T7" s="33">
        <f>((1+$L7/100*$AE$7/$AD$10)*($F7+$O7/$AF$7)/$F7-1)*100*$AD$10/$AE$7</f>
        <v>0.55306048486092574</v>
      </c>
      <c r="U7" s="33">
        <f>((1+$M7/100*$AE$7/$AD$10)*($G7+$P7/$AF$7)/$G7-1)*100*$AD$10/$AE$7</f>
        <v>0.6689650485152645</v>
      </c>
      <c r="V7" s="31">
        <f t="shared" si="3"/>
        <v>0.61101276668809512</v>
      </c>
      <c r="W7" s="31">
        <f>(((($I7/$F7)-1)*4)*100)+$L$5</f>
        <v>0.71797872340429536</v>
      </c>
      <c r="X7" s="31">
        <f>(((($K7/$H7)-1)*4)*100)+$N$5</f>
        <v>0.76595744680848488</v>
      </c>
      <c r="Y7" s="31">
        <f>(((($J7/$G7)-1)*4)*100)+$M$5</f>
        <v>0.81393617021276321</v>
      </c>
      <c r="Z7" s="43">
        <f>((0.746089/0.7466-1)*4)*100+N5</f>
        <v>2.6225555853176319E-2</v>
      </c>
      <c r="AA7" s="31">
        <f t="shared" si="5"/>
        <v>0.15465957446808487</v>
      </c>
      <c r="AB7" s="28" t="s">
        <v>95</v>
      </c>
      <c r="AC7" s="16">
        <f ca="1">NOW()</f>
        <v>41292.458313773146</v>
      </c>
      <c r="AD7" s="17">
        <f ca="1">AC7+AE7</f>
        <v>41383.458313773146</v>
      </c>
      <c r="AE7" s="18">
        <v>91</v>
      </c>
      <c r="AF7" s="14">
        <v>10000</v>
      </c>
      <c r="AG7" s="37">
        <v>100000</v>
      </c>
      <c r="AI7" s="42"/>
    </row>
    <row r="8" spans="1:35" x14ac:dyDescent="0.25">
      <c r="A8" t="s">
        <v>7</v>
      </c>
      <c r="B8" s="1" t="s">
        <v>45</v>
      </c>
      <c r="C8" s="1" t="s">
        <v>265</v>
      </c>
      <c r="D8" s="8" t="s">
        <v>20</v>
      </c>
      <c r="E8" s="1" t="s">
        <v>87</v>
      </c>
      <c r="F8" s="4">
        <f>_xll.BDP($B8,"PX_BID")</f>
        <v>1056.8</v>
      </c>
      <c r="G8" s="4">
        <f>_xll.BDP($B8,"PX_ASK")</f>
        <v>1057.3499999999999</v>
      </c>
      <c r="H8" s="4">
        <f>(G8+F8)/2</f>
        <v>1057.0749999999998</v>
      </c>
      <c r="I8" s="4">
        <f>F8+(O8/VLOOKUP($A8,Scale!$A$2:$B$35,2,FALSE))</f>
        <v>1062.05</v>
      </c>
      <c r="J8" s="4">
        <f>G8+(P8/VLOOKUP($A8,Scale!$A$2:$B$35,2,FALSE))</f>
        <v>1063.1999999999998</v>
      </c>
      <c r="K8" s="4">
        <f>H8+(Q8/VLOOKUP($A8,Scale!$A$2:$B$35,2,FALSE))</f>
        <v>1062.6249999999998</v>
      </c>
      <c r="L8" s="4">
        <f>_xll.BDP($D8,"PX_BID")</f>
        <v>2.42</v>
      </c>
      <c r="M8" s="4">
        <f>_xll.BDP($D8,"PX_ASK")</f>
        <v>2.57</v>
      </c>
      <c r="N8" s="33">
        <f t="shared" si="4"/>
        <v>2.4950000000000001</v>
      </c>
      <c r="O8" s="4">
        <f>_xll.BDP($E8,"PX_BID_POINTS")</f>
        <v>5.25</v>
      </c>
      <c r="P8" s="4">
        <f>_xll.BDP($E8,"PX_ASK_POINTS")</f>
        <v>5.85</v>
      </c>
      <c r="Q8" s="4">
        <f t="shared" si="1"/>
        <v>5.55</v>
      </c>
      <c r="R8" s="4">
        <f t="shared" si="2"/>
        <v>1062.624999913927</v>
      </c>
      <c r="T8" s="33">
        <f>((1+$L8/100*$AE$7/$AD$10)*($F8+$O8/$AF$7)/$F8-1)*100*$AD$10/$AE$7</f>
        <v>2.420197731649997</v>
      </c>
      <c r="U8" s="33">
        <f>((1+$M8/100*$AE$7/$AD$10)*($G8+$P8/$AF$7)/$G8-1)*100*$AD$10/$AE$7</f>
        <v>2.570220297934898</v>
      </c>
      <c r="V8" s="31">
        <f t="shared" si="3"/>
        <v>2.4952090147924473</v>
      </c>
      <c r="W8" s="31">
        <f>(((($I8/$F8)-1)*4)*100)+$L$5</f>
        <v>2.2471309613928465</v>
      </c>
      <c r="X8" s="31">
        <f>(((($K8/$H8)-1)*4)*100)+$N$5</f>
        <v>2.4001348059503931</v>
      </c>
      <c r="Y8" s="31">
        <f>(((($J8/$G8)-1)*4)*100)+$M$5</f>
        <v>2.5530798694849572</v>
      </c>
      <c r="Z8" s="43">
        <f>((1131.04/1124.28-1)*4)*100+N5</f>
        <v>2.7050948162379624</v>
      </c>
      <c r="AA8" s="31">
        <f t="shared" si="5"/>
        <v>2.516001348059504</v>
      </c>
      <c r="AB8" s="13"/>
      <c r="AC8" s="16"/>
      <c r="AD8" s="17"/>
      <c r="AE8" s="18"/>
      <c r="AF8" s="14"/>
      <c r="AG8" s="15"/>
      <c r="AI8" s="42"/>
    </row>
    <row r="9" spans="1:35" x14ac:dyDescent="0.25">
      <c r="A9" t="s">
        <v>8</v>
      </c>
      <c r="B9" s="1" t="s">
        <v>46</v>
      </c>
      <c r="C9" s="1" t="s">
        <v>266</v>
      </c>
      <c r="D9" s="8" t="s">
        <v>31</v>
      </c>
      <c r="E9" s="1" t="s">
        <v>89</v>
      </c>
      <c r="F9" s="4">
        <f>_xll.BDP($B9,"PX_BID")</f>
        <v>12.6614</v>
      </c>
      <c r="G9" s="4">
        <f>_xll.BDP($B9,"PX_ASK")</f>
        <v>12.663</v>
      </c>
      <c r="H9" s="4">
        <f t="shared" si="0"/>
        <v>12.6622</v>
      </c>
      <c r="I9" s="4">
        <f>F9+(O9/VLOOKUP($A9,Scale!$A$2:$B$35,2,FALSE))</f>
        <v>12.772227000000001</v>
      </c>
      <c r="J9" s="4">
        <f>G9+(P9/VLOOKUP($A9,Scale!$A$2:$B$35,2,FALSE))</f>
        <v>12.776673000000001</v>
      </c>
      <c r="K9" s="4">
        <f>H9+(Q9/VLOOKUP($A9,Scale!$A$2:$B$35,2,FALSE))</f>
        <v>12.77445</v>
      </c>
      <c r="L9" s="4">
        <f>_xll.BDP($D9,"PX_BID")</f>
        <v>3.806</v>
      </c>
      <c r="M9" s="4">
        <f>_xll.BDP($D9,"PX_ASK")</f>
        <v>3.8969999999999998</v>
      </c>
      <c r="N9" s="33">
        <f t="shared" si="4"/>
        <v>3.8514999999999997</v>
      </c>
      <c r="O9" s="4">
        <f>_xll.BDP($E9,"PX_BID_POINTS")</f>
        <v>1108.27</v>
      </c>
      <c r="P9" s="4">
        <f>_xll.BDP($E9,"PX_ASK_POINTS")</f>
        <v>1136.73</v>
      </c>
      <c r="Q9" s="4">
        <f t="shared" si="1"/>
        <v>1122.5</v>
      </c>
      <c r="R9" s="4">
        <f t="shared" si="2"/>
        <v>12.774449998965268</v>
      </c>
      <c r="T9" s="33">
        <f t="shared" ref="T9:T14" si="6">((1+$L9/100*$AE$7/$AD$10)*($F9+$O9/$AG$7)/$F9-1)*100*$AD$10/$AE$7</f>
        <v>4.1556094895797404</v>
      </c>
      <c r="U9" s="33">
        <f t="shared" ref="U9:U14" si="7">((1+$M9/100*$AE$7/$AD$10)*($G9+$P9/$AG$7)/$G9-1)*100*$AD$10/$AE$7</f>
        <v>4.2556237237821684</v>
      </c>
      <c r="V9" s="31">
        <f>(U9+T9)/2</f>
        <v>4.2056166066809544</v>
      </c>
      <c r="W9" s="31">
        <f>(((($I9/$F9)-1)*4)*100)+$L$5</f>
        <v>3.7612557853002055</v>
      </c>
      <c r="X9" s="31">
        <f>(((($K9/$H9)-1)*4)*100)+$N$5</f>
        <v>3.8459872691949277</v>
      </c>
      <c r="Y9" s="31">
        <f>(((($J9/$G9)-1)*4)*100)+$M$5</f>
        <v>3.9307131011608583</v>
      </c>
      <c r="Z9" s="43">
        <f>((13.565058/13.469-1)*4)*100+N5</f>
        <v>3.152713638726012</v>
      </c>
      <c r="AA9" s="31">
        <f t="shared" si="5"/>
        <v>3.886959872691949</v>
      </c>
      <c r="AB9" s="13"/>
      <c r="AC9" s="24" t="s">
        <v>96</v>
      </c>
      <c r="AD9" s="25" t="s">
        <v>97</v>
      </c>
      <c r="AE9" s="18"/>
      <c r="AF9" s="14"/>
      <c r="AG9" s="15"/>
      <c r="AI9" s="42"/>
    </row>
    <row r="10" spans="1:35" x14ac:dyDescent="0.25">
      <c r="A10" t="s">
        <v>9</v>
      </c>
      <c r="B10" s="1" t="s">
        <v>130</v>
      </c>
      <c r="C10" s="1" t="s">
        <v>267</v>
      </c>
      <c r="D10" s="8" t="s">
        <v>18</v>
      </c>
      <c r="E10" s="1" t="s">
        <v>114</v>
      </c>
      <c r="F10" s="4">
        <f>_xll.BDP($B10,"PX_BID")</f>
        <v>0.95289999999999997</v>
      </c>
      <c r="G10" s="4">
        <f>_xll.BDP($B10,"PX_ASK")</f>
        <v>0.95289999999999997</v>
      </c>
      <c r="H10" s="4">
        <f t="shared" si="0"/>
        <v>0.95289999999999997</v>
      </c>
      <c r="I10" s="4">
        <f>F10+(O10/VLOOKUP($A10,Scale!$A$2:$B$35,2,FALSE))</f>
        <v>0.94587399999999999</v>
      </c>
      <c r="J10" s="4">
        <f>G10+(P10/VLOOKUP($A10,Scale!$A$2:$B$35,2,FALSE))</f>
        <v>0.94592599999999993</v>
      </c>
      <c r="K10" s="4">
        <f>H10+(Q10/VLOOKUP($A10,Scale!$A$2:$B$35,2,FALSE))</f>
        <v>0.94589999999999996</v>
      </c>
      <c r="L10" s="4">
        <f>_xll.BDP($D10,"PX_BID")</f>
        <v>3.07</v>
      </c>
      <c r="M10" s="4">
        <f>_xll.BDP($D10,"PX_ASK")</f>
        <v>3.22</v>
      </c>
      <c r="N10" s="33">
        <f t="shared" si="4"/>
        <v>3.145</v>
      </c>
      <c r="O10" s="4">
        <f>_xll.BDP($E10,"PX_BID_POINTS")</f>
        <v>-70.260000000000005</v>
      </c>
      <c r="P10" s="4">
        <f>_xll.BDP($E10,"PX_ASK_POINTS")</f>
        <v>-69.739999999999995</v>
      </c>
      <c r="Q10" s="4">
        <f t="shared" si="1"/>
        <v>-70</v>
      </c>
      <c r="R10" s="4">
        <f t="shared" si="2"/>
        <v>0.94589999992338192</v>
      </c>
      <c r="T10" s="33">
        <f t="shared" si="6"/>
        <v>2.7760461429828527</v>
      </c>
      <c r="U10" s="33">
        <f t="shared" si="7"/>
        <v>2.9281119388241148</v>
      </c>
      <c r="V10" s="31">
        <f>(U10+T10)/2</f>
        <v>2.852079040903484</v>
      </c>
      <c r="W10" s="31">
        <f>((((($I10/$F10)-1)*4)*100)-$L$5)*-1</f>
        <v>3.2093126246195709</v>
      </c>
      <c r="X10" s="31">
        <f>((((($K10/$H10)-1)*4)*100)-$N$5)*-1</f>
        <v>3.2383985727778226</v>
      </c>
      <c r="Y10" s="31">
        <f>((((($J10/$G10)-1)*4)*100)-$M$5)*-1</f>
        <v>3.2674845209361187</v>
      </c>
      <c r="Z10" s="43">
        <f>((((0.981829/0.9718-1)*4)*100)+N5)</f>
        <v>4.4280098785757778</v>
      </c>
      <c r="AA10" s="31">
        <f>((((($K10/$H10)-1)*4))*-1)+N10</f>
        <v>3.1743839857277782</v>
      </c>
      <c r="AB10" s="28" t="s">
        <v>98</v>
      </c>
      <c r="AC10" s="14">
        <v>360</v>
      </c>
      <c r="AD10" s="14">
        <v>360</v>
      </c>
      <c r="AE10" s="19"/>
      <c r="AF10" s="19"/>
      <c r="AG10" s="15"/>
      <c r="AI10" s="42"/>
    </row>
    <row r="11" spans="1:35" x14ac:dyDescent="0.25">
      <c r="A11" t="s">
        <v>29</v>
      </c>
      <c r="B11" s="1" t="s">
        <v>53</v>
      </c>
      <c r="C11" s="1" t="s">
        <v>251</v>
      </c>
      <c r="D11" s="8" t="s">
        <v>30</v>
      </c>
      <c r="E11" s="1" t="s">
        <v>125</v>
      </c>
      <c r="F11" s="4">
        <f>_xll.BDP($B11,"PX_BID")</f>
        <v>471.72</v>
      </c>
      <c r="G11" s="4">
        <f>_xll.BDP($B11,"PX_ASK")</f>
        <v>472.39</v>
      </c>
      <c r="H11" s="4">
        <f t="shared" si="0"/>
        <v>472.05500000000001</v>
      </c>
      <c r="I11" s="4">
        <f>F11+(O11/VLOOKUP($A11,Scale!$A$2:$B$35,2,FALSE))</f>
        <v>477.14000000000004</v>
      </c>
      <c r="J11" s="4">
        <f>G11+(P11/VLOOKUP($A11,Scale!$A$2:$B$35,2,FALSE))</f>
        <v>478.07</v>
      </c>
      <c r="K11" s="4">
        <f>H11+(Q11/VLOOKUP($A11,Scale!$A$2:$B$35,2,FALSE))</f>
        <v>477.60500000000002</v>
      </c>
      <c r="L11" s="4">
        <f>_xll.BDP($D11,"PX_BID")</f>
        <v>4.9000000000000004</v>
      </c>
      <c r="M11" s="4">
        <f>_xll.BDP($D11,"PX_ASK")</f>
        <v>5.12</v>
      </c>
      <c r="N11" s="33">
        <f t="shared" si="4"/>
        <v>5.01</v>
      </c>
      <c r="O11" s="4">
        <f>_xll.BDP($E11,"PX_BID_POINTS")</f>
        <v>5.42</v>
      </c>
      <c r="P11" s="4">
        <f>_xll.BDP($E11,"PX_ASK_POINTS")</f>
        <v>5.68</v>
      </c>
      <c r="Q11" s="4">
        <f t="shared" si="1"/>
        <v>5.55</v>
      </c>
      <c r="R11" s="4">
        <f t="shared" si="2"/>
        <v>477.60499996131398</v>
      </c>
      <c r="T11" s="33">
        <f t="shared" si="6"/>
        <v>4.9000460174219116</v>
      </c>
      <c r="U11" s="33">
        <f t="shared" si="7"/>
        <v>5.1200481829540525</v>
      </c>
      <c r="V11" s="31">
        <f t="shared" si="3"/>
        <v>5.0100471001879825</v>
      </c>
      <c r="W11" s="31">
        <f t="shared" ref="W11:W35" si="8">(((($I11/$F11)-1)*4)*100)+$L$5</f>
        <v>4.8559467480709113</v>
      </c>
      <c r="X11" s="31">
        <f t="shared" ref="X11:X35" si="9">(((($K11/$H11)-1)*4)*100)+$N$5</f>
        <v>5.0028418298714845</v>
      </c>
      <c r="Y11" s="31">
        <f t="shared" ref="Y11:Y35" si="10">(((($J11/$G11)-1)*4)*100)+$M$5</f>
        <v>5.1495853002815934</v>
      </c>
      <c r="Z11" s="43">
        <f>((518.372/513.3-1)*4)*100+N5</f>
        <v>4.2524644457432421</v>
      </c>
      <c r="AA11" s="31">
        <f t="shared" si="5"/>
        <v>5.0570284182987146</v>
      </c>
      <c r="AB11" s="13"/>
      <c r="AC11" s="19"/>
      <c r="AD11" s="19"/>
      <c r="AE11" s="19"/>
      <c r="AF11" s="19"/>
      <c r="AG11" s="15"/>
      <c r="AI11" s="42"/>
    </row>
    <row r="12" spans="1:35" x14ac:dyDescent="0.25">
      <c r="A12" t="s">
        <v>21</v>
      </c>
      <c r="B12" s="1" t="s">
        <v>50</v>
      </c>
      <c r="C12" s="1" t="s">
        <v>252</v>
      </c>
      <c r="D12" s="8" t="s">
        <v>22</v>
      </c>
      <c r="E12" s="1" t="s">
        <v>126</v>
      </c>
      <c r="F12" s="4">
        <f>_xll.BDP($B12,"PX_BID")</f>
        <v>9827</v>
      </c>
      <c r="G12" s="4">
        <f>_xll.BDP($B12,"PX_ASK")</f>
        <v>9829</v>
      </c>
      <c r="H12" s="4">
        <f t="shared" si="0"/>
        <v>9828</v>
      </c>
      <c r="I12" s="4">
        <f>F12+(O12/VLOOKUP($A12,Scale!$A$2:$B$35,2,FALSE))</f>
        <v>9897</v>
      </c>
      <c r="J12" s="4">
        <f>G12+(P12/VLOOKUP($A12,Scale!$A$2:$B$35,2,FALSE))</f>
        <v>9909</v>
      </c>
      <c r="K12" s="4">
        <f>H12+(Q12/VLOOKUP($A12,Scale!$A$2:$B$35,2,FALSE))</f>
        <v>9903</v>
      </c>
      <c r="L12" s="4">
        <f>_xll.BDP($D12,"PX_BID")</f>
        <v>4.7</v>
      </c>
      <c r="M12" s="4">
        <f>_xll.BDP($D12,"PX_ASK")</f>
        <v>4.8499999999999996</v>
      </c>
      <c r="N12" s="33">
        <f t="shared" si="4"/>
        <v>4.7750000000000004</v>
      </c>
      <c r="O12" s="4">
        <f>_xll.BDP($E12,"PX_BID_POINTS")</f>
        <v>70</v>
      </c>
      <c r="P12" s="4">
        <f>_xll.BDP($E12,"PX_ASK_POINTS")</f>
        <v>80</v>
      </c>
      <c r="Q12" s="4">
        <f t="shared" si="1"/>
        <v>75</v>
      </c>
      <c r="R12" s="4">
        <f t="shared" si="2"/>
        <v>9902.9999991978566</v>
      </c>
      <c r="T12" s="33">
        <f t="shared" si="6"/>
        <v>4.7000285146104108</v>
      </c>
      <c r="U12" s="33">
        <f t="shared" si="7"/>
        <v>4.8500325937039301</v>
      </c>
      <c r="V12" s="31">
        <f t="shared" si="3"/>
        <v>4.7750305541571709</v>
      </c>
      <c r="W12" s="31">
        <f t="shared" si="8"/>
        <v>3.1092927648315456</v>
      </c>
      <c r="X12" s="31">
        <f t="shared" si="9"/>
        <v>3.3525030525030415</v>
      </c>
      <c r="Y12" s="31">
        <f t="shared" si="10"/>
        <v>3.59567199104686</v>
      </c>
      <c r="Z12" s="43">
        <f>((9090/8985-1)*4)*100+N5</f>
        <v>4.9744574290483952</v>
      </c>
      <c r="AA12" s="31">
        <f t="shared" si="5"/>
        <v>4.8055250305250308</v>
      </c>
      <c r="AB12" s="13"/>
      <c r="AC12" s="26" t="s">
        <v>99</v>
      </c>
      <c r="AD12" s="26" t="s">
        <v>100</v>
      </c>
      <c r="AE12" s="26" t="s">
        <v>101</v>
      </c>
      <c r="AF12" s="26" t="s">
        <v>100</v>
      </c>
      <c r="AG12" s="29" t="s">
        <v>104</v>
      </c>
      <c r="AI12" s="42"/>
    </row>
    <row r="13" spans="1:35" x14ac:dyDescent="0.25">
      <c r="A13" t="s">
        <v>14</v>
      </c>
      <c r="B13" s="1" t="s">
        <v>49</v>
      </c>
      <c r="C13" s="1" t="s">
        <v>268</v>
      </c>
      <c r="D13" s="8" t="s">
        <v>25</v>
      </c>
      <c r="E13" s="1" t="s">
        <v>298</v>
      </c>
      <c r="F13" s="4">
        <f>_xll.BDP($B13,"PX_BID")</f>
        <v>30.271100000000001</v>
      </c>
      <c r="G13" s="4">
        <f>_xll.BDP($B13,"PX_ASK")</f>
        <v>30.281199999999998</v>
      </c>
      <c r="H13" s="4">
        <f t="shared" si="0"/>
        <v>30.276150000000001</v>
      </c>
      <c r="I13" s="4">
        <f>F13+(O13/VLOOKUP($A13,Scale!$A$2:$B$35,2,FALSE))</f>
        <v>30.702214000000001</v>
      </c>
      <c r="J13" s="4">
        <f>G13+(P13/VLOOKUP($A13,Scale!$A$2:$B$35,2,FALSE))</f>
        <v>30.718086</v>
      </c>
      <c r="K13" s="4">
        <f>H13+(Q13/VLOOKUP($A13,Scale!$A$2:$B$35,2,FALSE))</f>
        <v>30.710150000000002</v>
      </c>
      <c r="L13" s="4">
        <f>_xll.BDP($D13,"PX_BID")</f>
        <v>6.05</v>
      </c>
      <c r="M13" s="4">
        <f>_xll.BDP($D13,"PX_ASK")</f>
        <v>6.15</v>
      </c>
      <c r="N13" s="33">
        <f t="shared" si="4"/>
        <v>6.1</v>
      </c>
      <c r="O13" s="4">
        <f>_xll.BDP($E13,"PX_BID_POINTS")</f>
        <v>4311.1400000000003</v>
      </c>
      <c r="P13" s="4">
        <f>_xll.BDP($E13,"PX_ASK_POINTS")</f>
        <v>4368.8599999999997</v>
      </c>
      <c r="Q13" s="4">
        <f t="shared" si="1"/>
        <v>4340</v>
      </c>
      <c r="R13" s="4">
        <f t="shared" si="2"/>
        <v>30.710149997512477</v>
      </c>
      <c r="T13" s="33">
        <f t="shared" si="6"/>
        <v>6.6220268939899425</v>
      </c>
      <c r="U13" s="33">
        <f t="shared" si="7"/>
        <v>6.7296364439917058</v>
      </c>
      <c r="V13" s="31">
        <f>(U13+T13)/2</f>
        <v>6.6758316689908241</v>
      </c>
      <c r="W13" s="31">
        <f>(((($I13/$F13)-1)*4)*100)+$L$5</f>
        <v>5.9567074206091259</v>
      </c>
      <c r="X13" s="31">
        <f t="shared" si="9"/>
        <v>6.0338862437926073</v>
      </c>
      <c r="Y13" s="31">
        <f t="shared" si="10"/>
        <v>6.1110526663408145</v>
      </c>
      <c r="Z13" s="43">
        <f>((31.256699/30.8577-1)*4)*100+N5</f>
        <v>5.4721158738337712</v>
      </c>
      <c r="AA13" s="31">
        <f t="shared" si="5"/>
        <v>6.1573388624379257</v>
      </c>
      <c r="AB13" s="28" t="s">
        <v>102</v>
      </c>
      <c r="AC13" s="20">
        <f>_xll.BDP($B2,"PX_BID")</f>
        <v>89.85</v>
      </c>
      <c r="AD13" s="20">
        <f>_xll.BDP($B2,"PX_ASK")</f>
        <v>89.87</v>
      </c>
      <c r="AE13" s="20">
        <f>(AC13+AC14/$AF$7)*(1+AC15/100*$AE$7/$AC$10)/(1+AD16/100*$AE$7/$AD$10)</f>
        <v>89.869737937057607</v>
      </c>
      <c r="AF13" s="20">
        <f>(AD13+AD14/$AF$7)*(1+AD15/100*$AE$7/$AC$10)/(1+AC16/100*$AE$7/$AD$10)</f>
        <v>89.942024630809215</v>
      </c>
      <c r="AG13" s="21">
        <f>(AF13+AE13)/2</f>
        <v>89.905881283933411</v>
      </c>
      <c r="AI13" s="42"/>
    </row>
    <row r="14" spans="1:35" x14ac:dyDescent="0.25">
      <c r="A14" t="s">
        <v>5</v>
      </c>
      <c r="B14" s="1" t="s">
        <v>43</v>
      </c>
      <c r="C14" s="1" t="s">
        <v>253</v>
      </c>
      <c r="D14" s="8" t="s">
        <v>28</v>
      </c>
      <c r="E14" s="1" t="s">
        <v>127</v>
      </c>
      <c r="F14" s="4">
        <f>_xll.BDP($B14,"PX_BID")</f>
        <v>2.0432000000000001</v>
      </c>
      <c r="G14" s="4">
        <f>_xll.BDP($B14,"PX_ASK")</f>
        <v>2.0438000000000001</v>
      </c>
      <c r="H14" s="4">
        <f t="shared" si="0"/>
        <v>2.0434999999999999</v>
      </c>
      <c r="I14" s="4">
        <f>F14+(O14/VLOOKUP($A14,Scale!$A$2:$B$35,2,FALSE))</f>
        <v>2.0676620000000003</v>
      </c>
      <c r="J14" s="4">
        <f>G14+(P14/VLOOKUP($A14,Scale!$A$2:$B$35,2,FALSE))</f>
        <v>2.069105</v>
      </c>
      <c r="K14" s="4">
        <f>H14+(Q14/VLOOKUP($A14,Scale!$A$2:$B$35,2,FALSE))</f>
        <v>2.0683834999999999</v>
      </c>
      <c r="L14" s="4">
        <f>_xll.BDP($D14,"PX_BID")</f>
        <v>5.19</v>
      </c>
      <c r="M14" s="4">
        <f>_xll.BDP($D14,"PX_ASK")</f>
        <v>5.31</v>
      </c>
      <c r="N14" s="33">
        <f t="shared" si="4"/>
        <v>5.25</v>
      </c>
      <c r="O14" s="4">
        <f>_xll.BDP($E14,"PX_BID_POINTS")</f>
        <v>244.62</v>
      </c>
      <c r="P14" s="4">
        <f>_xll.BDP($E14,"PX_ASK_POINTS")</f>
        <v>253.05</v>
      </c>
      <c r="Q14" s="4">
        <f t="shared" si="1"/>
        <v>248.83500000000001</v>
      </c>
      <c r="R14" s="4">
        <f t="shared" si="2"/>
        <v>2.0683834998324606</v>
      </c>
      <c r="T14" s="33">
        <f t="shared" si="6"/>
        <v>5.6698469315423434</v>
      </c>
      <c r="U14" s="33">
        <f t="shared" si="7"/>
        <v>5.8063860838031793</v>
      </c>
      <c r="V14" s="31">
        <f>(U14+T14)/2</f>
        <v>5.7381165076727614</v>
      </c>
      <c r="W14" s="31">
        <f t="shared" si="8"/>
        <v>5.0489584964761587</v>
      </c>
      <c r="X14" s="31">
        <f t="shared" si="9"/>
        <v>5.1707609493516378</v>
      </c>
      <c r="Y14" s="31">
        <f t="shared" si="10"/>
        <v>5.2925393874155553</v>
      </c>
      <c r="Z14" s="43">
        <f>((1.81367/1.7806-1)*4)*100+N5</f>
        <v>7.7289565315062587</v>
      </c>
      <c r="AA14" s="31">
        <f t="shared" si="5"/>
        <v>5.2987076094935164</v>
      </c>
      <c r="AB14" s="28" t="s">
        <v>103</v>
      </c>
      <c r="AC14" s="20">
        <f>_xll.BDP($E2,"PX_BID_POINTS")</f>
        <v>-6.94</v>
      </c>
      <c r="AD14" s="20">
        <f>_xll.BDP($E2,"PX_ASK_POINTS")</f>
        <v>-6.66</v>
      </c>
      <c r="AE14" s="20">
        <f>(AC13*(1+AC16/100*$AE$7/$AD$10)/(1+AD15/100*$AE$7/$AC$10)-AC13)*$AF$7</f>
        <v>-726.16257027974029</v>
      </c>
      <c r="AF14" s="20">
        <f>(AD13*(1+AD16/100*$AE$7/$AD$10)/(1+AC15/100*$AE$7/$AC$10)-AD13)*$AF$7</f>
        <v>-204.3199663778239</v>
      </c>
      <c r="AG14" s="21">
        <f>(AF14+AE14)/2</f>
        <v>-465.2412683287821</v>
      </c>
      <c r="AI14" s="42"/>
    </row>
    <row r="15" spans="1:35" x14ac:dyDescent="0.25">
      <c r="A15" t="s">
        <v>12</v>
      </c>
      <c r="B15" s="1" t="s">
        <v>48</v>
      </c>
      <c r="C15" s="1" t="s">
        <v>254</v>
      </c>
      <c r="D15" s="8" t="s">
        <v>19</v>
      </c>
      <c r="E15" s="1" t="s">
        <v>128</v>
      </c>
      <c r="F15" s="4">
        <f>_xll.BDP($B15,"PX_BID")</f>
        <v>53.7</v>
      </c>
      <c r="G15" s="4">
        <f>_xll.BDP($B15,"PX_ASK")</f>
        <v>53.712499999999999</v>
      </c>
      <c r="H15" s="4">
        <f t="shared" si="0"/>
        <v>53.706249999999997</v>
      </c>
      <c r="I15" s="4">
        <f>F15+(O15/VLOOKUP($A15,Scale!$A$2:$B$35,2,FALSE))</f>
        <v>54.4694</v>
      </c>
      <c r="J15" s="4">
        <f>G15+(P15/VLOOKUP($A15,Scale!$A$2:$B$35,2,FALSE))</f>
        <v>54.513100000000001</v>
      </c>
      <c r="K15" s="4">
        <f>H15+(Q15/VLOOKUP($A15,Scale!$A$2:$B$35,2,FALSE))</f>
        <v>54.491249999999994</v>
      </c>
      <c r="L15" s="4">
        <f>_xll.BDP($D15,"PX_BID")</f>
        <v>8.8000000000000007</v>
      </c>
      <c r="M15" s="4">
        <f>_xll.BDP($D15,"PX_ASK")</f>
        <v>8.85</v>
      </c>
      <c r="N15" s="33">
        <f t="shared" si="4"/>
        <v>8.8249999999999993</v>
      </c>
      <c r="O15" s="4">
        <f>_xll.BDP($E15,"PX_BID_POINTS")</f>
        <v>76.94</v>
      </c>
      <c r="P15" s="4">
        <f>_xll.BDP($E15,"PX_ASK_POINTS")</f>
        <v>80.06</v>
      </c>
      <c r="Q15" s="4">
        <f t="shared" si="1"/>
        <v>78.5</v>
      </c>
      <c r="R15" s="4">
        <f t="shared" si="2"/>
        <v>54.491249995586195</v>
      </c>
      <c r="T15" s="33">
        <f>((1+$L15/100*$AE$7/$AD$10)*($F15+$O15/$AF$7)/$F15-1)*100*$AD$10/$AE$7</f>
        <v>8.8579420376123128</v>
      </c>
      <c r="U15" s="33">
        <f>((1+$M15/100*$AE$7/$AD$10)*($G15+$P15/$AF$7)/$G15-1)*100*$AD$10/$AE$7</f>
        <v>8.9102850712814821</v>
      </c>
      <c r="V15" s="31">
        <f t="shared" si="3"/>
        <v>8.8841135544468983</v>
      </c>
      <c r="W15" s="31">
        <f t="shared" si="8"/>
        <v>5.9910986964617781</v>
      </c>
      <c r="X15" s="31">
        <f t="shared" si="9"/>
        <v>6.1466193413242882</v>
      </c>
      <c r="Y15" s="31">
        <f t="shared" si="10"/>
        <v>6.3021131021643235</v>
      </c>
      <c r="Z15" s="43">
        <f>((52.21/51.3125-1)*4)*100+N5</f>
        <v>7.2963459196102027</v>
      </c>
      <c r="AA15" s="31">
        <f t="shared" si="5"/>
        <v>8.8834661934132413</v>
      </c>
      <c r="AB15" s="28" t="s">
        <v>96</v>
      </c>
      <c r="AC15" s="20">
        <f>_xll.BDP("USDRC CMPN Curncy","PX_BID")</f>
        <v>0.26</v>
      </c>
      <c r="AD15" s="20">
        <f>_xll.BDP("USDRC CMPN Curncy","PX_ASK")</f>
        <v>0.34</v>
      </c>
      <c r="AE15" s="20">
        <f>((1+AC16/100*$AE$7/$AD$10)*AD13/(AD13+AD14/$AF$7)-1)*100*$AC$10/$AE$7</f>
        <v>2.293187715709619E-2</v>
      </c>
      <c r="AF15" s="20">
        <f>((1+AD16/100*$AE$7/$AD$10)*AC13/(AC13+AC14/$AF$7)-1)*100*$AC$10/$AE$7</f>
        <v>0.17305697887690921</v>
      </c>
      <c r="AG15" s="21">
        <f>(AF15+AE15)/2</f>
        <v>9.7994428017002699E-2</v>
      </c>
      <c r="AI15" s="42"/>
    </row>
    <row r="16" spans="1:35" x14ac:dyDescent="0.25">
      <c r="A16" t="s">
        <v>26</v>
      </c>
      <c r="B16" s="1" t="s">
        <v>52</v>
      </c>
      <c r="C16" s="1" t="s">
        <v>269</v>
      </c>
      <c r="D16" s="8" t="s">
        <v>27</v>
      </c>
      <c r="E16" s="1" t="s">
        <v>115</v>
      </c>
      <c r="F16" s="4">
        <f>_xll.BDP($B16,"PX_BID")</f>
        <v>1.7619</v>
      </c>
      <c r="G16" s="4">
        <f>_xll.BDP($B16,"PX_ASK")</f>
        <v>1.7621</v>
      </c>
      <c r="H16" s="4">
        <f t="shared" si="0"/>
        <v>1.762</v>
      </c>
      <c r="I16" s="4">
        <f>F16+(O16/VLOOKUP($A16,Scale!$A$2:$B$35,2,FALSE))</f>
        <v>1.781825</v>
      </c>
      <c r="J16" s="4">
        <f>G16+(P16/VLOOKUP($A16,Scale!$A$2:$B$35,2,FALSE))</f>
        <v>1.78311</v>
      </c>
      <c r="K16" s="4">
        <f>H16+(Q16/VLOOKUP($A16,Scale!$A$2:$B$35,2,FALSE))</f>
        <v>1.7824675000000001</v>
      </c>
      <c r="L16" s="4">
        <f>_xll.BDP($D16,"PX_BID")</f>
        <v>5.75</v>
      </c>
      <c r="M16" s="4">
        <f>_xll.BDP($D16,"PX_ASK")</f>
        <v>6.75</v>
      </c>
      <c r="N16" s="33">
        <f t="shared" si="4"/>
        <v>6.25</v>
      </c>
      <c r="O16" s="4">
        <f>_xll.BDP($E16,"PX_BID_POINTS")</f>
        <v>199.25</v>
      </c>
      <c r="P16" s="4">
        <f>_xll.BDP($E16,"PX_ASK_POINTS")</f>
        <v>210.1</v>
      </c>
      <c r="Q16" s="4">
        <f t="shared" si="1"/>
        <v>204.67500000000001</v>
      </c>
      <c r="R16" s="4">
        <f t="shared" si="2"/>
        <v>1.78246749985562</v>
      </c>
      <c r="T16" s="33">
        <f>((1+$L16/100*$AE$7/$AD$10)*($F16+$O16/$AG$7)/$F16-1)*100*$AD$10/$AE$7</f>
        <v>6.2038842347703422</v>
      </c>
      <c r="U16" s="33">
        <f>((1+$M16/100*$AE$7/$AD$10)*($G16+$P16/$AG$7)/$G16-1)*100*$AD$10/$AE$7</f>
        <v>7.229738144920729</v>
      </c>
      <c r="V16" s="31">
        <f>(U16+T16)/2</f>
        <v>6.7168111898455356</v>
      </c>
      <c r="W16" s="31">
        <f t="shared" si="8"/>
        <v>4.7835257392587156</v>
      </c>
      <c r="X16" s="31">
        <f t="shared" si="9"/>
        <v>4.9464245175936723</v>
      </c>
      <c r="Y16" s="31">
        <f t="shared" si="10"/>
        <v>5.1093093468020641</v>
      </c>
      <c r="Z16" s="43">
        <f>((1.860488/1.8256-1)*4)*100+N5</f>
        <v>7.9441717791411177</v>
      </c>
      <c r="AA16" s="31">
        <f t="shared" si="5"/>
        <v>6.2964642451759367</v>
      </c>
      <c r="AB16" s="30" t="s">
        <v>97</v>
      </c>
      <c r="AC16" s="22">
        <f>_xll.BDP($D2,"PX_BID")</f>
        <v>0.02</v>
      </c>
      <c r="AD16" s="22">
        <f>_xll.BDP($D2,"PX_ASK")</f>
        <v>0.17</v>
      </c>
      <c r="AE16" s="22">
        <f>((1+AC15/100*$AE$7/$AC$10)*(AD13+AD14/$AF$7)/AD13-1)*100*$AD$10/$AE$7</f>
        <v>0.25706636600118837</v>
      </c>
      <c r="AF16" s="22">
        <f>((1+AD15/100*$AE$7/$AC$10)*(AC13+AC14/$AF$7)/AC13-1)*100*$AD$10/$AE$7</f>
        <v>0.3369417316578121</v>
      </c>
      <c r="AG16" s="23">
        <f>(AF16+AE16)/2</f>
        <v>0.29700404882950027</v>
      </c>
      <c r="AI16" s="42"/>
    </row>
    <row r="17" spans="1:35" x14ac:dyDescent="0.25">
      <c r="A17" s="32" t="s">
        <v>133</v>
      </c>
      <c r="B17" s="1" t="s">
        <v>169</v>
      </c>
      <c r="C17" s="1" t="s">
        <v>255</v>
      </c>
      <c r="D17" s="8" t="s">
        <v>204</v>
      </c>
      <c r="E17" s="1" t="s">
        <v>230</v>
      </c>
      <c r="F17" s="4">
        <f>_xll.BDP($B17,"PX_BID")</f>
        <v>4.9488000000000003</v>
      </c>
      <c r="G17" s="4">
        <f>_xll.BDP($B17,"PX_ASK")</f>
        <v>4.9504999999999999</v>
      </c>
      <c r="H17" s="4">
        <f t="shared" si="0"/>
        <v>4.9496500000000001</v>
      </c>
      <c r="I17" s="4">
        <f>F17+(O17/VLOOKUP($A17,Scale!$A$2:$B$35,2,FALSE))</f>
        <v>5.2571000000000003</v>
      </c>
      <c r="J17" s="4">
        <f>G17+(P17/VLOOKUP($A17,Scale!$A$2:$B$35,2,FALSE))</f>
        <v>5.3162000000000003</v>
      </c>
      <c r="K17" s="4">
        <f>H17+(Q17/VLOOKUP($A17,Scale!$A$2:$B$35,2,FALSE))</f>
        <v>5.2866499999999998</v>
      </c>
      <c r="L17" s="4">
        <f>_xll.BDP($D17,"PX_BID")</f>
        <v>26.687999999999999</v>
      </c>
      <c r="M17" s="4">
        <f>_xll.BDP($D17,"PX_ASK")</f>
        <v>28.562999999999999</v>
      </c>
      <c r="N17" s="33">
        <f t="shared" si="4"/>
        <v>27.625499999999999</v>
      </c>
      <c r="O17" s="4">
        <f>_xll.BDP($E17,"PX_BID_POINTS")</f>
        <v>3083</v>
      </c>
      <c r="P17" s="4">
        <f>_xll.BDP($E17,"PX_ASK_POINTS")</f>
        <v>3657</v>
      </c>
      <c r="Q17" s="4">
        <f t="shared" si="1"/>
        <v>3370</v>
      </c>
      <c r="R17" s="4">
        <f t="shared" si="2"/>
        <v>5.2866499995717806</v>
      </c>
      <c r="T17" s="33">
        <f>((1+$L17/100*$AE$7/$AD$10)*($F17+$O17/$AG$7)/$F17-1)*100*$AD$10/$AE$7</f>
        <v>29.318794244358973</v>
      </c>
      <c r="U17" s="33">
        <f>((1+$M17/100*$AE$7/$AD$10)*($G17+$P17/$AG$7)/$G17-1)*100*$AD$10/$AE$7</f>
        <v>31.696380801384223</v>
      </c>
      <c r="V17" s="31">
        <f>(U17+T17)/2</f>
        <v>30.507587522871596</v>
      </c>
      <c r="W17" s="31">
        <f t="shared" si="8"/>
        <v>25.179172324603968</v>
      </c>
      <c r="X17" s="31">
        <f>(((($K17/$H17)-1)*4)*100)+$N$5</f>
        <v>27.534248886284896</v>
      </c>
      <c r="Y17" s="31">
        <f t="shared" si="10"/>
        <v>29.888530451469546</v>
      </c>
      <c r="Z17" s="43">
        <f>((4.533257/4.284-1)*4)*100+N5</f>
        <v>23.573295985060739</v>
      </c>
      <c r="AA17" s="31">
        <f t="shared" si="5"/>
        <v>27.89784248886285</v>
      </c>
      <c r="AI17" s="42"/>
    </row>
    <row r="18" spans="1:35" x14ac:dyDescent="0.25">
      <c r="A18" s="32" t="s">
        <v>140</v>
      </c>
      <c r="B18" s="1" t="s">
        <v>170</v>
      </c>
      <c r="C18" s="1" t="s">
        <v>270</v>
      </c>
      <c r="D18" s="8" t="s">
        <v>215</v>
      </c>
      <c r="E18" s="1" t="s">
        <v>240</v>
      </c>
      <c r="F18" s="4">
        <f>_xll.BDP($B18,"PX_BID")</f>
        <v>1.4702999999999999</v>
      </c>
      <c r="G18" s="4">
        <f>_xll.BDP($B18,"PX_ASK")</f>
        <v>1.4706999999999999</v>
      </c>
      <c r="H18" s="4">
        <f t="shared" si="0"/>
        <v>1.4704999999999999</v>
      </c>
      <c r="I18" s="4">
        <f>F18+(O18/VLOOKUP($A18,Scale!$A$2:$B$35,2,FALSE))</f>
        <v>1.4686002999999999</v>
      </c>
      <c r="J18" s="4">
        <f>G18+(P18/VLOOKUP($A18,Scale!$A$2:$B$35,2,FALSE))</f>
        <v>1.4710042099999998</v>
      </c>
      <c r="K18" s="4">
        <f>H18+(Q18/VLOOKUP($A18,Scale!$A$2:$B$35,2,FALSE))</f>
        <v>1.4698022549999998</v>
      </c>
      <c r="L18" s="4">
        <f>_xll.BDP($D18,"PX_BID")</f>
        <v>1</v>
      </c>
      <c r="M18" s="4">
        <f>_xll.BDP($D18,"PX_ASK")</f>
        <v>2.1</v>
      </c>
      <c r="N18" s="33">
        <f t="shared" si="4"/>
        <v>1.55</v>
      </c>
      <c r="O18" s="4">
        <f>_xll.BDP($E18,"PX_BID_POINTS")</f>
        <v>-16.997</v>
      </c>
      <c r="P18" s="4">
        <f>_xll.BDP($E18,"PX_ASK_POINTS")</f>
        <v>3.0421</v>
      </c>
      <c r="Q18" s="4">
        <f t="shared" si="1"/>
        <v>-6.9774500000000002</v>
      </c>
      <c r="R18" s="4">
        <f t="shared" si="2"/>
        <v>1.4698022548809457</v>
      </c>
      <c r="T18" s="33">
        <f>((1+$L18/100*$AE$7/$AD$10)*($F18+$O18/$AG$7)/$F18-1)*100*$AD$10/$AE$7</f>
        <v>0.95415163631853894</v>
      </c>
      <c r="U18" s="33">
        <f>((1+$M18/100*$AE$7/$AD$10)*($G18+$P18/$AG$7)/$G18-1)*100*$AD$10/$AE$7</f>
        <v>2.1082263992783146</v>
      </c>
      <c r="V18" s="31">
        <f>(U18+T18)/2</f>
        <v>1.5311890177984266</v>
      </c>
      <c r="W18" s="31">
        <f t="shared" si="8"/>
        <v>-0.20240903217031891</v>
      </c>
      <c r="X18" s="31">
        <f t="shared" si="9"/>
        <v>0.11020197211831761</v>
      </c>
      <c r="Y18" s="31">
        <f t="shared" si="10"/>
        <v>0.42273883184877209</v>
      </c>
      <c r="Z18" s="43">
        <f>((1.44889/1.4516-1)*4)*100+N5</f>
        <v>-0.44676219344169676</v>
      </c>
      <c r="AA18" s="31">
        <f t="shared" si="5"/>
        <v>1.5481020197211832</v>
      </c>
      <c r="AE18" s="20"/>
      <c r="AI18" s="42"/>
    </row>
    <row r="19" spans="1:35" x14ac:dyDescent="0.25">
      <c r="A19" s="32" t="s">
        <v>167</v>
      </c>
      <c r="B19" s="1" t="s">
        <v>171</v>
      </c>
      <c r="C19" s="1" t="s">
        <v>271</v>
      </c>
      <c r="D19" s="8" t="s">
        <v>205</v>
      </c>
      <c r="E19" s="1" t="s">
        <v>231</v>
      </c>
      <c r="F19" s="4">
        <f>_xll.BDP($B19,"PX_BID")</f>
        <v>0.99409999999999998</v>
      </c>
      <c r="G19" s="4">
        <f>_xll.BDP($B19,"PX_ASK")</f>
        <v>0.99419999999999997</v>
      </c>
      <c r="H19" s="4">
        <f t="shared" si="0"/>
        <v>0.99414999999999998</v>
      </c>
      <c r="I19" s="4">
        <f>F19+(O19/VLOOKUP($A19,Scale!$A$2:$B$35,2,FALSE))</f>
        <v>0.996035</v>
      </c>
      <c r="J19" s="4">
        <f>G19+(P19/VLOOKUP($A19,Scale!$A$2:$B$35,2,FALSE))</f>
        <v>0.99618499999999999</v>
      </c>
      <c r="K19" s="4">
        <f>H19+(Q19/VLOOKUP($A19,Scale!$A$2:$B$35,2,FALSE))</f>
        <v>0.99610999999999994</v>
      </c>
      <c r="L19" s="4">
        <f>_xll.BDP($D19,"PX_BID")</f>
        <v>1.0900000000000001</v>
      </c>
      <c r="M19" s="4">
        <f>_xll.BDP($D19,"PX_ASK")</f>
        <v>1.24</v>
      </c>
      <c r="N19" s="33">
        <f t="shared" si="4"/>
        <v>1.165</v>
      </c>
      <c r="O19" s="4">
        <f>_xll.BDP($E19,"PX_BID_POINTS")</f>
        <v>19.350000000000001</v>
      </c>
      <c r="P19" s="4">
        <f>_xll.BDP($E19,"PX_ASK_POINTS")</f>
        <v>19.850000000000001</v>
      </c>
      <c r="Q19" s="4">
        <f t="shared" si="1"/>
        <v>19.600000000000001</v>
      </c>
      <c r="R19" s="4">
        <f t="shared" si="2"/>
        <v>0.99610999991931493</v>
      </c>
      <c r="T19" s="33">
        <f>((1+$L19/100*$AE$7/$AD$10)*($F19+$O19/$AG$7)/$F19-1)*100*$AD$10/$AE$7</f>
        <v>1.1672159395930626</v>
      </c>
      <c r="U19" s="33">
        <f>((1+$M19/100*$AE$7/$AD$10)*($G19+$P19/$AG$7)/$G19-1)*100*$AD$10/$AE$7</f>
        <v>1.3192331648838418</v>
      </c>
      <c r="V19" s="31">
        <f>(U19+T19)/2</f>
        <v>1.2432245522384522</v>
      </c>
      <c r="W19" s="31">
        <f t="shared" si="8"/>
        <v>1.0385937028468304</v>
      </c>
      <c r="X19" s="31">
        <f t="shared" si="9"/>
        <v>1.0886133883216573</v>
      </c>
      <c r="Y19" s="31">
        <f t="shared" si="10"/>
        <v>1.1386320659827407</v>
      </c>
      <c r="Z19" s="43">
        <f>((1.015489/1.0134-1)*4)*100+N5</f>
        <v>1.1245510163805037</v>
      </c>
      <c r="AA19" s="31">
        <f t="shared" si="5"/>
        <v>1.1728861338832166</v>
      </c>
      <c r="AB19">
        <f>_xll.BDP(C6,"FWD_RT_3MO")</f>
        <v>0.62997780000000003</v>
      </c>
      <c r="AI19" s="42"/>
    </row>
    <row r="20" spans="1:35" x14ac:dyDescent="0.25">
      <c r="A20" s="32" t="s">
        <v>159</v>
      </c>
      <c r="B20" s="1" t="s">
        <v>172</v>
      </c>
      <c r="C20" s="1" t="s">
        <v>256</v>
      </c>
      <c r="D20" s="8" t="s">
        <v>206</v>
      </c>
      <c r="E20" s="1" t="s">
        <v>232</v>
      </c>
      <c r="F20" s="4">
        <f>_xll.BDP($B20,"PX_BID")</f>
        <v>1767.14</v>
      </c>
      <c r="G20" s="4">
        <f>_xll.BDP($B20,"PX_ASK")</f>
        <v>1769.14</v>
      </c>
      <c r="H20" s="4">
        <f t="shared" si="0"/>
        <v>1768.14</v>
      </c>
      <c r="I20" s="4">
        <f>F20+(O20/VLOOKUP($A20,Scale!$A$2:$B$35,2,FALSE))</f>
        <v>1781.2</v>
      </c>
      <c r="J20" s="4">
        <f>G20+(P20/VLOOKUP($A20,Scale!$A$2:$B$35,2,FALSE))</f>
        <v>1784.2800000000002</v>
      </c>
      <c r="K20" s="4">
        <f>H20+(Q20/VLOOKUP($A20,Scale!$A$2:$B$35,2,FALSE))</f>
        <v>1782.74</v>
      </c>
      <c r="L20" s="4">
        <f>_xll.BDP($D20,"PX_BID")</f>
        <v>3.6436000000000002</v>
      </c>
      <c r="M20" s="4">
        <f>_xll.BDP($D20,"PX_ASK")</f>
        <v>3.9782000000000002</v>
      </c>
      <c r="N20" s="33">
        <f t="shared" si="4"/>
        <v>3.8109000000000002</v>
      </c>
      <c r="O20" s="4">
        <f>_xll.BDP($E20,"PX_BID_POINTS")</f>
        <v>14.06</v>
      </c>
      <c r="P20" s="4">
        <f>_xll.BDP($E20,"PX_ASK_POINTS")</f>
        <v>15.14</v>
      </c>
      <c r="Q20" s="4">
        <f t="shared" si="1"/>
        <v>14.600000000000001</v>
      </c>
      <c r="R20" s="4">
        <f t="shared" si="2"/>
        <v>1782.7399998555979</v>
      </c>
      <c r="T20" s="33">
        <f>((1+$L20/100*$AE$7/$AD$10)*($F20+$O20/$AF$7)/$F20-1)*100*$AD$10/$AE$7</f>
        <v>3.643917656032853</v>
      </c>
      <c r="U20" s="33">
        <f>((1+$M20/100*$AE$7/$AD$10)*($G20+$P20/$AF$7)/$G20-1)*100*$AD$10/$AE$7</f>
        <v>3.9785419560067514</v>
      </c>
      <c r="V20" s="31">
        <f t="shared" ref="V20" si="11">(U20+T20)/2</f>
        <v>3.811229806019802</v>
      </c>
      <c r="W20" s="31">
        <f t="shared" si="8"/>
        <v>3.442543544937033</v>
      </c>
      <c r="X20" s="31">
        <f t="shared" si="9"/>
        <v>3.602905878493778</v>
      </c>
      <c r="Y20" s="31">
        <f t="shared" si="10"/>
        <v>3.7631321433012772</v>
      </c>
      <c r="Z20" s="43">
        <f>((1940.93/1938.4-1)*4)*100+N5</f>
        <v>0.82208006603384765</v>
      </c>
      <c r="AA20" s="31">
        <f t="shared" si="5"/>
        <v>3.843929058784938</v>
      </c>
      <c r="AC20" s="39"/>
      <c r="AD20" s="40"/>
      <c r="AI20" s="42"/>
    </row>
    <row r="21" spans="1:35" x14ac:dyDescent="0.25">
      <c r="A21" s="32" t="s">
        <v>138</v>
      </c>
      <c r="B21" s="1" t="s">
        <v>173</v>
      </c>
      <c r="C21" s="1" t="s">
        <v>272</v>
      </c>
      <c r="D21" s="8" t="s">
        <v>216</v>
      </c>
      <c r="E21" s="1" t="s">
        <v>241</v>
      </c>
      <c r="F21" s="4">
        <f>_xll.BDP($B21,"PX_BID")</f>
        <v>5.6729000000000003</v>
      </c>
      <c r="G21" s="4">
        <f>_xll.BDP($B21,"PX_ASK")</f>
        <v>5.71</v>
      </c>
      <c r="H21" s="4">
        <f t="shared" si="0"/>
        <v>5.6914499999999997</v>
      </c>
      <c r="I21" s="4">
        <f>F21+(O21/VLOOKUP($A21,Scale!$A$2:$B$35,2,FALSE))</f>
        <v>5.6777000000000006</v>
      </c>
      <c r="J21" s="4">
        <f>G21+(P21/VLOOKUP($A21,Scale!$A$2:$B$35,2,FALSE))</f>
        <v>5.7248000000000001</v>
      </c>
      <c r="K21" s="4">
        <f>H21+(Q21/VLOOKUP($A21,Scale!$A$2:$B$35,2,FALSE))</f>
        <v>5.7012499999999999</v>
      </c>
      <c r="L21" s="4">
        <f>_xll.BDP($D21,"PX_BID")</f>
        <v>0.9</v>
      </c>
      <c r="M21" s="4">
        <f>_xll.BDP($D21,"PX_ASK")</f>
        <v>1.4</v>
      </c>
      <c r="N21" s="33">
        <f t="shared" si="4"/>
        <v>1.1499999999999999</v>
      </c>
      <c r="O21" s="4">
        <f>_xll.BDP($E21,"PX_BID_POINTS")</f>
        <v>48</v>
      </c>
      <c r="P21" s="4">
        <f>_xll.BDP($E21,"PX_ASK_POINTS")</f>
        <v>148</v>
      </c>
      <c r="Q21" s="4">
        <f t="shared" si="1"/>
        <v>98</v>
      </c>
      <c r="R21" s="4">
        <f t="shared" si="2"/>
        <v>5.7012499995381978</v>
      </c>
      <c r="T21" s="33">
        <f>((1+$L21/100*$AE$7/$AD$10)*($F21+$O21/$AG$7)/$F21-1)*100*$AD$10/$AE$7</f>
        <v>0.93354935040109266</v>
      </c>
      <c r="U21" s="33">
        <f>((1+$M21/100*$AE$7/$AD$10)*($G21+$P21/$AG$7)/$G21-1)*100*$AD$10/$AE$7</f>
        <v>1.5029013144474037</v>
      </c>
      <c r="V21" s="31">
        <f>(U21+T21)/2</f>
        <v>1.2182253324242482</v>
      </c>
      <c r="W21" s="31">
        <f t="shared" si="8"/>
        <v>0.5984512330554479</v>
      </c>
      <c r="X21" s="31">
        <f t="shared" si="9"/>
        <v>0.98875242688593024</v>
      </c>
      <c r="Y21" s="31">
        <f t="shared" si="10"/>
        <v>1.3767775831873872</v>
      </c>
      <c r="Z21" s="43">
        <f>((5.64264/5.5707-1)*4)*100+N5</f>
        <v>5.4655985782756096</v>
      </c>
      <c r="AA21" s="31">
        <f t="shared" si="5"/>
        <v>1.1568875242688592</v>
      </c>
      <c r="AB21" s="45">
        <f>(0.640126+0.640225)/2</f>
        <v>0.64017550000000001</v>
      </c>
      <c r="AI21" s="42"/>
    </row>
    <row r="22" spans="1:35" x14ac:dyDescent="0.25">
      <c r="A22" s="32" t="s">
        <v>135</v>
      </c>
      <c r="B22" s="1" t="s">
        <v>175</v>
      </c>
      <c r="C22" s="1" t="s">
        <v>242</v>
      </c>
      <c r="D22" s="8" t="s">
        <v>207</v>
      </c>
      <c r="E22" s="1" t="s">
        <v>242</v>
      </c>
      <c r="F22" s="4">
        <f>_xll.BDP($B22,"PX_BID")</f>
        <v>6.6</v>
      </c>
      <c r="G22" s="4">
        <f>_xll.BDP($B22,"PX_ASK")</f>
        <v>6.6050000000000004</v>
      </c>
      <c r="H22" s="4">
        <f t="shared" si="0"/>
        <v>6.6025</v>
      </c>
      <c r="I22" s="4">
        <f>F22+(O22/VLOOKUP($A22,Scale!$A$2:$B$35,2,FALSE))</f>
        <v>7.0471999999999992</v>
      </c>
      <c r="J22" s="4">
        <f>G22+(P22/VLOOKUP($A22,Scale!$A$2:$B$35,2,FALSE))</f>
        <v>7.2521000000000004</v>
      </c>
      <c r="K22" s="4">
        <f>H22+(Q22/VLOOKUP($A22,Scale!$A$2:$B$35,2,FALSE))</f>
        <v>7.1496500000000003</v>
      </c>
      <c r="L22" s="4">
        <f>_xll.BDP($D22,"PX_BID")</f>
        <v>8.4</v>
      </c>
      <c r="M22" s="4">
        <f>_xll.BDP($D22,"PX_ASK")</f>
        <v>8.6</v>
      </c>
      <c r="N22" s="33">
        <f t="shared" si="4"/>
        <v>8.5</v>
      </c>
      <c r="O22" s="4">
        <f>_xll.BDP($E22,"PX_BID_POINTS")</f>
        <v>4472</v>
      </c>
      <c r="P22" s="4">
        <f>_xll.BDP($E22,"PX_ASK_POINTS")</f>
        <v>6471</v>
      </c>
      <c r="Q22" s="4">
        <f t="shared" si="1"/>
        <v>5471.5</v>
      </c>
      <c r="R22" s="4">
        <f t="shared" si="2"/>
        <v>7.1496499994208778</v>
      </c>
      <c r="T22" s="33">
        <f>((1+$L22/100*$AE$7/$AD$10)*($F22+$O22/$AG$7)/$F22-1)*100*$AD$10/$AE$7</f>
        <v>11.137435844155846</v>
      </c>
      <c r="U22" s="33">
        <f>((1+$M22/100*$AE$7/$AD$10)*($G22+$P22/$AG$7)/$G22-1)*100*$AD$10/$AE$7</f>
        <v>12.56004033907052</v>
      </c>
      <c r="V22" s="31">
        <f t="shared" ref="V22" si="12">(U22+T22)/2</f>
        <v>11.848738091613182</v>
      </c>
      <c r="W22" s="31">
        <f t="shared" si="8"/>
        <v>27.363030303030275</v>
      </c>
      <c r="X22" s="31">
        <f t="shared" si="9"/>
        <v>33.448049981067811</v>
      </c>
      <c r="Y22" s="31">
        <f t="shared" si="10"/>
        <v>39.528493565480716</v>
      </c>
      <c r="Z22" s="43">
        <f>((6.3295/6.0025-1)*4)*100+N5</f>
        <v>22.090920449812568</v>
      </c>
      <c r="AA22" s="31">
        <f t="shared" si="5"/>
        <v>8.8314804998106773</v>
      </c>
      <c r="AI22" s="42"/>
    </row>
    <row r="23" spans="1:35" x14ac:dyDescent="0.25">
      <c r="A23" s="32" t="s">
        <v>164</v>
      </c>
      <c r="B23" s="1" t="s">
        <v>177</v>
      </c>
      <c r="C23" s="1" t="s">
        <v>273</v>
      </c>
      <c r="D23" s="8" t="s">
        <v>219</v>
      </c>
      <c r="E23" s="1" t="s">
        <v>243</v>
      </c>
      <c r="F23" s="4">
        <f>_xll.BDP($B23,"PX_BID")</f>
        <v>1.65</v>
      </c>
      <c r="G23" s="4">
        <f>_xll.BDP($B23,"PX_ASK")</f>
        <v>1.6639999999999999</v>
      </c>
      <c r="H23" s="4">
        <f>(G23+F23)/2</f>
        <v>1.657</v>
      </c>
      <c r="I23" s="4">
        <f>F23+(O23/VLOOKUP($A23,Scale!$A$2:$B$35,2,FALSE))</f>
        <v>1.6597161899999999</v>
      </c>
      <c r="J23" s="4">
        <f>G23+(P23/VLOOKUP($A23,Scale!$A$2:$B$35,2,FALSE))</f>
        <v>1.68502368</v>
      </c>
      <c r="K23" s="4">
        <f>H23+(Q23/VLOOKUP($A23,Scale!$A$2:$B$35,2,FALSE))</f>
        <v>1.6723699350000001</v>
      </c>
      <c r="L23" s="4" t="str">
        <f>_xll.BDP($D23,"PX_BID")</f>
        <v>#N/A N/A</v>
      </c>
      <c r="M23" s="4" t="str">
        <f>_xll.BDP($D23,"PX_ASK")</f>
        <v>#N/A N/A</v>
      </c>
      <c r="N23" s="33" t="e">
        <f t="shared" si="4"/>
        <v>#VALUE!</v>
      </c>
      <c r="O23" s="4">
        <f>_xll.BDP($E23,"PX_BID_POINTS")</f>
        <v>97.161900000000003</v>
      </c>
      <c r="P23" s="4">
        <f>_xll.BDP($E23,"PX_ASK_POINTS")</f>
        <v>210.23679999999999</v>
      </c>
      <c r="Q23" s="4">
        <f t="shared" si="1"/>
        <v>153.69934999999998</v>
      </c>
      <c r="R23" s="4">
        <f t="shared" si="2"/>
        <v>1.672369934864538</v>
      </c>
      <c r="T23" s="33" t="e">
        <f>((1+$L23/100*$AE$7/$AD$10)*($F23+$O23/$AG$7)/$F23-1)*100*$AD$10/$AE$7</f>
        <v>#VALUE!</v>
      </c>
      <c r="U23" s="33" t="e">
        <f>((1+$M23/100*$AE$7/$AD$10)*($G23+$P23/$AG$7)/$G23-1)*100*$AD$10/$AE$7</f>
        <v>#VALUE!</v>
      </c>
      <c r="V23" s="31" t="e">
        <f>(U23+T23)/2</f>
        <v>#VALUE!</v>
      </c>
      <c r="W23" s="31">
        <f t="shared" si="8"/>
        <v>2.6154400000000084</v>
      </c>
      <c r="X23" s="31">
        <f t="shared" si="9"/>
        <v>4.010304164152056</v>
      </c>
      <c r="Y23" s="31">
        <f t="shared" si="10"/>
        <v>5.3937692307692338</v>
      </c>
      <c r="Z23" s="43">
        <f>((1.6545547/1.654-1)*4)*100+N5</f>
        <v>0.43414752116087674</v>
      </c>
      <c r="AA23" s="31" t="e">
        <f t="shared" si="5"/>
        <v>#VALUE!</v>
      </c>
      <c r="AC23" s="41"/>
      <c r="AI23" s="42"/>
    </row>
    <row r="24" spans="1:35" x14ac:dyDescent="0.25">
      <c r="A24" s="32" t="s">
        <v>157</v>
      </c>
      <c r="B24" s="1" t="s">
        <v>179</v>
      </c>
      <c r="C24" s="1" t="s">
        <v>274</v>
      </c>
      <c r="D24" s="8" t="s">
        <v>208</v>
      </c>
      <c r="E24" s="1" t="s">
        <v>233</v>
      </c>
      <c r="F24" s="4">
        <f>_xll.BDP($B24,"PX_BID")</f>
        <v>220.4</v>
      </c>
      <c r="G24" s="4">
        <f>_xll.BDP($B24,"PX_ASK")</f>
        <v>220.53</v>
      </c>
      <c r="H24" s="4">
        <f t="shared" si="0"/>
        <v>220.465</v>
      </c>
      <c r="I24" s="4">
        <f>F24+(O24/VLOOKUP($A24,Scale!$A$2:$B$35,2,FALSE))</f>
        <v>222.76000000000002</v>
      </c>
      <c r="J24" s="4">
        <f>G24+(P24/VLOOKUP($A24,Scale!$A$2:$B$35,2,FALSE))</f>
        <v>223.09</v>
      </c>
      <c r="K24" s="4">
        <f>H24+(Q24/VLOOKUP($A24,Scale!$A$2:$B$35,2,FALSE))</f>
        <v>222.92500000000001</v>
      </c>
      <c r="L24" s="4">
        <f>_xll.BDP($D24,"PX_BID")</f>
        <v>4.6900000000000004</v>
      </c>
      <c r="M24" s="4">
        <f>_xll.BDP($D24,"PX_ASK")</f>
        <v>5.04</v>
      </c>
      <c r="N24" s="33">
        <f t="shared" si="4"/>
        <v>4.8650000000000002</v>
      </c>
      <c r="O24" s="4">
        <f>_xll.BDP($E24,"PX_BID_POINTS")</f>
        <v>236</v>
      </c>
      <c r="P24" s="4">
        <f>_xll.BDP($E24,"PX_ASK_POINTS")</f>
        <v>256</v>
      </c>
      <c r="Q24" s="4">
        <f t="shared" si="1"/>
        <v>246</v>
      </c>
      <c r="R24" s="4">
        <f t="shared" si="2"/>
        <v>222.92499998194307</v>
      </c>
      <c r="T24" s="33">
        <f>((1+$L24/100*$AE$7/$AD$10)*($F24+$O24/$AF$7)/$F24-1)*100*$AD$10/$AE$7</f>
        <v>4.7328627392752827</v>
      </c>
      <c r="U24" s="33">
        <f>((1+$M24/100*$AE$7/$AD$10)*($G24+$P24/$AF$7)/$G24-1)*100*$AD$10/$AE$7</f>
        <v>5.0865083958076864</v>
      </c>
      <c r="V24" s="31">
        <f t="shared" ref="V24" si="13">(U24+T24)/2</f>
        <v>4.9096855675414846</v>
      </c>
      <c r="W24" s="31">
        <f t="shared" si="8"/>
        <v>4.5431215970962509</v>
      </c>
      <c r="X24" s="31">
        <f>(((($K24/$H24)-1)*4)*100)+$N$5</f>
        <v>4.7632934932982591</v>
      </c>
      <c r="Y24" s="31">
        <f t="shared" si="10"/>
        <v>4.9833591801569028</v>
      </c>
      <c r="Z24" s="43">
        <f>((224.002/222.1-1)*4)*100+N5</f>
        <v>3.7254840162089016</v>
      </c>
      <c r="AA24" s="31">
        <f t="shared" si="5"/>
        <v>4.9096329349329828</v>
      </c>
      <c r="AI24" s="42"/>
    </row>
    <row r="25" spans="1:35" x14ac:dyDescent="0.25">
      <c r="A25" s="32" t="s">
        <v>147</v>
      </c>
      <c r="B25" s="1" t="s">
        <v>202</v>
      </c>
      <c r="C25" s="1" t="s">
        <v>244</v>
      </c>
      <c r="D25" s="8" t="s">
        <v>221</v>
      </c>
      <c r="E25" s="1" t="s">
        <v>244</v>
      </c>
      <c r="F25" s="4">
        <f>_xll.BDP($B25,"PX_BID")</f>
        <v>150.69999999999999</v>
      </c>
      <c r="G25" s="4">
        <f>_xll.BDP($B25,"PX_ASK")</f>
        <v>150.75</v>
      </c>
      <c r="H25" s="4">
        <f t="shared" si="0"/>
        <v>150.72499999999999</v>
      </c>
      <c r="I25" s="4">
        <f>F25+(O25/VLOOKUP($A25,Scale!$A$2:$B$35,2,FALSE))</f>
        <v>151.595</v>
      </c>
      <c r="J25" s="4">
        <f>G25+(P25/VLOOKUP($A25,Scale!$A$2:$B$35,2,FALSE))</f>
        <v>152.095</v>
      </c>
      <c r="K25" s="4">
        <f>H25+(Q25/VLOOKUP($A25,Scale!$A$2:$B$35,2,FALSE))</f>
        <v>151.845</v>
      </c>
      <c r="L25" s="4">
        <f>_xll.BDP($D25,"PX_BID")</f>
        <v>4.4000000000000004</v>
      </c>
      <c r="M25" s="4">
        <f>_xll.BDP($D25,"PX_ASK")</f>
        <v>7</v>
      </c>
      <c r="N25" s="33">
        <f t="shared" si="4"/>
        <v>5.7</v>
      </c>
      <c r="O25" s="4">
        <f>_xll.BDP($E25,"PX_BID_POINTS")</f>
        <v>89.5</v>
      </c>
      <c r="P25" s="4">
        <f>_xll.BDP($E25,"PX_ASK_POINTS")</f>
        <v>134.5</v>
      </c>
      <c r="Q25" s="4">
        <f t="shared" si="1"/>
        <v>112</v>
      </c>
      <c r="R25" s="4">
        <f t="shared" si="2"/>
        <v>151.84499998770053</v>
      </c>
      <c r="T25" s="33">
        <f>((1+$L25/100*$AE$7/$AD$10)*($F25+$O25/$AF$7)/$F25-1)*100*$AD$10/$AE$7</f>
        <v>4.4237560672903946</v>
      </c>
      <c r="U25" s="33">
        <f>((1+$M25/100*$AE$7/$AD$10)*($G25+$P25/$AF$7)/$G25-1)*100*$AD$10/$AE$7</f>
        <v>7.0359205911832774</v>
      </c>
      <c r="V25" s="31">
        <f t="shared" ref="V25" si="14">(U25+T25)/2</f>
        <v>5.729838329236836</v>
      </c>
      <c r="W25" s="31">
        <f t="shared" si="8"/>
        <v>2.6355806237558017</v>
      </c>
      <c r="X25" s="31">
        <f t="shared" si="9"/>
        <v>3.2723005473544893</v>
      </c>
      <c r="Y25" s="31">
        <f t="shared" si="10"/>
        <v>3.9088225538971884</v>
      </c>
      <c r="Z25" s="43">
        <f>((147.95/147.65-1)*4)*100+N5</f>
        <v>1.112732814087358</v>
      </c>
      <c r="AA25" s="31">
        <f t="shared" si="5"/>
        <v>5.7297230054735451</v>
      </c>
      <c r="AI25" s="42"/>
    </row>
    <row r="26" spans="1:35" x14ac:dyDescent="0.25">
      <c r="A26" s="32" t="s">
        <v>154</v>
      </c>
      <c r="B26" s="1" t="s">
        <v>183</v>
      </c>
      <c r="C26" s="1" t="s">
        <v>275</v>
      </c>
      <c r="D26" s="8" t="s">
        <v>222</v>
      </c>
      <c r="E26" s="1" t="s">
        <v>245</v>
      </c>
      <c r="F26" s="4">
        <f>_xll.BDP($B26,"PX_BID")</f>
        <v>2.5956000000000001</v>
      </c>
      <c r="G26" s="4">
        <f>_xll.BDP($B26,"PX_ASK")</f>
        <v>2.5960000000000001</v>
      </c>
      <c r="H26" s="4">
        <f t="shared" si="0"/>
        <v>2.5958000000000001</v>
      </c>
      <c r="I26" s="4">
        <f>F26+(O26/VLOOKUP($A26,Scale!$A$2:$B$35,2,FALSE))</f>
        <v>2.5938099999999999</v>
      </c>
      <c r="J26" s="4">
        <f>G26+(P26/VLOOKUP($A26,Scale!$A$2:$B$35,2,FALSE))</f>
        <v>2.5956000000000001</v>
      </c>
      <c r="K26" s="4">
        <f>H26+(Q26/VLOOKUP($A26,Scale!$A$2:$B$35,2,FALSE))</f>
        <v>2.5947050000000003</v>
      </c>
      <c r="L26" s="4">
        <f>_xll.BDP($D26,"PX_BID")</f>
        <v>1</v>
      </c>
      <c r="M26" s="4">
        <f>_xll.BDP($D26,"PX_ASK")</f>
        <v>1.95</v>
      </c>
      <c r="N26" s="33">
        <f t="shared" si="4"/>
        <v>1.4750000000000001</v>
      </c>
      <c r="O26" s="4">
        <f>_xll.BDP($E26,"PX_BID_POINTS")</f>
        <v>-17.899999999999999</v>
      </c>
      <c r="P26" s="4">
        <f>_xll.BDP($E26,"PX_ASK_POINTS")</f>
        <v>-4</v>
      </c>
      <c r="Q26" s="4">
        <f t="shared" si="1"/>
        <v>-10.95</v>
      </c>
      <c r="R26" s="4">
        <f t="shared" si="2"/>
        <v>2.5947049997898288</v>
      </c>
      <c r="T26" s="33">
        <f>((1+$L26/100*$AE$7/$AD$10)*($F26+$O26/$AF$7)/$F26-1)*100*$AD$10/$AE$7</f>
        <v>0.72649026501313552</v>
      </c>
      <c r="U26" s="33">
        <f>((1+$M26/100*$AE$7/$AD$10)*($G26+$P26/$AF$7)/$G26-1)*100*$AD$10/$AE$7</f>
        <v>1.8887435445909619</v>
      </c>
      <c r="V26" s="31">
        <f t="shared" ref="V26" si="15">(U26+T26)/2</f>
        <v>1.3076169048020487</v>
      </c>
      <c r="W26" s="31">
        <f t="shared" si="8"/>
        <v>-1.5851440900032321E-2</v>
      </c>
      <c r="X26" s="31">
        <f t="shared" si="9"/>
        <v>0.13126589105482123</v>
      </c>
      <c r="Y26" s="31">
        <f t="shared" si="10"/>
        <v>0.2783667180277602</v>
      </c>
      <c r="Z26" s="43">
        <f>((2.566344/2.5618-1)*4)*100+N5</f>
        <v>1.0095011320165768</v>
      </c>
      <c r="AA26" s="31">
        <f t="shared" si="5"/>
        <v>1.4733126589105483</v>
      </c>
      <c r="AI26" s="42"/>
    </row>
    <row r="27" spans="1:35" x14ac:dyDescent="0.25">
      <c r="A27" s="32" t="s">
        <v>153</v>
      </c>
      <c r="B27" s="1" t="s">
        <v>184</v>
      </c>
      <c r="C27" s="1" t="s">
        <v>257</v>
      </c>
      <c r="D27" s="8" t="s">
        <v>209</v>
      </c>
      <c r="E27" s="1" t="s">
        <v>234</v>
      </c>
      <c r="F27" s="4">
        <f>_xll.BDP($B27,"PX_BID")</f>
        <v>3.01</v>
      </c>
      <c r="G27" s="4">
        <f>_xll.BDP($B27,"PX_ASK")</f>
        <v>3.0121000000000002</v>
      </c>
      <c r="H27" s="4">
        <f t="shared" si="0"/>
        <v>3.01105</v>
      </c>
      <c r="I27" s="4">
        <f>F27+(O27/VLOOKUP($A27,Scale!$A$2:$B$35,2,FALSE))</f>
        <v>3.0253489999999998</v>
      </c>
      <c r="J27" s="4">
        <f>G27+(P27/VLOOKUP($A27,Scale!$A$2:$B$35,2,FALSE))</f>
        <v>3.0288490000000001</v>
      </c>
      <c r="K27" s="4">
        <f>H27+(Q27/VLOOKUP($A27,Scale!$A$2:$B$35,2,FALSE))</f>
        <v>3.0270990000000002</v>
      </c>
      <c r="L27" s="4">
        <f>_xll.BDP($D27,"PX_BID")</f>
        <v>3.18</v>
      </c>
      <c r="M27" s="4">
        <f>_xll.BDP($D27,"PX_ASK")</f>
        <v>3.23</v>
      </c>
      <c r="N27" s="33">
        <f t="shared" si="4"/>
        <v>3.2050000000000001</v>
      </c>
      <c r="O27" s="4">
        <f>_xll.BDP($E27,"PX_BID_POINTS")</f>
        <v>153.49</v>
      </c>
      <c r="P27" s="4">
        <f>_xll.BDP($E27,"PX_ASK_POINTS")</f>
        <v>167.49</v>
      </c>
      <c r="Q27" s="4">
        <f t="shared" si="1"/>
        <v>160.49</v>
      </c>
      <c r="R27" s="4">
        <f t="shared" si="2"/>
        <v>3.0270989997548048</v>
      </c>
      <c r="T27" s="33">
        <f>((1+$L27/100*$AE$7/$AD$10)*($F27+$O27/$AG$7)/$F27-1)*100*$AD$10/$AE$7</f>
        <v>3.3833535444562028</v>
      </c>
      <c r="U27" s="33">
        <f>((1+$M27/100*$AE$7/$AD$10)*($G27+$P27/$AG$7)/$G27-1)*100*$AD$10/$AE$7</f>
        <v>3.4517747515679309</v>
      </c>
      <c r="V27" s="31">
        <f t="shared" ref="V27:V32" si="16">(U27+T27)/2</f>
        <v>3.4175641480120671</v>
      </c>
      <c r="W27" s="31">
        <f t="shared" si="8"/>
        <v>2.2997342192691068</v>
      </c>
      <c r="X27" s="31">
        <f t="shared" si="9"/>
        <v>2.4320137493565204</v>
      </c>
      <c r="Y27" s="31">
        <f t="shared" si="10"/>
        <v>2.5642289432621297</v>
      </c>
      <c r="Z27" s="43">
        <f>((3.1415/3.1224-1)*4)*100+N5</f>
        <v>2.7468357673584682</v>
      </c>
      <c r="AA27" s="31">
        <f t="shared" si="5"/>
        <v>3.2263201374935653</v>
      </c>
      <c r="AI27" s="42"/>
    </row>
    <row r="28" spans="1:35" x14ac:dyDescent="0.25">
      <c r="A28" s="32" t="s">
        <v>168</v>
      </c>
      <c r="B28" s="1" t="s">
        <v>186</v>
      </c>
      <c r="C28" s="1" t="s">
        <v>276</v>
      </c>
      <c r="D28" s="8" t="s">
        <v>210</v>
      </c>
      <c r="E28" s="1" t="s">
        <v>235</v>
      </c>
      <c r="F28" s="4">
        <f>_xll.BDP($B28,"PX_BID")</f>
        <v>5.6108000000000002</v>
      </c>
      <c r="G28" s="4">
        <f>_xll.BDP($B28,"PX_ASK")</f>
        <v>5.6134000000000004</v>
      </c>
      <c r="H28" s="4">
        <f t="shared" si="0"/>
        <v>5.6120999999999999</v>
      </c>
      <c r="I28" s="4">
        <f>F28+(O28/VLOOKUP($A28,Scale!$A$2:$B$35,2,FALSE))</f>
        <v>5.6300840000000001</v>
      </c>
      <c r="J28" s="4">
        <f>G28+(P28/VLOOKUP($A28,Scale!$A$2:$B$35,2,FALSE))</f>
        <v>5.6331160000000002</v>
      </c>
      <c r="K28" s="4">
        <f>H28+(Q28/VLOOKUP($A28,Scale!$A$2:$B$35,2,FALSE))</f>
        <v>5.6315999999999997</v>
      </c>
      <c r="L28" s="4">
        <f>_xll.BDP($D28,"PX_BID")</f>
        <v>1.6489</v>
      </c>
      <c r="M28" s="4">
        <f>_xll.BDP($D28,"PX_ASK")</f>
        <v>1.8542000000000001</v>
      </c>
      <c r="N28" s="33">
        <f t="shared" si="4"/>
        <v>1.7515499999999999</v>
      </c>
      <c r="O28" s="4">
        <f>_xll.BDP($E28,"PX_BID_POINTS")</f>
        <v>192.84</v>
      </c>
      <c r="P28" s="4">
        <f>_xll.BDP($E28,"PX_ASK_POINTS")</f>
        <v>197.16</v>
      </c>
      <c r="Q28" s="4">
        <f t="shared" si="1"/>
        <v>195</v>
      </c>
      <c r="R28" s="4">
        <f t="shared" si="2"/>
        <v>5.6315999995438393</v>
      </c>
      <c r="T28" s="33">
        <f>((1+$L28/100*$AE$7/$AD$10)*($F28+$O28/$AG$7)/$F28-1)*100*$AD$10/$AE$7</f>
        <v>1.785433694881974</v>
      </c>
      <c r="U28" s="33">
        <f>((1+$M28/100*$AE$7/$AD$10)*($G28+$P28/$AG$7)/$G28-1)*100*$AD$10/$AE$7</f>
        <v>1.9937997732378505</v>
      </c>
      <c r="V28" s="31">
        <f t="shared" si="16"/>
        <v>1.8896167340599122</v>
      </c>
      <c r="W28" s="31">
        <f t="shared" si="8"/>
        <v>1.6347772153703153</v>
      </c>
      <c r="X28" s="31">
        <f t="shared" si="9"/>
        <v>1.6898540653231706</v>
      </c>
      <c r="Y28" s="31">
        <f t="shared" si="10"/>
        <v>1.7449239320198304</v>
      </c>
      <c r="Z28" s="43">
        <f>((5.760708/5.739-1)*4)*100+N5</f>
        <v>1.8130162049137752</v>
      </c>
      <c r="AA28" s="31">
        <f t="shared" si="5"/>
        <v>1.7654485406532316</v>
      </c>
      <c r="AI28" s="42"/>
    </row>
    <row r="29" spans="1:35" x14ac:dyDescent="0.25">
      <c r="A29" s="32" t="s">
        <v>162</v>
      </c>
      <c r="B29" s="1" t="s">
        <v>189</v>
      </c>
      <c r="C29" s="1" t="s">
        <v>258</v>
      </c>
      <c r="D29" s="8" t="s">
        <v>211</v>
      </c>
      <c r="E29" s="1" t="s">
        <v>236</v>
      </c>
      <c r="F29" s="4">
        <f>_xll.BDP($B29,"PX_BID")</f>
        <v>2.5529999999999999</v>
      </c>
      <c r="G29" s="4">
        <f>_xll.BDP($B29,"PX_ASK")</f>
        <v>2.5539999999999998</v>
      </c>
      <c r="H29" s="4">
        <f t="shared" si="0"/>
        <v>2.5534999999999997</v>
      </c>
      <c r="I29" s="4">
        <f>F29+(O29/VLOOKUP($A29,Scale!$A$2:$B$35,2,FALSE))</f>
        <v>2.552</v>
      </c>
      <c r="J29" s="4">
        <f>G29+(P29/VLOOKUP($A29,Scale!$A$2:$B$35,2,FALSE))</f>
        <v>2.5566999999999998</v>
      </c>
      <c r="K29" s="4">
        <f>H29+(Q29/VLOOKUP($A29,Scale!$A$2:$B$35,2,FALSE))</f>
        <v>2.5543499999999995</v>
      </c>
      <c r="L29" s="4">
        <f>_xll.BDP($D29,"PX_BID")</f>
        <v>4.3475999999999999</v>
      </c>
      <c r="M29" s="4">
        <f>_xll.BDP($D29,"PX_ASK")</f>
        <v>4.3475999999999999</v>
      </c>
      <c r="N29" s="33">
        <f t="shared" si="4"/>
        <v>4.3475999999999999</v>
      </c>
      <c r="O29" s="4">
        <f>_xll.BDP($E29,"PX_BID_POINTS")</f>
        <v>-10</v>
      </c>
      <c r="P29" s="4">
        <f>_xll.BDP($E29,"PX_ASK_POINTS")</f>
        <v>27</v>
      </c>
      <c r="Q29" s="4">
        <f t="shared" si="1"/>
        <v>8.5</v>
      </c>
      <c r="R29" s="4">
        <f t="shared" si="2"/>
        <v>2.554349999793097</v>
      </c>
      <c r="T29" s="33">
        <f>((1+$L29/100*$AE$7/$AD$10)*($F29+$O29/$AG$7)/$F29-1)*100*$AD$10/$AE$7</f>
        <v>4.3319340385584413</v>
      </c>
      <c r="U29" s="33">
        <f>((1+$M29/100*$AE$7/$AD$10)*($G29+$P29/$AG$7)/$G29-1)*100*$AD$10/$AE$7</f>
        <v>4.3898815343826314</v>
      </c>
      <c r="V29" s="31">
        <f t="shared" si="16"/>
        <v>4.3609077864705359</v>
      </c>
      <c r="W29" s="31">
        <f>(((($I29/$F29)-1)*4)*100)+$L$5</f>
        <v>0.10332158245203815</v>
      </c>
      <c r="X29" s="31">
        <f t="shared" si="9"/>
        <v>0.43315057763847453</v>
      </c>
      <c r="Y29" s="31">
        <f t="shared" si="10"/>
        <v>0.76286609240402847</v>
      </c>
      <c r="Z29" s="43">
        <f>((2.713998/2.697-1)*4)*100+N5</f>
        <v>2.8210233592881435</v>
      </c>
      <c r="AA29" s="31">
        <f t="shared" si="5"/>
        <v>4.3489315057763847</v>
      </c>
      <c r="AI29" s="42"/>
    </row>
    <row r="30" spans="1:35" x14ac:dyDescent="0.25">
      <c r="A30" s="32" t="s">
        <v>156</v>
      </c>
      <c r="B30" s="1" t="s">
        <v>190</v>
      </c>
      <c r="C30" s="1" t="s">
        <v>259</v>
      </c>
      <c r="D30" s="8" t="s">
        <v>212</v>
      </c>
      <c r="E30" s="1" t="s">
        <v>237</v>
      </c>
      <c r="F30" s="4">
        <f>_xll.BDP($B30,"PX_BID")</f>
        <v>40.563000000000002</v>
      </c>
      <c r="G30" s="4">
        <f>_xll.BDP($B30,"PX_ASK")</f>
        <v>40.6</v>
      </c>
      <c r="H30" s="4">
        <f t="shared" si="0"/>
        <v>40.581500000000005</v>
      </c>
      <c r="I30" s="4">
        <f>F30+(O30/VLOOKUP($A30,Scale!$A$2:$B$35,2,FALSE))</f>
        <v>40.315000000000005</v>
      </c>
      <c r="J30" s="4">
        <f>G30+(P30/VLOOKUP($A30,Scale!$A$2:$B$35,2,FALSE))</f>
        <v>40.448</v>
      </c>
      <c r="K30" s="4">
        <f>H30+(Q30/VLOOKUP($A30,Scale!$A$2:$B$35,2,FALSE))</f>
        <v>40.381500000000003</v>
      </c>
      <c r="L30" s="4">
        <f>_xll.BDP($D30,"PX_BID")</f>
        <v>-1.325</v>
      </c>
      <c r="M30" s="4">
        <f>_xll.BDP($D30,"PX_ASK")</f>
        <v>-1.325</v>
      </c>
      <c r="N30" s="33">
        <f t="shared" si="4"/>
        <v>-1.325</v>
      </c>
      <c r="O30" s="4">
        <f>_xll.BDP($E30,"PX_BID_POINTS")</f>
        <v>-0.248</v>
      </c>
      <c r="P30" s="4">
        <f>_xll.BDP($E30,"PX_ASK_POINTS")</f>
        <v>-0.152</v>
      </c>
      <c r="Q30" s="4">
        <f t="shared" si="1"/>
        <v>-0.2</v>
      </c>
      <c r="R30" s="4">
        <f t="shared" si="2"/>
        <v>40.381499996729097</v>
      </c>
      <c r="T30" s="33">
        <f>((1+$L30/100*$AE$7/$AD$10)*($F30+$O30/$AF$7)/$F30-1)*100*$AD$10/$AE$7</f>
        <v>-1.3252410603015283</v>
      </c>
      <c r="U30" s="33">
        <f>((1+$M30/100*$AE$7/$AD$10)*($G30+$P30/$AF$7)/$G30-1)*100*$AD$10/$AE$7</f>
        <v>-1.325147611990461</v>
      </c>
      <c r="V30" s="31">
        <f t="shared" si="16"/>
        <v>-1.3251943361459948</v>
      </c>
      <c r="W30" s="31">
        <f>(((($I30/$F30)-1)*4)*100)+$L$5</f>
        <v>-2.1855784828538276</v>
      </c>
      <c r="X30" s="31">
        <f t="shared" si="9"/>
        <v>-1.6713416211820877</v>
      </c>
      <c r="Y30" s="31">
        <f t="shared" si="10"/>
        <v>-1.1575369458128273</v>
      </c>
      <c r="Z30" s="43">
        <f>((43.152/43.057-1)*4)*100+N5</f>
        <v>1.1825510369974588</v>
      </c>
      <c r="AA30" s="31">
        <f t="shared" si="5"/>
        <v>-1.3447134162118208</v>
      </c>
      <c r="AI30" s="42"/>
    </row>
    <row r="31" spans="1:35" x14ac:dyDescent="0.25">
      <c r="A31" s="32" t="s">
        <v>146</v>
      </c>
      <c r="B31" s="1" t="s">
        <v>191</v>
      </c>
      <c r="C31" s="1" t="s">
        <v>277</v>
      </c>
      <c r="D31" s="8" t="s">
        <v>213</v>
      </c>
      <c r="E31" s="1" t="s">
        <v>238</v>
      </c>
      <c r="F31" s="4">
        <f>_xll.BDP($B31,"PX_BID")</f>
        <v>3.1278999999999999</v>
      </c>
      <c r="G31" s="4">
        <f>_xll.BDP($B31,"PX_ASK")</f>
        <v>3.1288999999999998</v>
      </c>
      <c r="H31" s="4">
        <f t="shared" si="0"/>
        <v>3.1284000000000001</v>
      </c>
      <c r="I31" s="4">
        <f>F31+(O31/VLOOKUP($A31,Scale!$A$2:$B$35,2,FALSE))</f>
        <v>3.1537709999999999</v>
      </c>
      <c r="J31" s="4">
        <f>G31+(P31/VLOOKUP($A31,Scale!$A$2:$B$35,2,FALSE))</f>
        <v>3.1557689999999998</v>
      </c>
      <c r="K31" s="4">
        <f>H31+(Q31/VLOOKUP($A31,Scale!$A$2:$B$35,2,FALSE))</f>
        <v>3.1547700000000001</v>
      </c>
      <c r="L31" s="4">
        <f>_xll.BDP($D31,"PX_BID")</f>
        <v>3.87</v>
      </c>
      <c r="M31" s="4">
        <f>_xll.BDP($D31,"PX_ASK")</f>
        <v>4.07</v>
      </c>
      <c r="N31" s="33">
        <f t="shared" si="4"/>
        <v>3.97</v>
      </c>
      <c r="O31" s="4">
        <f>_xll.BDP($E31,"PX_BID_POINTS")</f>
        <v>258.70999999999998</v>
      </c>
      <c r="P31" s="4">
        <f>_xll.BDP($E31,"PX_ASK_POINTS")</f>
        <v>268.69</v>
      </c>
      <c r="Q31" s="4">
        <f t="shared" si="1"/>
        <v>263.7</v>
      </c>
      <c r="R31" s="4">
        <f t="shared" si="2"/>
        <v>3.1547699997444636</v>
      </c>
      <c r="T31" s="33">
        <f>((1+$L31/100*$AE$7/$AD$10)*($F31+$O31/$AG$7)/$F31-1)*100*$AD$10/$AE$7</f>
        <v>4.2004070490962526</v>
      </c>
      <c r="U31" s="33">
        <f>((1+$M31/100*$AE$7/$AD$10)*($G31+$P31/$AG$7)/$G31-1)*100*$AD$10/$AE$7</f>
        <v>4.4132149105275422</v>
      </c>
      <c r="V31" s="31">
        <f t="shared" si="16"/>
        <v>4.3068109798118979</v>
      </c>
      <c r="W31" s="31">
        <f t="shared" si="8"/>
        <v>3.5684177882924946</v>
      </c>
      <c r="X31" s="31">
        <f t="shared" si="9"/>
        <v>3.6716915995396944</v>
      </c>
      <c r="Y31" s="31">
        <f t="shared" si="10"/>
        <v>3.774945188404903</v>
      </c>
      <c r="Z31" s="43">
        <f>((3.329392/3.3018-1)*4)*100+N5</f>
        <v>3.6426615785328904</v>
      </c>
      <c r="AA31" s="31">
        <f t="shared" si="5"/>
        <v>4.0037169159953976</v>
      </c>
      <c r="AI31" s="42"/>
    </row>
    <row r="32" spans="1:35" x14ac:dyDescent="0.25">
      <c r="A32" s="32" t="s">
        <v>158</v>
      </c>
      <c r="B32" s="1" t="s">
        <v>192</v>
      </c>
      <c r="C32" s="1" t="s">
        <v>278</v>
      </c>
      <c r="D32" s="8" t="s">
        <v>214</v>
      </c>
      <c r="E32" s="1" t="s">
        <v>239</v>
      </c>
      <c r="F32" s="4">
        <f>_xll.BDP($B32,"PX_BID")</f>
        <v>8.8920999999999992</v>
      </c>
      <c r="G32" s="4">
        <f>_xll.BDP($B32,"PX_ASK")</f>
        <v>8.8957999999999995</v>
      </c>
      <c r="H32" s="4">
        <f t="shared" si="0"/>
        <v>8.8939500000000002</v>
      </c>
      <c r="I32" s="4">
        <f>F32+(O32/VLOOKUP($A32,Scale!$A$2:$B$35,2,FALSE))</f>
        <v>8.998899999999999</v>
      </c>
      <c r="J32" s="4">
        <f>G32+(P32/VLOOKUP($A32,Scale!$A$2:$B$35,2,FALSE))</f>
        <v>9.0056999999999992</v>
      </c>
      <c r="K32" s="4">
        <f>H32+(Q32/VLOOKUP($A32,Scale!$A$2:$B$35,2,FALSE))</f>
        <v>9.0023</v>
      </c>
      <c r="L32" s="4">
        <f>_xll.BDP($D32,"PX_BID")</f>
        <v>2.5249999999999999</v>
      </c>
      <c r="M32" s="4">
        <f>_xll.BDP($D32,"PX_ASK")</f>
        <v>5.05</v>
      </c>
      <c r="N32" s="33">
        <f t="shared" si="4"/>
        <v>3.7874999999999996</v>
      </c>
      <c r="O32" s="4">
        <f>_xll.BDP($E32,"PX_BID_POINTS")</f>
        <v>1068</v>
      </c>
      <c r="P32" s="4">
        <f>_xll.BDP($E32,"PX_ASK_POINTS")</f>
        <v>1099</v>
      </c>
      <c r="Q32" s="4">
        <f t="shared" si="1"/>
        <v>1083.5</v>
      </c>
      <c r="R32" s="4">
        <f t="shared" si="2"/>
        <v>9.0022999992708126</v>
      </c>
      <c r="T32" s="33">
        <f>((1+$L32/100*$AE$7/$AD$10)*($F32+$O32/$AG$7)/$F32-1)*100*$AD$10/$AE$7</f>
        <v>3.0031797263924949</v>
      </c>
      <c r="U32" s="33">
        <f>((1+$M32/100*$AE$7/$AD$10)*($G32+$P32/$AG$7)/$G32-1)*100*$AD$10/$AE$7</f>
        <v>5.5449742358970431</v>
      </c>
      <c r="V32" s="31">
        <f t="shared" si="16"/>
        <v>4.274076981144769</v>
      </c>
      <c r="W32" s="31">
        <f t="shared" si="8"/>
        <v>5.0642644594640469</v>
      </c>
      <c r="X32" s="31">
        <f t="shared" si="9"/>
        <v>5.1729754496033449</v>
      </c>
      <c r="Y32" s="31">
        <f t="shared" si="10"/>
        <v>5.2816578610130378</v>
      </c>
      <c r="Z32" s="43">
        <f>((8.0897/7.9841-1)*4)*100+N5</f>
        <v>5.5905148983604986</v>
      </c>
      <c r="AA32" s="31">
        <f t="shared" si="5"/>
        <v>3.8362297544960331</v>
      </c>
      <c r="AI32" s="42"/>
    </row>
    <row r="33" spans="1:35" x14ac:dyDescent="0.25">
      <c r="A33" s="32" t="s">
        <v>144</v>
      </c>
      <c r="B33" s="1" t="s">
        <v>193</v>
      </c>
      <c r="C33" s="1" t="s">
        <v>279</v>
      </c>
      <c r="D33" s="8" t="s">
        <v>224</v>
      </c>
      <c r="E33" s="1" t="s">
        <v>247</v>
      </c>
      <c r="F33" s="4">
        <f>_xll.BDP($B33,"PX_BID")</f>
        <v>126.48</v>
      </c>
      <c r="G33" s="4">
        <f>_xll.BDP($B33,"PX_ASK")</f>
        <v>126.63</v>
      </c>
      <c r="H33" s="4">
        <f t="shared" si="0"/>
        <v>126.55500000000001</v>
      </c>
      <c r="I33" s="4">
        <f>F33+(O33/VLOOKUP($A33,Scale!$A$2:$B$35,2,FALSE))</f>
        <v>129.08000000000001</v>
      </c>
      <c r="J33" s="4">
        <f>G33+(P33/VLOOKUP($A33,Scale!$A$2:$B$35,2,FALSE))</f>
        <v>129.63</v>
      </c>
      <c r="K33" s="4">
        <f>H33+(Q33/VLOOKUP($A33,Scale!$A$2:$B$35,2,FALSE))</f>
        <v>129.35500000000002</v>
      </c>
      <c r="L33" s="4">
        <f>_xll.BDP($D33,"PX_BID")</f>
        <v>13</v>
      </c>
      <c r="M33" s="4">
        <f>_xll.BDP($D33,"PX_ASK")</f>
        <v>13.25</v>
      </c>
      <c r="N33" s="33">
        <f t="shared" si="4"/>
        <v>13.125</v>
      </c>
      <c r="O33" s="4">
        <f>_xll.BDP($E33,"PX_BID_POINTS")</f>
        <v>2.6</v>
      </c>
      <c r="P33" s="4">
        <f>_xll.BDP($E33,"PX_ASK_POINTS")</f>
        <v>3</v>
      </c>
      <c r="Q33" s="4">
        <f t="shared" si="1"/>
        <v>2.8</v>
      </c>
      <c r="R33" s="4">
        <f t="shared" si="2"/>
        <v>129.35499998952224</v>
      </c>
      <c r="T33" s="33">
        <f>((1+$L33/100*$AE$7/$AD$10)*($F33+$O33/$AF$7)/$F33-1)*100*$AD$10/$AE$7</f>
        <v>13.000839952109848</v>
      </c>
      <c r="U33" s="33">
        <f>((1+$M33/100*$AE$7/$AD$10)*($G33+$P33/$AF$7)/$G33-1)*100*$AD$10/$AE$7</f>
        <v>13.250968619747896</v>
      </c>
      <c r="V33" s="31">
        <f t="shared" ref="V33" si="17">(U33+T33)/2</f>
        <v>13.125904285928872</v>
      </c>
      <c r="W33" s="31">
        <f t="shared" si="8"/>
        <v>8.4826438962682555</v>
      </c>
      <c r="X33" s="31">
        <f t="shared" si="9"/>
        <v>9.1499071549919435</v>
      </c>
      <c r="Y33" s="31">
        <f t="shared" si="10"/>
        <v>9.8164273868751302</v>
      </c>
      <c r="Z33" s="43">
        <f>((115.42/113.82-1)*4)*100+N5</f>
        <v>5.9229133719909006</v>
      </c>
      <c r="AA33" s="31">
        <f t="shared" si="5"/>
        <v>13.213499071549919</v>
      </c>
      <c r="AI33" s="42"/>
    </row>
    <row r="34" spans="1:35" x14ac:dyDescent="0.25">
      <c r="A34" s="32" t="s">
        <v>142</v>
      </c>
      <c r="B34" s="1" t="s">
        <v>194</v>
      </c>
      <c r="C34" s="1" t="s">
        <v>248</v>
      </c>
      <c r="D34" s="8" t="s">
        <v>225</v>
      </c>
      <c r="E34" s="1" t="s">
        <v>248</v>
      </c>
      <c r="F34" s="4">
        <f>_xll.BDP($B34,"PX_BID")</f>
        <v>8.1050000000000004</v>
      </c>
      <c r="G34" s="4">
        <f>_xll.BDP($B34,"PX_ASK")</f>
        <v>8.1449999999999996</v>
      </c>
      <c r="H34" s="4">
        <f t="shared" si="0"/>
        <v>8.125</v>
      </c>
      <c r="I34" s="4">
        <f>F34+(O34/VLOOKUP($A34,Scale!$A$2:$B$35,2,FALSE))</f>
        <v>8.4650000500000004</v>
      </c>
      <c r="J34" s="4">
        <f>G34+(P34/VLOOKUP($A34,Scale!$A$2:$B$35,2,FALSE))</f>
        <v>8.7050000499999989</v>
      </c>
      <c r="K34" s="4">
        <f>H34+(Q34/VLOOKUP($A34,Scale!$A$2:$B$35,2,FALSE))</f>
        <v>8.5850000499999997</v>
      </c>
      <c r="L34" s="4" t="str">
        <f>_xll.BDP($D34,"PX_BID")</f>
        <v>#N/A N/A</v>
      </c>
      <c r="M34" s="4" t="str">
        <f>_xll.BDP($D34,"PX_ASK")</f>
        <v>#N/A N/A</v>
      </c>
      <c r="N34" s="33" t="e">
        <f t="shared" si="4"/>
        <v>#VALUE!</v>
      </c>
      <c r="O34" s="4">
        <f>_xll.BDP($E34,"PX_BID_POINTS")</f>
        <v>3600.0005000000001</v>
      </c>
      <c r="P34" s="4">
        <f>_xll.BDP($E34,"PX_ASK_POINTS")</f>
        <v>5600.0005000000001</v>
      </c>
      <c r="Q34" s="4">
        <f t="shared" si="1"/>
        <v>4600.0005000000001</v>
      </c>
      <c r="R34" s="4">
        <f t="shared" si="2"/>
        <v>8.5850000493046146</v>
      </c>
      <c r="T34" s="33" t="e">
        <f>((1+$L34/100*$AE$7/$AD$10)*($F34+$O34/$AG$7)/$F34-1)*100*$AD$10/$AE$7</f>
        <v>#VALUE!</v>
      </c>
      <c r="U34" s="33" t="e">
        <f>((1+$M34/100*$AE$7/$AD$10)*($G34+$P34/$AG$7)/$G34-1)*100*$AD$10/$AE$7</f>
        <v>#VALUE!</v>
      </c>
      <c r="V34" s="31" t="e">
        <f>(U34+T34)/2</f>
        <v>#VALUE!</v>
      </c>
      <c r="W34" s="31">
        <f t="shared" si="8"/>
        <v>18.026813078346734</v>
      </c>
      <c r="X34" s="31">
        <f t="shared" si="9"/>
        <v>22.946156307692334</v>
      </c>
      <c r="Y34" s="31">
        <f t="shared" si="10"/>
        <v>27.841537139349263</v>
      </c>
      <c r="Z34" s="43">
        <f>((8.479/8.019-1)*4)*100+N5</f>
        <v>23.245504426985864</v>
      </c>
      <c r="AA34" s="31" t="e">
        <f t="shared" si="5"/>
        <v>#VALUE!</v>
      </c>
      <c r="AI34" s="42"/>
    </row>
    <row r="35" spans="1:35" x14ac:dyDescent="0.25">
      <c r="A35" s="32" t="s">
        <v>149</v>
      </c>
      <c r="B35" s="1" t="s">
        <v>196</v>
      </c>
      <c r="C35" s="1" t="s">
        <v>249</v>
      </c>
      <c r="D35" s="8" t="s">
        <v>228</v>
      </c>
      <c r="E35" s="1" t="s">
        <v>249</v>
      </c>
      <c r="F35" s="4">
        <f>_xll.BDP($B35,"PX_BID")</f>
        <v>20820</v>
      </c>
      <c r="G35" s="4">
        <f>_xll.BDP($B35,"PX_ASK")</f>
        <v>20865</v>
      </c>
      <c r="H35" s="4">
        <f t="shared" si="0"/>
        <v>20842.5</v>
      </c>
      <c r="I35" s="4">
        <f>F35+(O35/VLOOKUP($A35,Scale!$A$2:$B$35,2,FALSE))</f>
        <v>21170</v>
      </c>
      <c r="J35" s="4">
        <f>G35+(P35/VLOOKUP($A35,Scale!$A$2:$B$35,2,FALSE))</f>
        <v>21415</v>
      </c>
      <c r="K35" s="4">
        <f>H35+(Q35/VLOOKUP($A35,Scale!$A$2:$B$35,2,FALSE))</f>
        <v>21292.5</v>
      </c>
      <c r="L35" s="4">
        <f>_xll.BDP($D35,"PX_BID")</f>
        <v>5.5</v>
      </c>
      <c r="M35" s="4">
        <f>_xll.BDP($D35,"PX_ASK")</f>
        <v>7.5</v>
      </c>
      <c r="N35" s="33">
        <f t="shared" si="4"/>
        <v>6.5</v>
      </c>
      <c r="O35" s="4">
        <f>_xll.BDP($E35,"PX_BID_POINTS")</f>
        <v>350</v>
      </c>
      <c r="P35" s="4">
        <f>_xll.BDP($E35,"PX_ASK_POINTS")</f>
        <v>550</v>
      </c>
      <c r="Q35" s="4">
        <f t="shared" si="1"/>
        <v>450</v>
      </c>
      <c r="R35" s="4">
        <f t="shared" si="2"/>
        <v>21292.499998275307</v>
      </c>
      <c r="T35" s="33">
        <f>((1+$L35/100*$AE$7/$AD$10)*($F35+$O35/$AF$7)/$F35-1)*100*$AD$10/$AE$7</f>
        <v>5.5006742869282874</v>
      </c>
      <c r="U35" s="33">
        <f>((1+$M35/100*$AE$7/$AD$10)*($G35+$P35/$AF$7)/$G35-1)*100*$AD$10/$AE$7</f>
        <v>7.5010625804820945</v>
      </c>
      <c r="V35" s="31">
        <f t="shared" ref="V35" si="18">(U35+T35)/2</f>
        <v>6.5008684337051914</v>
      </c>
      <c r="W35" s="31">
        <f t="shared" si="8"/>
        <v>6.9843035542747796</v>
      </c>
      <c r="X35" s="31">
        <f t="shared" si="9"/>
        <v>8.9362000719683259</v>
      </c>
      <c r="Y35" s="31">
        <f t="shared" si="10"/>
        <v>10.883973160795605</v>
      </c>
      <c r="Z35" s="43">
        <f>((21660/21010-1)*4)*100+N5</f>
        <v>12.675059495478347</v>
      </c>
      <c r="AA35" s="31">
        <f t="shared" si="5"/>
        <v>6.5863620007196833</v>
      </c>
      <c r="AI35" s="42"/>
    </row>
    <row r="36" spans="1:35" x14ac:dyDescent="0.25">
      <c r="A36" s="32"/>
      <c r="B36" s="1"/>
      <c r="C36" s="1"/>
      <c r="D36" s="8"/>
      <c r="F36" s="4"/>
      <c r="G36" s="4"/>
      <c r="H36" s="4"/>
      <c r="I36" s="4"/>
      <c r="J36" s="4"/>
      <c r="K36" s="4"/>
      <c r="L36" s="4"/>
      <c r="M36" s="4"/>
      <c r="N36" s="33"/>
      <c r="O36" s="4"/>
      <c r="P36" s="4"/>
      <c r="Q36" s="4"/>
      <c r="R36" s="4"/>
      <c r="T36" s="20"/>
      <c r="U36" s="20"/>
      <c r="V36" s="31"/>
      <c r="W36" s="31"/>
      <c r="X36" s="31"/>
      <c r="Y36" s="31"/>
      <c r="Z36" s="31"/>
    </row>
    <row r="37" spans="1:35" x14ac:dyDescent="0.25">
      <c r="A37" s="32" t="s">
        <v>132</v>
      </c>
      <c r="B37" s="1" t="s">
        <v>197</v>
      </c>
      <c r="C37" s="1"/>
      <c r="F37" s="4">
        <f>_xll.BDP($B37,"PX_BID")</f>
        <v>8610</v>
      </c>
      <c r="G37" s="4">
        <f>_xll.BDP($B37,"PX_ASK")</f>
        <v>8700</v>
      </c>
      <c r="H37" s="4"/>
      <c r="I37" s="4"/>
      <c r="J37" s="4"/>
      <c r="K37" s="4"/>
      <c r="L37" s="4"/>
      <c r="M37" s="4" t="s">
        <v>298</v>
      </c>
      <c r="N37" s="33"/>
      <c r="O37" s="4"/>
      <c r="P37" s="4"/>
      <c r="Q37" s="4"/>
      <c r="R37" s="4"/>
    </row>
    <row r="38" spans="1:35" x14ac:dyDescent="0.25">
      <c r="A38" s="32" t="s">
        <v>131</v>
      </c>
      <c r="B38" s="1" t="s">
        <v>198</v>
      </c>
      <c r="C38" s="1"/>
      <c r="F38" s="4">
        <f>_xll.BDP($B38,"PX_BID")</f>
        <v>1.98</v>
      </c>
      <c r="G38" s="4">
        <f>_xll.BDP($B38,"PX_ASK")</f>
        <v>2.0099999999999998</v>
      </c>
      <c r="H38" s="4"/>
      <c r="I38" s="55">
        <v>1000000</v>
      </c>
      <c r="J38" s="4"/>
      <c r="K38" s="4"/>
      <c r="L38" s="4"/>
      <c r="M38" s="4"/>
      <c r="N38" s="33"/>
      <c r="O38" s="4"/>
      <c r="P38" s="4"/>
      <c r="Q38" s="4"/>
      <c r="R38" s="4"/>
      <c r="X38" s="1"/>
      <c r="Y38" s="1"/>
    </row>
    <row r="39" spans="1:35" x14ac:dyDescent="0.25">
      <c r="A39" s="32" t="s">
        <v>137</v>
      </c>
      <c r="B39" s="1" t="s">
        <v>174</v>
      </c>
      <c r="C39" s="1"/>
      <c r="D39" s="8" t="s">
        <v>217</v>
      </c>
      <c r="F39" s="4">
        <f>_xll.BDP($B39,"PX_BID")</f>
        <v>40.25</v>
      </c>
      <c r="G39" s="4">
        <f>_xll.BDP($B39,"PX_ASK")</f>
        <v>40.700000000000003</v>
      </c>
      <c r="H39" s="4"/>
      <c r="I39" s="55">
        <f>I38/H24*(1+(N5/100))*K24</f>
        <v>1014191.7084344452</v>
      </c>
      <c r="J39" s="4"/>
      <c r="K39" s="4"/>
      <c r="L39" s="4"/>
      <c r="M39" s="4"/>
      <c r="N39" s="33"/>
      <c r="O39" s="4"/>
      <c r="P39" s="4"/>
      <c r="Q39" s="4"/>
      <c r="R39" s="4"/>
    </row>
    <row r="40" spans="1:35" x14ac:dyDescent="0.25">
      <c r="A40" s="32" t="s">
        <v>163</v>
      </c>
      <c r="B40" s="1" t="s">
        <v>199</v>
      </c>
      <c r="C40" s="1"/>
      <c r="D40" s="8" t="s">
        <v>218</v>
      </c>
      <c r="F40" s="4">
        <f>_xll.BDP($B40,"PX_BID")</f>
        <v>25000</v>
      </c>
      <c r="G40" s="4">
        <f>_xll.BDP($B40,"PX_ASK")</f>
        <v>25000</v>
      </c>
      <c r="H40" s="4"/>
      <c r="I40" s="4">
        <f>I39/I38-1</f>
        <v>1.4191708434445172E-2</v>
      </c>
      <c r="J40" s="4"/>
      <c r="K40" s="4"/>
      <c r="L40" s="4"/>
      <c r="M40" s="4"/>
      <c r="N40" s="33"/>
      <c r="O40" s="4"/>
      <c r="P40" s="4"/>
      <c r="Q40" s="4"/>
      <c r="R40" s="4"/>
    </row>
    <row r="41" spans="1:35" x14ac:dyDescent="0.25">
      <c r="A41" s="32" t="s">
        <v>150</v>
      </c>
      <c r="B41" s="1" t="s">
        <v>200</v>
      </c>
      <c r="C41" s="1"/>
      <c r="F41" s="4">
        <f>_xll.BDP($B41,"PX_BID")</f>
        <v>8.75</v>
      </c>
      <c r="G41" s="4">
        <f>_xll.BDP($B41,"PX_ASK")</f>
        <v>8.75</v>
      </c>
      <c r="H41" s="4"/>
      <c r="I41" s="4"/>
      <c r="J41" s="4"/>
      <c r="K41" s="4"/>
      <c r="L41" s="4"/>
      <c r="M41" s="4"/>
      <c r="N41" s="33"/>
      <c r="O41" s="4"/>
      <c r="P41" s="4"/>
      <c r="Q41" s="4"/>
      <c r="R41" s="4"/>
    </row>
    <row r="42" spans="1:35" x14ac:dyDescent="0.25">
      <c r="A42" s="32" t="s">
        <v>143</v>
      </c>
      <c r="B42" s="1" t="s">
        <v>176</v>
      </c>
      <c r="C42" s="1"/>
      <c r="F42" s="4">
        <f>_xll.BDP($B42,"PX_BID")</f>
        <v>493.15989999999999</v>
      </c>
      <c r="G42" s="4">
        <f>_xll.BDP($B42,"PX_ASK")</f>
        <v>497.65989999999999</v>
      </c>
      <c r="H42" s="4"/>
      <c r="I42" s="4"/>
      <c r="J42" s="4"/>
      <c r="K42" s="4"/>
      <c r="L42" s="4"/>
      <c r="M42" s="4"/>
      <c r="N42" s="33"/>
      <c r="O42" s="4"/>
      <c r="P42" s="4"/>
      <c r="Q42" s="4"/>
      <c r="R42" s="4"/>
    </row>
    <row r="43" spans="1:35" x14ac:dyDescent="0.25">
      <c r="A43" s="32" t="s">
        <v>145</v>
      </c>
      <c r="B43" s="1" t="s">
        <v>178</v>
      </c>
      <c r="C43" s="1"/>
      <c r="D43" s="8" t="s">
        <v>220</v>
      </c>
      <c r="F43" s="4">
        <f>_xll.BDP($B43,"PX_BID")</f>
        <v>1.9039999999999999</v>
      </c>
      <c r="G43" s="4">
        <f>_xll.BDP($B43,"PX_ASK")</f>
        <v>1.909</v>
      </c>
      <c r="H43" s="4"/>
      <c r="I43" s="4"/>
      <c r="J43" s="4"/>
      <c r="K43" s="4"/>
      <c r="L43" s="4"/>
      <c r="M43" s="4"/>
      <c r="N43" s="33"/>
      <c r="O43" s="4"/>
      <c r="P43" s="4"/>
      <c r="Q43" s="4"/>
      <c r="R43" s="4"/>
    </row>
    <row r="44" spans="1:35" x14ac:dyDescent="0.25">
      <c r="A44" s="32" t="s">
        <v>136</v>
      </c>
      <c r="B44" s="1" t="s">
        <v>201</v>
      </c>
      <c r="C44" s="1"/>
      <c r="F44" s="4">
        <f>_xll.BDP($B44,"PX_BID")</f>
        <v>1157.1851999999999</v>
      </c>
      <c r="G44" s="4">
        <f>_xll.BDP($B44,"PX_ASK")</f>
        <v>1183.8901000000001</v>
      </c>
      <c r="H44" s="4"/>
      <c r="I44" s="4"/>
      <c r="J44" s="4"/>
      <c r="K44" s="4"/>
      <c r="L44" s="4"/>
      <c r="M44" s="4"/>
      <c r="N44" s="33"/>
      <c r="O44" s="4"/>
      <c r="P44" s="4"/>
      <c r="Q44" s="4"/>
      <c r="R44" s="4"/>
    </row>
    <row r="45" spans="1:35" x14ac:dyDescent="0.25">
      <c r="A45" s="32" t="s">
        <v>166</v>
      </c>
      <c r="B45" s="1" t="s">
        <v>176</v>
      </c>
      <c r="C45" s="1"/>
      <c r="F45" s="4">
        <f>_xll.BDP($B45,"PX_BID")</f>
        <v>493.15989999999999</v>
      </c>
      <c r="G45" s="4">
        <f>_xll.BDP($B45,"PX_ASK")</f>
        <v>497.65989999999999</v>
      </c>
      <c r="H45" s="4"/>
      <c r="I45" s="4"/>
      <c r="J45" s="4"/>
      <c r="K45" s="4"/>
      <c r="L45" s="4"/>
      <c r="M45" s="4"/>
      <c r="N45" s="33"/>
      <c r="O45" s="4"/>
      <c r="P45" s="4"/>
      <c r="Q45" s="4"/>
      <c r="R45" s="4"/>
      <c r="X45">
        <v>10</v>
      </c>
      <c r="AA45">
        <f>(Z45/100-1)^(10)</f>
        <v>1</v>
      </c>
    </row>
    <row r="46" spans="1:35" x14ac:dyDescent="0.25">
      <c r="A46" s="32" t="s">
        <v>152</v>
      </c>
      <c r="B46" s="1" t="s">
        <v>180</v>
      </c>
      <c r="C46" s="1"/>
      <c r="F46" s="4">
        <f>_xll.BDP($B46,"PX_BID")</f>
        <v>92.58</v>
      </c>
      <c r="G46" s="4">
        <f>_xll.BDP($B46,"PX_ASK")</f>
        <v>93.18</v>
      </c>
      <c r="H46" s="4"/>
      <c r="I46" s="4"/>
      <c r="J46" s="4"/>
      <c r="K46" s="4"/>
      <c r="L46" s="4"/>
      <c r="M46" s="4"/>
      <c r="N46" s="33"/>
      <c r="O46" s="4"/>
      <c r="P46" s="4"/>
      <c r="Q46" s="4"/>
      <c r="R46" s="4"/>
    </row>
    <row r="47" spans="1:35" x14ac:dyDescent="0.25">
      <c r="A47" s="32" t="s">
        <v>151</v>
      </c>
      <c r="B47" s="1" t="s">
        <v>181</v>
      </c>
      <c r="C47" s="1"/>
      <c r="F47" s="4">
        <f>_xll.BDP($B47,"PX_BID")</f>
        <v>0.70830000000000004</v>
      </c>
      <c r="G47" s="4">
        <f>_xll.BDP($B47,"PX_ASK")</f>
        <v>0.71030000000000004</v>
      </c>
      <c r="H47" s="4"/>
      <c r="I47" s="4"/>
      <c r="J47" s="4"/>
      <c r="K47" s="4"/>
      <c r="L47" s="4"/>
      <c r="M47" s="4"/>
      <c r="N47" s="33"/>
      <c r="O47" s="4"/>
      <c r="P47" s="4"/>
      <c r="Q47" s="4"/>
      <c r="R47" s="4"/>
    </row>
    <row r="48" spans="1:35" x14ac:dyDescent="0.25">
      <c r="A48" s="32" t="s">
        <v>141</v>
      </c>
      <c r="B48" s="1" t="s">
        <v>182</v>
      </c>
      <c r="C48" s="1"/>
      <c r="F48" s="4">
        <f>_xll.BDP($B48,"PX_BID")</f>
        <v>1502</v>
      </c>
      <c r="G48" s="4">
        <f>_xll.BDP($B48,"PX_ASK")</f>
        <v>1504</v>
      </c>
      <c r="H48" s="4"/>
      <c r="I48" s="4"/>
      <c r="J48" s="4"/>
      <c r="K48" s="4"/>
      <c r="L48" s="4"/>
      <c r="M48" s="4"/>
      <c r="N48" s="33"/>
      <c r="O48" s="4"/>
      <c r="P48" s="4"/>
      <c r="Q48" s="4"/>
      <c r="R48" s="4"/>
    </row>
    <row r="49" spans="1:18" x14ac:dyDescent="0.25">
      <c r="A49" s="32" t="s">
        <v>161</v>
      </c>
      <c r="B49" s="1" t="s">
        <v>185</v>
      </c>
      <c r="C49" s="1"/>
      <c r="D49" s="8" t="s">
        <v>223</v>
      </c>
      <c r="E49" t="s">
        <v>246</v>
      </c>
      <c r="F49" s="4">
        <f>_xll.BDP($B49,"PX_BID")</f>
        <v>157</v>
      </c>
      <c r="G49" s="4">
        <f>_xll.BDP($B49,"PX_ASK")</f>
        <v>157.19999999999999</v>
      </c>
      <c r="H49" s="4"/>
      <c r="I49" s="4"/>
      <c r="J49" s="4"/>
      <c r="K49" s="4"/>
      <c r="L49" s="4" t="str">
        <f>_xll.BDP($D49,"PX_BID")</f>
        <v>#N/A N/A</v>
      </c>
      <c r="M49" s="4" t="str">
        <f>_xll.BDP($D49,"PX_ASK")</f>
        <v>#N/A N/A</v>
      </c>
      <c r="N49" s="33" t="e">
        <f>(M49+L49)/2</f>
        <v>#VALUE!</v>
      </c>
      <c r="O49" s="4"/>
      <c r="P49" s="4"/>
      <c r="Q49" s="4"/>
      <c r="R49" s="4"/>
    </row>
    <row r="50" spans="1:18" x14ac:dyDescent="0.25">
      <c r="A50" s="32" t="s">
        <v>134</v>
      </c>
      <c r="B50" s="1" t="s">
        <v>187</v>
      </c>
      <c r="C50" s="1"/>
      <c r="D50" s="8"/>
      <c r="F50" s="4">
        <f>_xll.BDP($B50,"PX_BID")</f>
        <v>97.626499999999993</v>
      </c>
      <c r="G50" s="4">
        <f>_xll.BDP($B50,"PX_ASK")</f>
        <v>97.793999999999997</v>
      </c>
      <c r="H50" s="4"/>
      <c r="I50" s="4"/>
      <c r="J50" s="4"/>
      <c r="K50" s="4"/>
      <c r="L50" s="4"/>
      <c r="M50" s="4"/>
      <c r="N50" s="33"/>
      <c r="O50" s="4"/>
      <c r="P50" s="4"/>
      <c r="Q50" s="4"/>
      <c r="R50" s="4"/>
    </row>
    <row r="51" spans="1:18" x14ac:dyDescent="0.25">
      <c r="A51" s="32" t="s">
        <v>160</v>
      </c>
      <c r="B51" s="1" t="s">
        <v>188</v>
      </c>
      <c r="C51" s="1"/>
      <c r="F51" s="4">
        <f>_xll.BDP($B51,"PX_BID")</f>
        <v>1</v>
      </c>
      <c r="G51" s="4">
        <f>_xll.BDP($B51,"PX_ASK")</f>
        <v>1</v>
      </c>
      <c r="H51" s="4"/>
      <c r="I51" s="4"/>
      <c r="J51" s="4"/>
      <c r="K51" s="4"/>
      <c r="L51" s="4"/>
      <c r="M51" s="4"/>
      <c r="N51" s="33"/>
      <c r="O51" s="4"/>
      <c r="P51" s="4"/>
      <c r="Q51" s="4"/>
      <c r="R51" s="4"/>
    </row>
    <row r="52" spans="1:18" x14ac:dyDescent="0.25">
      <c r="A52" s="32" t="s">
        <v>139</v>
      </c>
      <c r="B52" s="1" t="s">
        <v>176</v>
      </c>
      <c r="C52" s="1"/>
      <c r="F52" s="4">
        <f>_xll.BDP($B52,"PX_BID")</f>
        <v>493.15989999999999</v>
      </c>
      <c r="G52" s="4">
        <f>_xll.BDP($B52,"PX_ASK")</f>
        <v>497.65989999999999</v>
      </c>
      <c r="H52" s="4"/>
      <c r="I52" s="4"/>
      <c r="J52" s="4"/>
      <c r="K52" s="4"/>
      <c r="L52" s="4"/>
      <c r="M52" s="4"/>
      <c r="N52" s="33"/>
      <c r="O52" s="4"/>
      <c r="P52" s="4"/>
      <c r="Q52" s="4"/>
      <c r="R52" s="4"/>
    </row>
    <row r="53" spans="1:18" x14ac:dyDescent="0.25">
      <c r="A53" s="32" t="s">
        <v>148</v>
      </c>
      <c r="B53" s="1" t="s">
        <v>2</v>
      </c>
      <c r="C53" s="1"/>
      <c r="D53" s="8"/>
      <c r="F53" s="4">
        <f>_xll.BDP($B53,"PX_BID")</f>
        <v>1.3301000000000001</v>
      </c>
      <c r="G53" s="4">
        <f>_xll.BDP($B53,"PX_ASK")</f>
        <v>1.3302</v>
      </c>
      <c r="H53" s="4"/>
      <c r="I53" s="4"/>
      <c r="J53" s="4"/>
      <c r="K53" s="4"/>
      <c r="L53" s="4"/>
      <c r="M53" s="4"/>
      <c r="N53" s="33"/>
      <c r="O53" s="4"/>
      <c r="P53" s="4"/>
      <c r="Q53" s="4"/>
      <c r="R53" s="4"/>
    </row>
    <row r="54" spans="1:18" x14ac:dyDescent="0.25">
      <c r="A54" s="32" t="s">
        <v>165</v>
      </c>
      <c r="B54" s="1" t="s">
        <v>195</v>
      </c>
      <c r="C54" s="1"/>
      <c r="D54" s="8" t="s">
        <v>226</v>
      </c>
      <c r="F54" s="4">
        <f>_xll.BDP($B54,"PX_BID")</f>
        <v>19.25</v>
      </c>
      <c r="G54" s="4">
        <f>_xll.BDP($B54,"PX_ASK")</f>
        <v>19.399999999999999</v>
      </c>
      <c r="H54" s="4"/>
      <c r="I54" s="4"/>
      <c r="J54" s="4"/>
      <c r="K54" s="4"/>
      <c r="L54" s="4"/>
      <c r="M54" s="4"/>
      <c r="N54" s="33"/>
      <c r="O54" s="4"/>
      <c r="P54" s="4"/>
      <c r="Q54" s="4"/>
      <c r="R54" s="4"/>
    </row>
    <row r="55" spans="1:18" x14ac:dyDescent="0.25">
      <c r="A55" s="32" t="s">
        <v>155</v>
      </c>
      <c r="B55" s="1" t="s">
        <v>203</v>
      </c>
      <c r="C55" s="1"/>
      <c r="D55" s="8" t="s">
        <v>227</v>
      </c>
      <c r="F55" s="4">
        <f>_xll.BDP($B55,"PX_BID")</f>
        <v>4289.3500000000004</v>
      </c>
      <c r="G55" s="4">
        <f>_xll.BDP($B55,"PX_ASK")</f>
        <v>4300.05</v>
      </c>
      <c r="H55" s="4"/>
      <c r="I55" s="4"/>
      <c r="J55" s="4"/>
      <c r="K55" s="4"/>
      <c r="L55" s="4"/>
      <c r="M55" s="4"/>
      <c r="N55" s="33"/>
      <c r="O55" s="4"/>
      <c r="P55" s="4"/>
      <c r="Q55" s="4"/>
      <c r="R55" s="4"/>
    </row>
    <row r="57" spans="1:18" x14ac:dyDescent="0.25">
      <c r="O57" s="4"/>
      <c r="P57" s="4"/>
      <c r="Q57" s="4"/>
      <c r="R57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35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15.42578125" bestFit="1" customWidth="1"/>
    <col min="2" max="2" width="11.5703125" bestFit="1" customWidth="1"/>
    <col min="3" max="3" width="11.42578125" bestFit="1" customWidth="1"/>
  </cols>
  <sheetData>
    <row r="1" spans="1:3" x14ac:dyDescent="0.25">
      <c r="A1" s="44" t="s">
        <v>54</v>
      </c>
      <c r="B1" s="10" t="s">
        <v>292</v>
      </c>
      <c r="C1" s="10" t="s">
        <v>296</v>
      </c>
    </row>
    <row r="2" spans="1:3" x14ac:dyDescent="0.25">
      <c r="A2" t="s">
        <v>6</v>
      </c>
      <c r="B2" s="1">
        <v>100</v>
      </c>
      <c r="C2" s="1">
        <f>_xll.BDP(Calculations!B2,Scale!$C$1)</f>
        <v>2</v>
      </c>
    </row>
    <row r="3" spans="1:3" x14ac:dyDescent="0.25">
      <c r="A3" t="s">
        <v>13</v>
      </c>
      <c r="B3" s="1">
        <v>1</v>
      </c>
      <c r="C3" s="1">
        <f>_xll.BDP(Calculations!B3,Scale!$C$1)</f>
        <v>0</v>
      </c>
    </row>
    <row r="4" spans="1:3" x14ac:dyDescent="0.25">
      <c r="A4" t="s">
        <v>11</v>
      </c>
      <c r="B4" s="1">
        <v>10000</v>
      </c>
      <c r="C4" s="1">
        <f>_xll.BDP(Calculations!B4,Scale!$C$1)</f>
        <v>4</v>
      </c>
    </row>
    <row r="5" spans="1:3" x14ac:dyDescent="0.25">
      <c r="A5" t="s">
        <v>32</v>
      </c>
      <c r="B5" s="1">
        <v>1</v>
      </c>
      <c r="C5" s="1"/>
    </row>
    <row r="6" spans="1:3" x14ac:dyDescent="0.25">
      <c r="A6" t="s">
        <v>10</v>
      </c>
      <c r="B6" s="1">
        <v>10000</v>
      </c>
      <c r="C6" s="1">
        <f>_xll.BDP(Calculations!B6,Scale!$C$1)</f>
        <v>4</v>
      </c>
    </row>
    <row r="7" spans="1:3" x14ac:dyDescent="0.25">
      <c r="A7" t="s">
        <v>4</v>
      </c>
      <c r="B7" s="1">
        <v>10000</v>
      </c>
      <c r="C7" s="1">
        <f>_xll.BDP(Calculations!B7,Scale!$C$1)</f>
        <v>4</v>
      </c>
    </row>
    <row r="8" spans="1:3" x14ac:dyDescent="0.25">
      <c r="A8" t="s">
        <v>7</v>
      </c>
      <c r="B8" s="1">
        <v>1</v>
      </c>
      <c r="C8" s="1">
        <f>_xll.BDP(Calculations!B8,Scale!$C$1)</f>
        <v>0</v>
      </c>
    </row>
    <row r="9" spans="1:3" x14ac:dyDescent="0.25">
      <c r="A9" t="s">
        <v>8</v>
      </c>
      <c r="B9" s="1">
        <v>10000</v>
      </c>
      <c r="C9" s="1">
        <f>_xll.BDP(Calculations!B9,Scale!$C$1)</f>
        <v>4</v>
      </c>
    </row>
    <row r="10" spans="1:3" x14ac:dyDescent="0.25">
      <c r="A10" t="s">
        <v>9</v>
      </c>
      <c r="B10" s="1">
        <v>10000</v>
      </c>
      <c r="C10" s="1">
        <f>_xll.BDP(Calculations!B10,Scale!$C$1)</f>
        <v>4</v>
      </c>
    </row>
    <row r="11" spans="1:3" x14ac:dyDescent="0.25">
      <c r="A11" t="s">
        <v>29</v>
      </c>
      <c r="B11" s="1">
        <v>1</v>
      </c>
      <c r="C11" s="1">
        <f>_xll.BDP(Calculations!B11,Scale!$C$1)</f>
        <v>0</v>
      </c>
    </row>
    <row r="12" spans="1:3" x14ac:dyDescent="0.25">
      <c r="A12" t="s">
        <v>21</v>
      </c>
      <c r="B12" s="1">
        <v>1</v>
      </c>
      <c r="C12" s="1">
        <f>_xll.BDP(Calculations!B12,Scale!$C$1)</f>
        <v>0</v>
      </c>
    </row>
    <row r="13" spans="1:3" x14ac:dyDescent="0.25">
      <c r="A13" t="s">
        <v>14</v>
      </c>
      <c r="B13" s="1">
        <v>10000</v>
      </c>
      <c r="C13" s="1">
        <f>_xll.BDP(Calculations!B13,Scale!$C$1)</f>
        <v>4</v>
      </c>
    </row>
    <row r="14" spans="1:3" x14ac:dyDescent="0.25">
      <c r="A14" t="s">
        <v>5</v>
      </c>
      <c r="B14" s="1">
        <v>10000</v>
      </c>
      <c r="C14" s="1">
        <f>_xll.BDP(Calculations!B14,Scale!$C$1)</f>
        <v>4</v>
      </c>
    </row>
    <row r="15" spans="1:3" x14ac:dyDescent="0.25">
      <c r="A15" t="s">
        <v>12</v>
      </c>
      <c r="B15" s="1">
        <v>100</v>
      </c>
      <c r="C15" s="1">
        <f>_xll.BDP(Calculations!B15,Scale!$C$1)</f>
        <v>2</v>
      </c>
    </row>
    <row r="16" spans="1:3" x14ac:dyDescent="0.25">
      <c r="A16" t="s">
        <v>26</v>
      </c>
      <c r="B16" s="1">
        <v>10000</v>
      </c>
      <c r="C16" s="1">
        <f>_xll.BDP(Calculations!B16,Scale!$C$1)</f>
        <v>4</v>
      </c>
    </row>
    <row r="17" spans="1:3" x14ac:dyDescent="0.25">
      <c r="A17" s="32" t="s">
        <v>133</v>
      </c>
      <c r="B17" s="1">
        <v>10000</v>
      </c>
      <c r="C17" s="1">
        <f>_xll.BDP(Calculations!B17,Scale!$C$1)</f>
        <v>4</v>
      </c>
    </row>
    <row r="18" spans="1:3" x14ac:dyDescent="0.25">
      <c r="A18" s="32" t="s">
        <v>140</v>
      </c>
      <c r="B18" s="1">
        <v>10000</v>
      </c>
      <c r="C18" s="1">
        <f>_xll.BDP(Calculations!B18,Scale!$C$1)</f>
        <v>4</v>
      </c>
    </row>
    <row r="19" spans="1:3" x14ac:dyDescent="0.25">
      <c r="A19" s="32" t="s">
        <v>167</v>
      </c>
      <c r="B19" s="1">
        <v>10000</v>
      </c>
      <c r="C19" s="1">
        <f>_xll.BDP(Calculations!B19,Scale!$C$1)</f>
        <v>4</v>
      </c>
    </row>
    <row r="20" spans="1:3" x14ac:dyDescent="0.25">
      <c r="A20" s="32" t="s">
        <v>159</v>
      </c>
      <c r="B20" s="1">
        <v>1</v>
      </c>
      <c r="C20" s="1">
        <f>_xll.BDP(Calculations!B20,Scale!$C$1)</f>
        <v>0</v>
      </c>
    </row>
    <row r="21" spans="1:3" x14ac:dyDescent="0.25">
      <c r="A21" s="32" t="s">
        <v>138</v>
      </c>
      <c r="B21" s="1">
        <v>10000</v>
      </c>
      <c r="C21" s="1">
        <f>_xll.BDP(Calculations!B21,Scale!$C$1)</f>
        <v>4</v>
      </c>
    </row>
    <row r="22" spans="1:3" x14ac:dyDescent="0.25">
      <c r="A22" s="32" t="s">
        <v>135</v>
      </c>
      <c r="B22" s="1">
        <v>10000</v>
      </c>
      <c r="C22" s="1">
        <f>_xll.BDP(Calculations!B22,Scale!$C$1)</f>
        <v>4</v>
      </c>
    </row>
    <row r="23" spans="1:3" x14ac:dyDescent="0.25">
      <c r="A23" s="32" t="s">
        <v>164</v>
      </c>
      <c r="B23" s="1">
        <v>10000</v>
      </c>
      <c r="C23" s="1">
        <f>_xll.BDP(Calculations!B23,Scale!$C$1)</f>
        <v>4</v>
      </c>
    </row>
    <row r="24" spans="1:3" x14ac:dyDescent="0.25">
      <c r="A24" s="32" t="s">
        <v>157</v>
      </c>
      <c r="B24" s="1">
        <v>100</v>
      </c>
      <c r="C24" s="1">
        <f>_xll.BDP(Calculations!B24,Scale!$C$1)</f>
        <v>2</v>
      </c>
    </row>
    <row r="25" spans="1:3" x14ac:dyDescent="0.25">
      <c r="A25" s="32" t="s">
        <v>147</v>
      </c>
      <c r="B25" s="1">
        <v>100</v>
      </c>
      <c r="C25" s="1">
        <f>_xll.BDP(Calculations!B25,Scale!$C$1)</f>
        <v>2</v>
      </c>
    </row>
    <row r="26" spans="1:3" x14ac:dyDescent="0.25">
      <c r="A26" s="32" t="s">
        <v>154</v>
      </c>
      <c r="B26" s="1">
        <v>10000</v>
      </c>
      <c r="C26" s="1">
        <f>_xll.BDP(Calculations!B26,Scale!$C$1)</f>
        <v>4</v>
      </c>
    </row>
    <row r="27" spans="1:3" x14ac:dyDescent="0.25">
      <c r="A27" s="32" t="s">
        <v>153</v>
      </c>
      <c r="B27" s="1">
        <v>10000</v>
      </c>
      <c r="C27" s="1">
        <f>_xll.BDP(Calculations!B27,Scale!$C$1)</f>
        <v>4</v>
      </c>
    </row>
    <row r="28" spans="1:3" x14ac:dyDescent="0.25">
      <c r="A28" s="32" t="s">
        <v>168</v>
      </c>
      <c r="B28" s="1">
        <v>10000</v>
      </c>
      <c r="C28" s="1">
        <f>_xll.BDP(Calculations!B28,Scale!$C$1)</f>
        <v>4</v>
      </c>
    </row>
    <row r="29" spans="1:3" x14ac:dyDescent="0.25">
      <c r="A29" s="32" t="s">
        <v>162</v>
      </c>
      <c r="B29" s="1">
        <v>10000</v>
      </c>
      <c r="C29" s="1">
        <f>_xll.BDP(Calculations!B29,Scale!$C$1)</f>
        <v>4</v>
      </c>
    </row>
    <row r="30" spans="1:3" x14ac:dyDescent="0.25">
      <c r="A30" s="32" t="s">
        <v>156</v>
      </c>
      <c r="B30" s="1">
        <v>1</v>
      </c>
      <c r="C30" s="1">
        <f>_xll.BDP(Calculations!B30,Scale!$C$1)</f>
        <v>0</v>
      </c>
    </row>
    <row r="31" spans="1:3" x14ac:dyDescent="0.25">
      <c r="A31" s="32" t="s">
        <v>146</v>
      </c>
      <c r="B31" s="1">
        <v>10000</v>
      </c>
      <c r="C31" s="1">
        <f>_xll.BDP(Calculations!B31,Scale!$C$1)</f>
        <v>4</v>
      </c>
    </row>
    <row r="32" spans="1:3" x14ac:dyDescent="0.25">
      <c r="A32" s="32" t="s">
        <v>158</v>
      </c>
      <c r="B32" s="1">
        <v>10000</v>
      </c>
      <c r="C32" s="1">
        <f>_xll.BDP(Calculations!B32,Scale!$C$1)</f>
        <v>4</v>
      </c>
    </row>
    <row r="33" spans="1:3" x14ac:dyDescent="0.25">
      <c r="A33" s="32" t="s">
        <v>144</v>
      </c>
      <c r="B33" s="1">
        <v>1</v>
      </c>
      <c r="C33" s="1">
        <f>_xll.BDP(Calculations!B33,Scale!$C$1)</f>
        <v>0</v>
      </c>
    </row>
    <row r="34" spans="1:3" x14ac:dyDescent="0.25">
      <c r="A34" s="32" t="s">
        <v>142</v>
      </c>
      <c r="B34" s="1">
        <v>10000</v>
      </c>
      <c r="C34" s="1">
        <f>_xll.BDP(Calculations!B34,Scale!$C$1)</f>
        <v>4</v>
      </c>
    </row>
    <row r="35" spans="1:3" x14ac:dyDescent="0.25">
      <c r="A35" s="32" t="s">
        <v>149</v>
      </c>
      <c r="B35" s="1">
        <v>1</v>
      </c>
      <c r="C35" s="1">
        <f>_xll.BDP(Calculations!B35,Scale!$C$1)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Graph</vt:lpstr>
      <vt:lpstr>Calculations</vt:lpstr>
      <vt:lpstr>Scale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QUANT_B</dc:creator>
  <cp:lastModifiedBy>QUANT_B</cp:lastModifiedBy>
  <cp:lastPrinted>2011-12-05T20:14:21Z</cp:lastPrinted>
  <dcterms:created xsi:type="dcterms:W3CDTF">2011-11-10T16:54:57Z</dcterms:created>
  <dcterms:modified xsi:type="dcterms:W3CDTF">2013-01-18T16:08:26Z</dcterms:modified>
</cp:coreProperties>
</file>