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BFagan\Corporate Research\Energy\"/>
    </mc:Choice>
  </mc:AlternateContent>
  <bookViews>
    <workbookView xWindow="0" yWindow="0" windowWidth="25200" windowHeight="11850" activeTab="1"/>
  </bookViews>
  <sheets>
    <sheet name="E&amp;P Comps" sheetId="1" r:id="rId1"/>
    <sheet name="E&amp;P Sensitivity Rankings" sheetId="3" r:id="rId2"/>
    <sheet name="Midstream Comps" sheetId="2" r:id="rId3"/>
    <sheet name="Refining Comps" sheetId="4" r:id="rId4"/>
  </sheets>
  <definedNames>
    <definedName name="_xlnm._FilterDatabase" localSheetId="1" hidden="1">'E&amp;P Sensitivity Rankings'!$B$9:$C$38</definedName>
    <definedName name="_xlnm.Print_Area" localSheetId="0">'E&amp;P Comps'!$B$1:$CO$111</definedName>
    <definedName name="_xlnm.Print_Area" localSheetId="2">'Midstream Comps'!$B$1:$AF$32</definedName>
    <definedName name="SpreadsheetBuilder_1" hidden="1">'E&amp;P Comps'!$D$1:$H$7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B86" i="1"/>
  <c r="P19" i="2" l="1"/>
  <c r="P32" i="2"/>
  <c r="P11" i="2"/>
  <c r="P28" i="2"/>
  <c r="P17" i="2"/>
  <c r="BN7" i="1"/>
  <c r="BO83" i="1"/>
  <c r="BO63" i="1"/>
  <c r="BO52" i="1"/>
  <c r="BO48" i="1"/>
  <c r="BO56" i="1"/>
  <c r="BO50" i="1"/>
  <c r="BO49" i="1"/>
  <c r="BO10" i="1"/>
  <c r="BO39" i="1"/>
  <c r="BO40" i="1"/>
  <c r="BO17" i="1"/>
  <c r="BO23" i="1"/>
  <c r="BO21" i="1"/>
  <c r="BO69" i="1"/>
  <c r="BO64" i="1"/>
  <c r="BO45" i="1"/>
  <c r="BO41" i="1"/>
  <c r="BO44" i="1" s="1"/>
  <c r="BO20" i="1"/>
  <c r="BO5" i="1"/>
  <c r="BO7" i="1"/>
  <c r="BO97" i="1" l="1"/>
  <c r="BO107" i="1"/>
  <c r="BO108" i="1"/>
  <c r="BN88" i="1"/>
  <c r="BN103" i="1"/>
  <c r="BO92" i="1"/>
  <c r="BN89" i="1"/>
  <c r="BO89" i="1"/>
  <c r="BN96" i="1"/>
  <c r="BN105" i="1"/>
  <c r="BO93" i="1"/>
  <c r="BO96" i="1"/>
  <c r="BO100" i="1"/>
  <c r="BN97" i="1"/>
  <c r="BO101" i="1"/>
  <c r="BN104" i="1"/>
  <c r="BO88" i="1"/>
  <c r="BO104" i="1"/>
  <c r="P25" i="2"/>
  <c r="BO94" i="1"/>
  <c r="BO102" i="1"/>
  <c r="BO87" i="1"/>
  <c r="BO95" i="1"/>
  <c r="BO103" i="1"/>
  <c r="BO105" i="1"/>
  <c r="BO90" i="1"/>
  <c r="BO98" i="1"/>
  <c r="BO106" i="1"/>
  <c r="BO91" i="1"/>
  <c r="BO99" i="1"/>
  <c r="BN107" i="1"/>
  <c r="BN90" i="1"/>
  <c r="BN98" i="1"/>
  <c r="BN106" i="1"/>
  <c r="BN91" i="1"/>
  <c r="BN99" i="1"/>
  <c r="BN92" i="1"/>
  <c r="BN100" i="1"/>
  <c r="BN108" i="1"/>
  <c r="BN93" i="1"/>
  <c r="BN101" i="1"/>
  <c r="BN94" i="1"/>
  <c r="BN102" i="1"/>
  <c r="BN87" i="1"/>
  <c r="BN95" i="1"/>
  <c r="BO24" i="1"/>
  <c r="BO27" i="1" s="1"/>
  <c r="BO16" i="1"/>
  <c r="BO51" i="1"/>
  <c r="BO53" i="1" s="1"/>
  <c r="BO12" i="1"/>
  <c r="BO15" i="1"/>
  <c r="BO65" i="1"/>
  <c r="BO43" i="1"/>
  <c r="BN86" i="1" l="1"/>
  <c r="BO86" i="1"/>
  <c r="BO57" i="1"/>
  <c r="BO54" i="1" s="1"/>
  <c r="BO111" i="1" l="1"/>
  <c r="BO110" i="1"/>
  <c r="BG84" i="1" l="1"/>
  <c r="BE84" i="1"/>
  <c r="BC85" i="1"/>
  <c r="BC84" i="1"/>
  <c r="N83" i="1"/>
  <c r="P85" i="1" l="1"/>
  <c r="H85" i="1"/>
  <c r="AH84" i="1"/>
  <c r="BD7" i="2"/>
  <c r="BE28" i="2"/>
  <c r="AQ30" i="2"/>
  <c r="AQ26" i="2"/>
  <c r="AQ19" i="2"/>
  <c r="AQ17" i="2"/>
  <c r="AS19" i="2"/>
  <c r="AP7" i="2" l="1"/>
  <c r="AH7" i="2"/>
  <c r="AN7" i="2"/>
  <c r="AS17" i="2"/>
  <c r="AO30" i="2" l="1"/>
  <c r="AO26" i="2"/>
  <c r="AO19" i="2"/>
  <c r="AO17" i="2"/>
  <c r="AS27" i="2"/>
  <c r="AS28" i="2"/>
  <c r="AS16" i="2"/>
  <c r="BC25" i="2"/>
  <c r="BC29" i="2" s="1"/>
  <c r="BC32" i="2" s="1"/>
  <c r="BK12" i="2"/>
  <c r="BE16" i="2"/>
  <c r="AV7" i="2"/>
  <c r="AX7" i="2"/>
  <c r="AY20" i="2"/>
  <c r="AY22" i="2" s="1"/>
  <c r="AY15" i="2"/>
  <c r="O96" i="1"/>
  <c r="BI25" i="2"/>
  <c r="BI29" i="2" s="1"/>
  <c r="BI32" i="2" s="1"/>
  <c r="BG25" i="2"/>
  <c r="BG29" i="2" s="1"/>
  <c r="BG32" i="2" s="1"/>
  <c r="BE25" i="2"/>
  <c r="BA25" i="2"/>
  <c r="BA29" i="2" s="1"/>
  <c r="BA32" i="2" s="1"/>
  <c r="AY25" i="2"/>
  <c r="AU25" i="2"/>
  <c r="AU29" i="2" s="1"/>
  <c r="AQ25" i="2"/>
  <c r="AO25" i="2"/>
  <c r="AM25" i="2"/>
  <c r="AM29" i="2" s="1"/>
  <c r="AM32" i="2" s="1"/>
  <c r="AI25" i="2"/>
  <c r="AI29" i="2" s="1"/>
  <c r="AI32" i="2" s="1"/>
  <c r="BM20" i="2"/>
  <c r="BK20" i="2"/>
  <c r="BK22" i="2" s="1"/>
  <c r="BI20" i="2"/>
  <c r="BI22" i="2" s="1"/>
  <c r="BE20" i="2"/>
  <c r="BE22" i="2" s="1"/>
  <c r="BC20" i="2"/>
  <c r="BA20" i="2"/>
  <c r="BA22" i="2" s="1"/>
  <c r="AX20" i="2"/>
  <c r="AU20" i="2"/>
  <c r="AT20" i="2"/>
  <c r="AS20" i="2"/>
  <c r="AS22" i="2" s="1"/>
  <c r="AR20" i="2"/>
  <c r="AQ20" i="2"/>
  <c r="AQ22" i="2" s="1"/>
  <c r="AP20" i="2"/>
  <c r="AO20" i="2"/>
  <c r="AO22" i="2" s="1"/>
  <c r="AK20" i="2"/>
  <c r="AK22" i="2" s="1"/>
  <c r="BI16" i="2"/>
  <c r="BA16" i="2"/>
  <c r="AY16" i="2"/>
  <c r="AU16" i="2"/>
  <c r="AM16" i="2"/>
  <c r="AI16" i="2"/>
  <c r="BK15" i="2"/>
  <c r="BI15" i="2"/>
  <c r="BE15" i="2"/>
  <c r="BA15" i="2"/>
  <c r="AU15" i="2"/>
  <c r="AQ15" i="2"/>
  <c r="AO15" i="2"/>
  <c r="AM15" i="2"/>
  <c r="AI15" i="2"/>
  <c r="BI12" i="2"/>
  <c r="BE12" i="2"/>
  <c r="BC12" i="2"/>
  <c r="BA12" i="2"/>
  <c r="AY12" i="2"/>
  <c r="AU12" i="2"/>
  <c r="AQ12" i="2"/>
  <c r="AM12" i="2"/>
  <c r="AS15" i="2"/>
  <c r="AQ16" i="2"/>
  <c r="AO12" i="2"/>
  <c r="AK25" i="2"/>
  <c r="AK29" i="2" s="1"/>
  <c r="AK32" i="2" s="1"/>
  <c r="AI12" i="2"/>
  <c r="BL7" i="2"/>
  <c r="BJ7" i="2"/>
  <c r="BH7" i="2"/>
  <c r="AT7" i="2"/>
  <c r="AR7" i="2"/>
  <c r="D132" i="1"/>
  <c r="O144" i="1" s="1"/>
  <c r="BF111" i="1"/>
  <c r="BD111" i="1"/>
  <c r="BB111" i="1"/>
  <c r="AZ111" i="1"/>
  <c r="AX111" i="1"/>
  <c r="AV111" i="1"/>
  <c r="AU111" i="1"/>
  <c r="AT111" i="1"/>
  <c r="AR111" i="1"/>
  <c r="AQ111" i="1"/>
  <c r="AP111" i="1"/>
  <c r="AO111" i="1"/>
  <c r="AM111" i="1"/>
  <c r="AL111" i="1"/>
  <c r="AK111" i="1"/>
  <c r="AI111" i="1"/>
  <c r="AG111" i="1"/>
  <c r="AC111" i="1"/>
  <c r="Q111" i="1"/>
  <c r="O111" i="1"/>
  <c r="M111" i="1"/>
  <c r="I111" i="1"/>
  <c r="G111" i="1"/>
  <c r="BF110" i="1"/>
  <c r="BD110" i="1"/>
  <c r="BB110" i="1"/>
  <c r="AZ110" i="1"/>
  <c r="AX110" i="1"/>
  <c r="AV110" i="1"/>
  <c r="AU110" i="1"/>
  <c r="AT110" i="1"/>
  <c r="AR110" i="1"/>
  <c r="AQ110" i="1"/>
  <c r="AP110" i="1"/>
  <c r="AO110" i="1"/>
  <c r="AM110" i="1"/>
  <c r="AL110" i="1"/>
  <c r="AK110" i="1"/>
  <c r="AI98" i="1"/>
  <c r="CL90" i="1"/>
  <c r="CO83" i="1"/>
  <c r="CM83" i="1"/>
  <c r="CI83" i="1"/>
  <c r="CG83" i="1"/>
  <c r="CC83" i="1"/>
  <c r="BY83" i="1"/>
  <c r="BK83" i="1"/>
  <c r="BG83" i="1"/>
  <c r="BE83" i="1"/>
  <c r="BC83" i="1"/>
  <c r="BA83" i="1"/>
  <c r="AY83" i="1"/>
  <c r="AS83" i="1"/>
  <c r="AH83" i="1"/>
  <c r="AB83" i="1"/>
  <c r="X83" i="1"/>
  <c r="V83" i="1"/>
  <c r="L83" i="1"/>
  <c r="J83" i="1"/>
  <c r="D83" i="1"/>
  <c r="L75" i="1"/>
  <c r="BC74" i="1"/>
  <c r="AD74" i="1"/>
  <c r="L74" i="1"/>
  <c r="F74" i="1"/>
  <c r="CI73" i="1"/>
  <c r="BG73" i="1"/>
  <c r="AJ73" i="1"/>
  <c r="V73" i="1"/>
  <c r="N73" i="1"/>
  <c r="L73" i="1"/>
  <c r="CI72" i="1"/>
  <c r="BG72" i="1"/>
  <c r="BE72" i="1"/>
  <c r="BC72" i="1"/>
  <c r="AW72" i="1"/>
  <c r="AJ72" i="1"/>
  <c r="V72" i="1"/>
  <c r="L72" i="1"/>
  <c r="F72" i="1"/>
  <c r="CO69" i="1"/>
  <c r="CM69" i="1"/>
  <c r="CI69" i="1"/>
  <c r="CC69" i="1"/>
  <c r="CA69" i="1"/>
  <c r="BW69" i="1"/>
  <c r="BU69" i="1"/>
  <c r="BS69" i="1"/>
  <c r="BQ69" i="1"/>
  <c r="BM69" i="1"/>
  <c r="BK69" i="1"/>
  <c r="BG69" i="1"/>
  <c r="BE69" i="1"/>
  <c r="BC69" i="1"/>
  <c r="BA69" i="1"/>
  <c r="AY69" i="1"/>
  <c r="AW69" i="1"/>
  <c r="AS69" i="1"/>
  <c r="AH69" i="1"/>
  <c r="AF69" i="1"/>
  <c r="AD69" i="1"/>
  <c r="X69" i="1"/>
  <c r="P69" i="1"/>
  <c r="N69" i="1"/>
  <c r="L69" i="1"/>
  <c r="J69" i="1"/>
  <c r="H69" i="1"/>
  <c r="F69" i="1"/>
  <c r="D69" i="1"/>
  <c r="BY68" i="1"/>
  <c r="BY69" i="1" s="1"/>
  <c r="CO65" i="1"/>
  <c r="BY65" i="1"/>
  <c r="BK65" i="1"/>
  <c r="AS65" i="1"/>
  <c r="AH65" i="1"/>
  <c r="AF65" i="1"/>
  <c r="AD65" i="1"/>
  <c r="AB65" i="1"/>
  <c r="P65" i="1"/>
  <c r="CO64" i="1"/>
  <c r="CM64" i="1"/>
  <c r="CI64" i="1"/>
  <c r="CC64" i="1"/>
  <c r="CA64" i="1"/>
  <c r="BY64" i="1"/>
  <c r="BW64" i="1"/>
  <c r="BU64" i="1"/>
  <c r="BS64" i="1"/>
  <c r="BQ64" i="1"/>
  <c r="BM64" i="1"/>
  <c r="BK64" i="1"/>
  <c r="BG64" i="1"/>
  <c r="BE64" i="1"/>
  <c r="BC64" i="1"/>
  <c r="AY64" i="1"/>
  <c r="AS64" i="1"/>
  <c r="AH64" i="1"/>
  <c r="AF64" i="1"/>
  <c r="AD64" i="1"/>
  <c r="X64" i="1"/>
  <c r="P64" i="1"/>
  <c r="N64" i="1"/>
  <c r="L64" i="1"/>
  <c r="J64" i="1"/>
  <c r="H64" i="1"/>
  <c r="F64" i="1"/>
  <c r="CO63" i="1"/>
  <c r="CM63" i="1"/>
  <c r="CI63" i="1"/>
  <c r="CG63" i="1"/>
  <c r="CC63" i="1"/>
  <c r="CA63" i="1"/>
  <c r="BY63" i="1"/>
  <c r="BW63" i="1"/>
  <c r="BU63" i="1"/>
  <c r="BS63" i="1"/>
  <c r="BQ63" i="1"/>
  <c r="BM63" i="1"/>
  <c r="BK63" i="1"/>
  <c r="BG63" i="1"/>
  <c r="BE63" i="1"/>
  <c r="BC63" i="1"/>
  <c r="BA63" i="1"/>
  <c r="AY63" i="1"/>
  <c r="AW63" i="1"/>
  <c r="AS63" i="1"/>
  <c r="AN63" i="1"/>
  <c r="AJ63" i="1"/>
  <c r="AH63" i="1"/>
  <c r="AD63" i="1"/>
  <c r="AB63" i="1"/>
  <c r="V63" i="1"/>
  <c r="R63" i="1"/>
  <c r="P63" i="1"/>
  <c r="L63" i="1"/>
  <c r="J63" i="1"/>
  <c r="F63" i="1"/>
  <c r="BA61" i="1"/>
  <c r="AW61" i="1"/>
  <c r="AW64" i="1" s="1"/>
  <c r="N61" i="1"/>
  <c r="D61" i="1"/>
  <c r="BU56" i="1"/>
  <c r="AF56" i="1"/>
  <c r="AB56" i="1"/>
  <c r="CO52" i="1"/>
  <c r="CM52" i="1"/>
  <c r="CI52" i="1"/>
  <c r="CG52" i="1"/>
  <c r="CC52" i="1"/>
  <c r="CA52" i="1"/>
  <c r="BY52" i="1"/>
  <c r="BW52" i="1"/>
  <c r="BU52" i="1"/>
  <c r="BS52" i="1"/>
  <c r="BQ52" i="1"/>
  <c r="BM52" i="1"/>
  <c r="BK52" i="1"/>
  <c r="BG52" i="1"/>
  <c r="BE52" i="1"/>
  <c r="BC52" i="1"/>
  <c r="BA52" i="1"/>
  <c r="AY52" i="1"/>
  <c r="AW52" i="1"/>
  <c r="AS52" i="1"/>
  <c r="AN52" i="1"/>
  <c r="AJ52" i="1"/>
  <c r="AH52" i="1"/>
  <c r="AF52" i="1"/>
  <c r="AD52" i="1"/>
  <c r="AB52" i="1"/>
  <c r="X52" i="1"/>
  <c r="V52" i="1"/>
  <c r="R52" i="1"/>
  <c r="P52" i="1"/>
  <c r="N52" i="1"/>
  <c r="L52" i="1"/>
  <c r="J52" i="1"/>
  <c r="H52" i="1"/>
  <c r="F52" i="1"/>
  <c r="D52" i="1"/>
  <c r="CO50" i="1"/>
  <c r="CC50" i="1"/>
  <c r="BW50" i="1"/>
  <c r="BS50" i="1"/>
  <c r="BK50" i="1"/>
  <c r="BG50" i="1"/>
  <c r="BE50" i="1"/>
  <c r="BC50" i="1"/>
  <c r="AS50" i="1"/>
  <c r="AF50" i="1"/>
  <c r="AD50" i="1"/>
  <c r="AB50" i="1"/>
  <c r="V50" i="1"/>
  <c r="P50" i="1"/>
  <c r="L50" i="1"/>
  <c r="J50" i="1"/>
  <c r="H50" i="1"/>
  <c r="CO49" i="1"/>
  <c r="CC49" i="1"/>
  <c r="BY49" i="1"/>
  <c r="BW49" i="1"/>
  <c r="BS49" i="1"/>
  <c r="BK49" i="1"/>
  <c r="BG49" i="1"/>
  <c r="BE49" i="1"/>
  <c r="BC49" i="1"/>
  <c r="AS49" i="1"/>
  <c r="AH49" i="1"/>
  <c r="AD49" i="1"/>
  <c r="AB49" i="1"/>
  <c r="V49" i="1"/>
  <c r="P49" i="1"/>
  <c r="L49" i="1"/>
  <c r="J49" i="1"/>
  <c r="H49" i="1"/>
  <c r="CO48" i="1"/>
  <c r="CC48" i="1"/>
  <c r="BY48" i="1"/>
  <c r="BS48" i="1"/>
  <c r="BK48" i="1"/>
  <c r="BG48" i="1"/>
  <c r="BE48" i="1"/>
  <c r="BC48" i="1"/>
  <c r="AY48" i="1"/>
  <c r="AY51" i="1" s="1"/>
  <c r="AW48" i="1"/>
  <c r="AS48" i="1"/>
  <c r="AH48" i="1"/>
  <c r="AF48" i="1"/>
  <c r="AD48" i="1"/>
  <c r="AB48" i="1"/>
  <c r="X48" i="1"/>
  <c r="V48" i="1"/>
  <c r="P48" i="1"/>
  <c r="L48" i="1"/>
  <c r="J48" i="1"/>
  <c r="H48" i="1"/>
  <c r="CO45" i="1"/>
  <c r="CC45" i="1"/>
  <c r="BS45" i="1"/>
  <c r="BK45" i="1"/>
  <c r="BG45" i="1"/>
  <c r="BE45" i="1"/>
  <c r="BC45" i="1"/>
  <c r="AY45" i="1"/>
  <c r="AS45" i="1"/>
  <c r="AH45" i="1"/>
  <c r="AF45" i="1"/>
  <c r="AD45" i="1"/>
  <c r="P45" i="1"/>
  <c r="L45" i="1"/>
  <c r="J45" i="1"/>
  <c r="H45" i="1"/>
  <c r="CM43" i="1"/>
  <c r="BY43" i="1"/>
  <c r="AJ43" i="1"/>
  <c r="AH43" i="1"/>
  <c r="AD43" i="1"/>
  <c r="CO41" i="1"/>
  <c r="CO44" i="1" s="1"/>
  <c r="CC41" i="1"/>
  <c r="CC44" i="1" s="1"/>
  <c r="BY41" i="1"/>
  <c r="BY44" i="1" s="1"/>
  <c r="BW41" i="1"/>
  <c r="BW44" i="1" s="1"/>
  <c r="BS41" i="1"/>
  <c r="BS44" i="1" s="1"/>
  <c r="BK41" i="1"/>
  <c r="BG41" i="1"/>
  <c r="BG44" i="1" s="1"/>
  <c r="BE41" i="1"/>
  <c r="BE44" i="1" s="1"/>
  <c r="BC41" i="1"/>
  <c r="BC44" i="1" s="1"/>
  <c r="AY41" i="1"/>
  <c r="AY44" i="1" s="1"/>
  <c r="AS41" i="1"/>
  <c r="AS44" i="1" s="1"/>
  <c r="AH41" i="1"/>
  <c r="AH44" i="1" s="1"/>
  <c r="AF41" i="1"/>
  <c r="AF44" i="1" s="1"/>
  <c r="AD41" i="1"/>
  <c r="AD44" i="1" s="1"/>
  <c r="AB41" i="1"/>
  <c r="X41" i="1"/>
  <c r="X44" i="1" s="1"/>
  <c r="V41" i="1"/>
  <c r="P41" i="1"/>
  <c r="P44" i="1" s="1"/>
  <c r="L41" i="1"/>
  <c r="L44" i="1" s="1"/>
  <c r="J41" i="1"/>
  <c r="J44" i="1" s="1"/>
  <c r="H41" i="1"/>
  <c r="H44" i="1" s="1"/>
  <c r="CM40" i="1"/>
  <c r="CM65" i="1" s="1"/>
  <c r="CI40" i="1"/>
  <c r="CI50" i="1" s="1"/>
  <c r="CG40" i="1"/>
  <c r="CA40" i="1"/>
  <c r="CA50" i="1" s="1"/>
  <c r="BY40" i="1"/>
  <c r="BY45" i="1" s="1"/>
  <c r="BW40" i="1"/>
  <c r="BU40" i="1"/>
  <c r="BU50" i="1" s="1"/>
  <c r="BQ40" i="1"/>
  <c r="BQ65" i="1" s="1"/>
  <c r="BM40" i="1"/>
  <c r="BM50" i="1" s="1"/>
  <c r="BA40" i="1"/>
  <c r="BA41" i="1" s="1"/>
  <c r="BA44" i="1" s="1"/>
  <c r="AW40" i="1"/>
  <c r="AN40" i="1"/>
  <c r="AN48" i="1" s="1"/>
  <c r="AJ40" i="1"/>
  <c r="AJ65" i="1" s="1"/>
  <c r="X40" i="1"/>
  <c r="R40" i="1"/>
  <c r="N40" i="1"/>
  <c r="N48" i="1" s="1"/>
  <c r="F40" i="1"/>
  <c r="F50" i="1" s="1"/>
  <c r="D40" i="1"/>
  <c r="D48" i="1" s="1"/>
  <c r="CO39" i="1"/>
  <c r="CM39" i="1"/>
  <c r="CC39" i="1"/>
  <c r="BU39" i="1"/>
  <c r="BQ39" i="1"/>
  <c r="BM39" i="1"/>
  <c r="BK39" i="1"/>
  <c r="BG39" i="1"/>
  <c r="BE39" i="1"/>
  <c r="BC39" i="1"/>
  <c r="BA39" i="1"/>
  <c r="AW39" i="1"/>
  <c r="AW73" i="1" s="1"/>
  <c r="AS39" i="1"/>
  <c r="AJ39" i="1"/>
  <c r="AH39" i="1"/>
  <c r="AH72" i="1" s="1"/>
  <c r="AH74" i="1" s="1"/>
  <c r="AF39" i="1"/>
  <c r="AD39" i="1"/>
  <c r="AD83" i="1" s="1"/>
  <c r="X39" i="1"/>
  <c r="X73" i="1" s="1"/>
  <c r="V39" i="1"/>
  <c r="R39" i="1"/>
  <c r="N39" i="1"/>
  <c r="L39" i="1"/>
  <c r="J39" i="1"/>
  <c r="J73" i="1" s="1"/>
  <c r="H39" i="1"/>
  <c r="F39" i="1"/>
  <c r="D39" i="1"/>
  <c r="CM38" i="1"/>
  <c r="CG38" i="1"/>
  <c r="CC38" i="1"/>
  <c r="CC65" i="1" s="1"/>
  <c r="CA38" i="1"/>
  <c r="BW38" i="1"/>
  <c r="BW65" i="1" s="1"/>
  <c r="BS38" i="1"/>
  <c r="BS39" i="1" s="1"/>
  <c r="BQ38" i="1"/>
  <c r="BQ43" i="1" s="1"/>
  <c r="BG38" i="1"/>
  <c r="BG43" i="1" s="1"/>
  <c r="BE38" i="1"/>
  <c r="BC38" i="1"/>
  <c r="BA38" i="1"/>
  <c r="BA43" i="1" s="1"/>
  <c r="AY38" i="1"/>
  <c r="AW38" i="1"/>
  <c r="AW65" i="1" s="1"/>
  <c r="AS38" i="1"/>
  <c r="AS43" i="1" s="1"/>
  <c r="AN38" i="1"/>
  <c r="AJ38" i="1"/>
  <c r="AH38" i="1"/>
  <c r="AF38" i="1"/>
  <c r="AD38" i="1"/>
  <c r="X38" i="1"/>
  <c r="V38" i="1"/>
  <c r="V65" i="1" s="1"/>
  <c r="R38" i="1"/>
  <c r="P38" i="1"/>
  <c r="P43" i="1" s="1"/>
  <c r="N38" i="1"/>
  <c r="N43" i="1" s="1"/>
  <c r="L38" i="1"/>
  <c r="J38" i="1"/>
  <c r="H38" i="1"/>
  <c r="H65" i="1" s="1"/>
  <c r="F38" i="1"/>
  <c r="D38" i="1"/>
  <c r="D43" i="1" s="1"/>
  <c r="BA35" i="1"/>
  <c r="CG25" i="1"/>
  <c r="CO23" i="1"/>
  <c r="CC23" i="1"/>
  <c r="CA23" i="1"/>
  <c r="BY23" i="1"/>
  <c r="BW23" i="1"/>
  <c r="BQ23" i="1"/>
  <c r="BK23" i="1"/>
  <c r="BG23" i="1"/>
  <c r="AS23" i="1"/>
  <c r="AN23" i="1"/>
  <c r="AF23" i="1"/>
  <c r="AD23" i="1"/>
  <c r="AB23" i="1"/>
  <c r="V23" i="1"/>
  <c r="R23" i="1"/>
  <c r="N23" i="1"/>
  <c r="J23" i="1"/>
  <c r="H23" i="1"/>
  <c r="D23" i="1"/>
  <c r="CA22" i="1"/>
  <c r="BQ22" i="1"/>
  <c r="BE22" i="1"/>
  <c r="AH22" i="1"/>
  <c r="N22" i="1"/>
  <c r="J22" i="1"/>
  <c r="H22" i="1"/>
  <c r="AF21" i="1"/>
  <c r="BY20" i="1"/>
  <c r="BY24" i="1" s="1"/>
  <c r="BY27" i="1" s="1"/>
  <c r="X20" i="1"/>
  <c r="X24" i="1" s="1"/>
  <c r="X27" i="1" s="1"/>
  <c r="CO17" i="1"/>
  <c r="CM17" i="1"/>
  <c r="CG17" i="1"/>
  <c r="CC17" i="1"/>
  <c r="CA17" i="1"/>
  <c r="BW17" i="1"/>
  <c r="BU17" i="1"/>
  <c r="BQ17" i="1"/>
  <c r="BK17" i="1"/>
  <c r="BG17" i="1"/>
  <c r="BE17" i="1"/>
  <c r="BC17" i="1"/>
  <c r="BA17" i="1"/>
  <c r="AY17" i="1"/>
  <c r="AW17" i="1"/>
  <c r="AN17" i="1"/>
  <c r="AJ17" i="1"/>
  <c r="AB17" i="1"/>
  <c r="X17" i="1"/>
  <c r="V17" i="1"/>
  <c r="R17" i="1"/>
  <c r="N17" i="1"/>
  <c r="L17" i="1"/>
  <c r="J17" i="1"/>
  <c r="H17" i="1"/>
  <c r="F17" i="1"/>
  <c r="D17" i="1"/>
  <c r="BY16" i="1"/>
  <c r="X16" i="1"/>
  <c r="BY15" i="1"/>
  <c r="X15" i="1"/>
  <c r="CG14" i="1"/>
  <c r="AN14" i="1"/>
  <c r="AJ14" i="1"/>
  <c r="AJ64" i="1" s="1"/>
  <c r="AB14" i="1"/>
  <c r="AB45" i="1" s="1"/>
  <c r="V14" i="1"/>
  <c r="V69" i="1" s="1"/>
  <c r="R14" i="1"/>
  <c r="R64" i="1" s="1"/>
  <c r="X12" i="1"/>
  <c r="CO11" i="1"/>
  <c r="CM11" i="1"/>
  <c r="CM12" i="1" s="1"/>
  <c r="BC11" i="1"/>
  <c r="BC12" i="1" s="1"/>
  <c r="AY11" i="1"/>
  <c r="AY12" i="1" s="1"/>
  <c r="AW11" i="1"/>
  <c r="AW15" i="1" s="1"/>
  <c r="AF11" i="1"/>
  <c r="AF12" i="1" s="1"/>
  <c r="AB11" i="1"/>
  <c r="AB16" i="1" s="1"/>
  <c r="L11" i="1"/>
  <c r="L12" i="1" s="1"/>
  <c r="F11" i="1"/>
  <c r="F15" i="1" s="1"/>
  <c r="CO10" i="1"/>
  <c r="CO56" i="1" s="1"/>
  <c r="CM10" i="1"/>
  <c r="CI10" i="1"/>
  <c r="CI11" i="1" s="1"/>
  <c r="CI15" i="1" s="1"/>
  <c r="CG10" i="1"/>
  <c r="CG11" i="1" s="1"/>
  <c r="CC10" i="1"/>
  <c r="CC11" i="1" s="1"/>
  <c r="CA10" i="1"/>
  <c r="CA11" i="1" s="1"/>
  <c r="CA12" i="1" s="1"/>
  <c r="BY10" i="1"/>
  <c r="BW10" i="1"/>
  <c r="BW56" i="1" s="1"/>
  <c r="BU10" i="1"/>
  <c r="BU11" i="1" s="1"/>
  <c r="BU16" i="1" s="1"/>
  <c r="BS10" i="1"/>
  <c r="BS56" i="1" s="1"/>
  <c r="BQ10" i="1"/>
  <c r="BQ11" i="1" s="1"/>
  <c r="BQ15" i="1" s="1"/>
  <c r="BM10" i="1"/>
  <c r="BK10" i="1"/>
  <c r="BG10" i="1"/>
  <c r="BG56" i="1" s="1"/>
  <c r="BE10" i="1"/>
  <c r="BE56" i="1" s="1"/>
  <c r="BC10" i="1"/>
  <c r="BC56" i="1" s="1"/>
  <c r="BA10" i="1"/>
  <c r="AY10" i="1"/>
  <c r="AY56" i="1" s="1"/>
  <c r="AW10" i="1"/>
  <c r="AS10" i="1"/>
  <c r="AN10" i="1"/>
  <c r="AJ10" i="1"/>
  <c r="AJ56" i="1" s="1"/>
  <c r="AH10" i="1"/>
  <c r="AH11" i="1" s="1"/>
  <c r="AH20" i="1" s="1"/>
  <c r="AH24" i="1" s="1"/>
  <c r="AH27" i="1" s="1"/>
  <c r="AD10" i="1"/>
  <c r="X10" i="1"/>
  <c r="V10" i="1"/>
  <c r="V56" i="1" s="1"/>
  <c r="R10" i="1"/>
  <c r="R11" i="1" s="1"/>
  <c r="P10" i="1"/>
  <c r="N10" i="1"/>
  <c r="N11" i="1" s="1"/>
  <c r="L10" i="1"/>
  <c r="L56" i="1" s="1"/>
  <c r="J10" i="1"/>
  <c r="J56" i="1" s="1"/>
  <c r="H10" i="1"/>
  <c r="F10" i="1"/>
  <c r="F56" i="1" s="1"/>
  <c r="D10" i="1"/>
  <c r="D11" i="1" s="1"/>
  <c r="D15" i="1" s="1"/>
  <c r="AW5" i="2"/>
  <c r="BA7" i="2"/>
  <c r="BA5" i="2"/>
  <c r="AK7" i="2"/>
  <c r="AK5" i="2"/>
  <c r="AI7" i="2"/>
  <c r="BC7" i="2"/>
  <c r="AO7" i="2"/>
  <c r="AQ7" i="2"/>
  <c r="AS7" i="2"/>
  <c r="AY7" i="2"/>
  <c r="AM7" i="2"/>
  <c r="AM5" i="2"/>
  <c r="BC5" i="2"/>
  <c r="AI5" i="2"/>
  <c r="BK5" i="2"/>
  <c r="AQ5" i="2"/>
  <c r="AU5" i="2"/>
  <c r="BI7" i="2"/>
  <c r="AO5" i="2"/>
  <c r="AW7" i="2"/>
  <c r="BE7" i="2"/>
  <c r="BM7" i="2"/>
  <c r="AS5" i="2"/>
  <c r="BI5" i="2"/>
  <c r="BE5" i="2"/>
  <c r="BK7" i="2"/>
  <c r="AY5" i="2"/>
  <c r="AU7" i="2"/>
  <c r="BM5" i="2"/>
  <c r="J11" i="1" l="1"/>
  <c r="J16" i="1" s="1"/>
  <c r="AW20" i="1"/>
  <c r="AW24" i="1" s="1"/>
  <c r="AW27" i="1" s="1"/>
  <c r="CC43" i="1"/>
  <c r="CM45" i="1"/>
  <c r="N49" i="1"/>
  <c r="BA49" i="1"/>
  <c r="N50" i="1"/>
  <c r="BA50" i="1"/>
  <c r="BG65" i="1"/>
  <c r="AB69" i="1"/>
  <c r="J135" i="1"/>
  <c r="CI48" i="1"/>
  <c r="K135" i="1"/>
  <c r="V11" i="1"/>
  <c r="BE11" i="1"/>
  <c r="BE15" i="1" s="1"/>
  <c r="P39" i="1"/>
  <c r="P103" i="1" s="1"/>
  <c r="F41" i="1"/>
  <c r="F44" i="1" s="1"/>
  <c r="AB44" i="1"/>
  <c r="CI41" i="1"/>
  <c r="CI49" i="1" s="1"/>
  <c r="D45" i="1"/>
  <c r="F48" i="1"/>
  <c r="CM48" i="1"/>
  <c r="CM49" i="1"/>
  <c r="CM101" i="1" s="1"/>
  <c r="V51" i="1"/>
  <c r="V53" i="1" s="1"/>
  <c r="BM65" i="1"/>
  <c r="R135" i="1"/>
  <c r="CI45" i="1"/>
  <c r="D56" i="1"/>
  <c r="BG11" i="1"/>
  <c r="BG16" i="1" s="1"/>
  <c r="CM41" i="1"/>
  <c r="CM44" i="1" s="1"/>
  <c r="AJ45" i="1"/>
  <c r="AH56" i="1"/>
  <c r="I139" i="1"/>
  <c r="BU45" i="1"/>
  <c r="D49" i="1"/>
  <c r="D50" i="1"/>
  <c r="BA65" i="1"/>
  <c r="K140" i="1"/>
  <c r="D41" i="1"/>
  <c r="D44" i="1" s="1"/>
  <c r="BQ56" i="1"/>
  <c r="BA56" i="1"/>
  <c r="BS11" i="1"/>
  <c r="BQ41" i="1"/>
  <c r="BQ44" i="1" s="1"/>
  <c r="BS43" i="1"/>
  <c r="AJ48" i="1"/>
  <c r="BQ48" i="1"/>
  <c r="BM49" i="1"/>
  <c r="BM105" i="1" s="1"/>
  <c r="AF51" i="1"/>
  <c r="AF57" i="1" s="1"/>
  <c r="CI65" i="1"/>
  <c r="L140" i="1"/>
  <c r="AJ11" i="1"/>
  <c r="AJ16" i="1" s="1"/>
  <c r="AW56" i="1"/>
  <c r="N41" i="1"/>
  <c r="N44" i="1" s="1"/>
  <c r="AJ41" i="1"/>
  <c r="AJ44" i="1" s="1"/>
  <c r="BW43" i="1"/>
  <c r="N45" i="1"/>
  <c r="BA45" i="1"/>
  <c r="AJ49" i="1"/>
  <c r="AJ50" i="1"/>
  <c r="CC51" i="1"/>
  <c r="AF53" i="1"/>
  <c r="M136" i="1"/>
  <c r="H142" i="1"/>
  <c r="L133" i="1"/>
  <c r="N136" i="1"/>
  <c r="I142" i="1"/>
  <c r="BS51" i="1"/>
  <c r="BS53" i="1" s="1"/>
  <c r="AS51" i="1"/>
  <c r="AS53" i="1" s="1"/>
  <c r="AJ12" i="1"/>
  <c r="BK72" i="1"/>
  <c r="O133" i="1"/>
  <c r="P137" i="1"/>
  <c r="L143" i="1"/>
  <c r="AH15" i="1"/>
  <c r="BG87" i="1"/>
  <c r="P133" i="1"/>
  <c r="Q137" i="1"/>
  <c r="M143" i="1"/>
  <c r="D51" i="1"/>
  <c r="D53" i="1" s="1"/>
  <c r="O134" i="1"/>
  <c r="H139" i="1"/>
  <c r="V102" i="1"/>
  <c r="V104" i="1"/>
  <c r="V98" i="1"/>
  <c r="V87" i="1"/>
  <c r="V105" i="1"/>
  <c r="V106" i="1"/>
  <c r="V99" i="1"/>
  <c r="V95" i="1"/>
  <c r="V89" i="1"/>
  <c r="V107" i="1"/>
  <c r="V93" i="1"/>
  <c r="V103" i="1"/>
  <c r="V97" i="1"/>
  <c r="V108" i="1"/>
  <c r="V101" i="1"/>
  <c r="V91" i="1"/>
  <c r="V88" i="1"/>
  <c r="V92" i="1"/>
  <c r="V94" i="1"/>
  <c r="V96" i="1"/>
  <c r="V90" i="1"/>
  <c r="V100" i="1"/>
  <c r="BK51" i="1"/>
  <c r="AW12" i="1"/>
  <c r="D16" i="1"/>
  <c r="AY20" i="1"/>
  <c r="AY24" i="1" s="1"/>
  <c r="H51" i="1"/>
  <c r="H53" i="1" s="1"/>
  <c r="AF54" i="1"/>
  <c r="F16" i="1"/>
  <c r="J51" i="1"/>
  <c r="J53" i="1" s="1"/>
  <c r="BK53" i="1"/>
  <c r="CC53" i="1"/>
  <c r="I134" i="1"/>
  <c r="L135" i="1"/>
  <c r="O136" i="1"/>
  <c r="F138" i="1"/>
  <c r="J139" i="1"/>
  <c r="M140" i="1"/>
  <c r="J142" i="1"/>
  <c r="F144" i="1"/>
  <c r="BG12" i="1"/>
  <c r="CM20" i="1"/>
  <c r="CM24" i="1" s="1"/>
  <c r="CM27" i="1" s="1"/>
  <c r="BK44" i="1"/>
  <c r="L51" i="1"/>
  <c r="L57" i="1" s="1"/>
  <c r="L54" i="1" s="1"/>
  <c r="J134" i="1"/>
  <c r="M135" i="1"/>
  <c r="P136" i="1"/>
  <c r="K138" i="1"/>
  <c r="N139" i="1"/>
  <c r="F141" i="1"/>
  <c r="K142" i="1"/>
  <c r="H144" i="1"/>
  <c r="CG15" i="1"/>
  <c r="AF16" i="1"/>
  <c r="F20" i="1"/>
  <c r="F24" i="1" s="1"/>
  <c r="F27" i="1" s="1"/>
  <c r="L103" i="1"/>
  <c r="L97" i="1"/>
  <c r="L93" i="1"/>
  <c r="L105" i="1"/>
  <c r="L101" i="1"/>
  <c r="L91" i="1"/>
  <c r="L88" i="1"/>
  <c r="L107" i="1"/>
  <c r="L99" i="1"/>
  <c r="L96" i="1"/>
  <c r="L90" i="1"/>
  <c r="L94" i="1"/>
  <c r="L104" i="1"/>
  <c r="L92" i="1"/>
  <c r="L98" i="1"/>
  <c r="L108" i="1"/>
  <c r="L102" i="1"/>
  <c r="L100" i="1"/>
  <c r="L87" i="1"/>
  <c r="L106" i="1"/>
  <c r="L95" i="1"/>
  <c r="L89" i="1"/>
  <c r="H133" i="1"/>
  <c r="K134" i="1"/>
  <c r="N135" i="1"/>
  <c r="I137" i="1"/>
  <c r="L138" i="1"/>
  <c r="O139" i="1"/>
  <c r="H141" i="1"/>
  <c r="O142" i="1"/>
  <c r="I144" i="1"/>
  <c r="CI12" i="1"/>
  <c r="AW16" i="1"/>
  <c r="CI44" i="1"/>
  <c r="J137" i="1"/>
  <c r="M138" i="1"/>
  <c r="P139" i="1"/>
  <c r="L141" i="1"/>
  <c r="T142" i="1"/>
  <c r="M144" i="1"/>
  <c r="AD51" i="1"/>
  <c r="AD53" i="1" s="1"/>
  <c r="F12" i="1"/>
  <c r="BQ16" i="1"/>
  <c r="AF20" i="1"/>
  <c r="AF24" i="1" s="1"/>
  <c r="AF27" i="1" s="1"/>
  <c r="BE51" i="1"/>
  <c r="BE53" i="1" s="1"/>
  <c r="CO51" i="1"/>
  <c r="CO53" i="1" s="1"/>
  <c r="M133" i="1"/>
  <c r="P134" i="1"/>
  <c r="H136" i="1"/>
  <c r="K137" i="1"/>
  <c r="N138" i="1"/>
  <c r="I140" i="1"/>
  <c r="M141" i="1"/>
  <c r="J143" i="1"/>
  <c r="N144" i="1"/>
  <c r="AB51" i="1"/>
  <c r="AB53" i="1" s="1"/>
  <c r="BG51" i="1"/>
  <c r="BG57" i="1" s="1"/>
  <c r="BG54" i="1" s="1"/>
  <c r="N133" i="1"/>
  <c r="Q134" i="1"/>
  <c r="I136" i="1"/>
  <c r="L137" i="1"/>
  <c r="O138" i="1"/>
  <c r="J140" i="1"/>
  <c r="N141" i="1"/>
  <c r="K143" i="1"/>
  <c r="AO29" i="2"/>
  <c r="AO32" i="2" s="1"/>
  <c r="BC22" i="2"/>
  <c r="BK16" i="2"/>
  <c r="AQ29" i="2"/>
  <c r="AQ32" i="2" s="1"/>
  <c r="AY29" i="2"/>
  <c r="AY32" i="2" s="1"/>
  <c r="BE29" i="2"/>
  <c r="BE32" i="2" s="1"/>
  <c r="BD91" i="1"/>
  <c r="BR100" i="1"/>
  <c r="AA88" i="1"/>
  <c r="BZ91" i="1"/>
  <c r="BD101" i="1"/>
  <c r="BK88" i="1"/>
  <c r="AD88" i="1"/>
  <c r="BC92" i="1"/>
  <c r="CN104" i="1"/>
  <c r="AS104" i="1"/>
  <c r="BC94" i="1"/>
  <c r="BG89" i="1"/>
  <c r="CK102" i="1"/>
  <c r="AQ89" i="1"/>
  <c r="CE94" i="1"/>
  <c r="BC98" i="1"/>
  <c r="CH87" i="1"/>
  <c r="W94" i="1"/>
  <c r="AG89" i="1"/>
  <c r="K87" i="1"/>
  <c r="CF89" i="1"/>
  <c r="BM15" i="2"/>
  <c r="BM16" i="2"/>
  <c r="BM12" i="2"/>
  <c r="BM25" i="2"/>
  <c r="BM29" i="2" s="1"/>
  <c r="BM32" i="2" s="1"/>
  <c r="BM22" i="2"/>
  <c r="AS25" i="2"/>
  <c r="AS29" i="2" s="1"/>
  <c r="AS32" i="2" s="1"/>
  <c r="BK25" i="2"/>
  <c r="BK29" i="2" s="1"/>
  <c r="BK32" i="2" s="1"/>
  <c r="AK15" i="2"/>
  <c r="BC15" i="2"/>
  <c r="AO16" i="2"/>
  <c r="AS12" i="2"/>
  <c r="AK16" i="2"/>
  <c r="BC16" i="2"/>
  <c r="AK12" i="2"/>
  <c r="Y87" i="1"/>
  <c r="AQ88" i="1"/>
  <c r="CJ89" i="1"/>
  <c r="BP92" i="1"/>
  <c r="Y96" i="1"/>
  <c r="O108" i="1"/>
  <c r="AS90" i="1"/>
  <c r="AE87" i="1"/>
  <c r="AU88" i="1"/>
  <c r="O90" i="1"/>
  <c r="K93" i="1"/>
  <c r="BC97" i="1"/>
  <c r="AH93" i="1"/>
  <c r="AB90" i="1"/>
  <c r="AO87" i="1"/>
  <c r="I89" i="1"/>
  <c r="CE90" i="1"/>
  <c r="N94" i="1"/>
  <c r="CB97" i="1"/>
  <c r="CB87" i="1"/>
  <c r="Z89" i="1"/>
  <c r="K91" i="1"/>
  <c r="AT94" i="1"/>
  <c r="AY57" i="1"/>
  <c r="AY54" i="1" s="1"/>
  <c r="AY53" i="1"/>
  <c r="CI101" i="1"/>
  <c r="CI91" i="1"/>
  <c r="CI105" i="1"/>
  <c r="BK11" i="1"/>
  <c r="BK56" i="1"/>
  <c r="BK57" i="1" s="1"/>
  <c r="BK54" i="1" s="1"/>
  <c r="CO15" i="1"/>
  <c r="CO12" i="1"/>
  <c r="CO20" i="1"/>
  <c r="CO24" i="1" s="1"/>
  <c r="CO27" i="1" s="1"/>
  <c r="CG64" i="1"/>
  <c r="X65" i="1"/>
  <c r="CA43" i="1"/>
  <c r="CA65" i="1"/>
  <c r="BG53" i="1"/>
  <c r="AW43" i="1"/>
  <c r="AJ51" i="1"/>
  <c r="AJ57" i="1" s="1"/>
  <c r="AJ54" i="1" s="1"/>
  <c r="BC107" i="1"/>
  <c r="BC105" i="1"/>
  <c r="BC102" i="1"/>
  <c r="BC100" i="1"/>
  <c r="BC108" i="1"/>
  <c r="BC104" i="1"/>
  <c r="BC106" i="1"/>
  <c r="BC99" i="1"/>
  <c r="BC96" i="1"/>
  <c r="BC95" i="1"/>
  <c r="BC101" i="1"/>
  <c r="BC93" i="1"/>
  <c r="BC91" i="1"/>
  <c r="BC103" i="1"/>
  <c r="BC90" i="1"/>
  <c r="BC88" i="1"/>
  <c r="BC43" i="1"/>
  <c r="BC87" i="1"/>
  <c r="BC65" i="1"/>
  <c r="BC89" i="1"/>
  <c r="CA45" i="1"/>
  <c r="N51" i="1"/>
  <c r="N53" i="1" s="1"/>
  <c r="AH73" i="1"/>
  <c r="O99" i="1"/>
  <c r="BF102" i="1"/>
  <c r="N12" i="1"/>
  <c r="N16" i="1"/>
  <c r="CG69" i="1"/>
  <c r="CG45" i="1"/>
  <c r="BS72" i="1"/>
  <c r="BS87" i="1"/>
  <c r="P11" i="1"/>
  <c r="P56" i="1"/>
  <c r="AS56" i="1"/>
  <c r="AS57" i="1" s="1"/>
  <c r="AS54" i="1" s="1"/>
  <c r="AS11" i="1"/>
  <c r="BM11" i="1"/>
  <c r="BM56" i="1"/>
  <c r="CG20" i="1"/>
  <c r="CG24" i="1" s="1"/>
  <c r="CG27" i="1" s="1"/>
  <c r="CG12" i="1"/>
  <c r="V20" i="1"/>
  <c r="V24" i="1" s="1"/>
  <c r="V27" i="1" s="1"/>
  <c r="V12" i="1"/>
  <c r="D105" i="1"/>
  <c r="D108" i="1"/>
  <c r="D107" i="1"/>
  <c r="D100" i="1"/>
  <c r="D98" i="1"/>
  <c r="D96" i="1"/>
  <c r="D102" i="1"/>
  <c r="D106" i="1"/>
  <c r="D104" i="1"/>
  <c r="D99" i="1"/>
  <c r="D103" i="1"/>
  <c r="D95" i="1"/>
  <c r="D93" i="1"/>
  <c r="D91" i="1"/>
  <c r="D89" i="1"/>
  <c r="D87" i="1"/>
  <c r="D101" i="1"/>
  <c r="D97" i="1"/>
  <c r="D94" i="1"/>
  <c r="D90" i="1"/>
  <c r="D88" i="1"/>
  <c r="D92" i="1"/>
  <c r="BW39" i="1"/>
  <c r="BW73" i="1" s="1"/>
  <c r="CG65" i="1"/>
  <c r="CG41" i="1"/>
  <c r="CG44" i="1" s="1"/>
  <c r="CG56" i="1"/>
  <c r="CG50" i="1"/>
  <c r="CG48" i="1"/>
  <c r="CG39" i="1"/>
  <c r="AN49" i="1"/>
  <c r="AN105" i="1" s="1"/>
  <c r="CA56" i="1"/>
  <c r="BG91" i="1"/>
  <c r="F43" i="1"/>
  <c r="AH50" i="1"/>
  <c r="AH51" i="1" s="1"/>
  <c r="AH53" i="1" s="1"/>
  <c r="N15" i="1"/>
  <c r="AW41" i="1"/>
  <c r="AW44" i="1" s="1"/>
  <c r="BS15" i="1"/>
  <c r="BS16" i="1"/>
  <c r="L20" i="1"/>
  <c r="L24" i="1" s="1"/>
  <c r="L27" i="1" s="1"/>
  <c r="P72" i="1"/>
  <c r="H56" i="1"/>
  <c r="H57" i="1" s="1"/>
  <c r="H54" i="1" s="1"/>
  <c r="H11" i="1"/>
  <c r="AD56" i="1"/>
  <c r="AD11" i="1"/>
  <c r="D20" i="1"/>
  <c r="D24" i="1" s="1"/>
  <c r="D12" i="1"/>
  <c r="BW11" i="1"/>
  <c r="V15" i="1"/>
  <c r="N20" i="1"/>
  <c r="N24" i="1" s="1"/>
  <c r="L43" i="1"/>
  <c r="L65" i="1"/>
  <c r="AH108" i="1"/>
  <c r="AH106" i="1"/>
  <c r="AH104" i="1"/>
  <c r="AH105" i="1"/>
  <c r="AH99" i="1"/>
  <c r="AH103" i="1"/>
  <c r="AH102" i="1"/>
  <c r="AH97" i="1"/>
  <c r="AH94" i="1"/>
  <c r="AH92" i="1"/>
  <c r="AH90" i="1"/>
  <c r="AH88" i="1"/>
  <c r="AH100" i="1"/>
  <c r="AH101" i="1"/>
  <c r="AH98" i="1"/>
  <c r="AH95" i="1"/>
  <c r="AH96" i="1"/>
  <c r="AH89" i="1"/>
  <c r="AH107" i="1"/>
  <c r="AH87" i="1"/>
  <c r="AH91" i="1"/>
  <c r="BE108" i="1"/>
  <c r="BE106" i="1"/>
  <c r="BE107" i="1"/>
  <c r="BE104" i="1"/>
  <c r="BE99" i="1"/>
  <c r="BE97" i="1"/>
  <c r="BE95" i="1"/>
  <c r="BE101" i="1"/>
  <c r="BE100" i="1"/>
  <c r="BE105" i="1"/>
  <c r="BE98" i="1"/>
  <c r="BE65" i="1"/>
  <c r="BE94" i="1"/>
  <c r="BE92" i="1"/>
  <c r="BE90" i="1"/>
  <c r="BE88" i="1"/>
  <c r="BE103" i="1"/>
  <c r="BE102" i="1"/>
  <c r="BE93" i="1"/>
  <c r="BE96" i="1"/>
  <c r="BE87" i="1"/>
  <c r="BE89" i="1"/>
  <c r="BE91" i="1"/>
  <c r="CM98" i="1"/>
  <c r="CM102" i="1"/>
  <c r="CM99" i="1"/>
  <c r="CM104" i="1"/>
  <c r="R72" i="1"/>
  <c r="R41" i="1"/>
  <c r="R44" i="1" s="1"/>
  <c r="R50" i="1"/>
  <c r="R49" i="1"/>
  <c r="BU65" i="1"/>
  <c r="BU49" i="1"/>
  <c r="BU48" i="1"/>
  <c r="BU93" i="1" s="1"/>
  <c r="BU41" i="1"/>
  <c r="BU44" i="1" s="1"/>
  <c r="V43" i="1"/>
  <c r="BE43" i="1"/>
  <c r="P51" i="1"/>
  <c r="P53" i="1" s="1"/>
  <c r="D65" i="1"/>
  <c r="D64" i="1"/>
  <c r="F65" i="1"/>
  <c r="AP87" i="1"/>
  <c r="G88" i="1"/>
  <c r="BT88" i="1"/>
  <c r="AI90" i="1"/>
  <c r="S91" i="1"/>
  <c r="S92" i="1"/>
  <c r="AQ93" i="1"/>
  <c r="CN94" i="1"/>
  <c r="AI99" i="1"/>
  <c r="CC16" i="1"/>
  <c r="CC20" i="1"/>
  <c r="CC24" i="1" s="1"/>
  <c r="CC27" i="1" s="1"/>
  <c r="CC12" i="1"/>
  <c r="CA41" i="1"/>
  <c r="CA44" i="1" s="1"/>
  <c r="CO107" i="1"/>
  <c r="CO105" i="1"/>
  <c r="CO102" i="1"/>
  <c r="CO104" i="1"/>
  <c r="CO108" i="1"/>
  <c r="CO106" i="1"/>
  <c r="CO99" i="1"/>
  <c r="CO97" i="1"/>
  <c r="CO101" i="1"/>
  <c r="CO103" i="1"/>
  <c r="CO98" i="1"/>
  <c r="CO94" i="1"/>
  <c r="CO92" i="1"/>
  <c r="CO90" i="1"/>
  <c r="CO88" i="1"/>
  <c r="CO95" i="1"/>
  <c r="CO96" i="1"/>
  <c r="CO91" i="1"/>
  <c r="CO87" i="1"/>
  <c r="CO93" i="1"/>
  <c r="CO89" i="1"/>
  <c r="AW50" i="1"/>
  <c r="AW45" i="1"/>
  <c r="AW49" i="1"/>
  <c r="AW89" i="1" s="1"/>
  <c r="CA48" i="1"/>
  <c r="CA51" i="1" s="1"/>
  <c r="CA53" i="1" s="1"/>
  <c r="R16" i="1"/>
  <c r="R20" i="1"/>
  <c r="R24" i="1" s="1"/>
  <c r="R27" i="1" s="1"/>
  <c r="CG43" i="1"/>
  <c r="CO57" i="1"/>
  <c r="CO54" i="1" s="1"/>
  <c r="BU15" i="1"/>
  <c r="BU12" i="1"/>
  <c r="BU20" i="1"/>
  <c r="BU24" i="1" s="1"/>
  <c r="BU27" i="1" s="1"/>
  <c r="R12" i="1"/>
  <c r="BC20" i="1"/>
  <c r="BC24" i="1" s="1"/>
  <c r="J108" i="1"/>
  <c r="J106" i="1"/>
  <c r="J105" i="1"/>
  <c r="J107" i="1"/>
  <c r="J99" i="1"/>
  <c r="J101" i="1"/>
  <c r="J104" i="1"/>
  <c r="J96" i="1"/>
  <c r="J94" i="1"/>
  <c r="J92" i="1"/>
  <c r="J90" i="1"/>
  <c r="J88" i="1"/>
  <c r="J98" i="1"/>
  <c r="J97" i="1"/>
  <c r="J65" i="1"/>
  <c r="J100" i="1"/>
  <c r="J91" i="1"/>
  <c r="J103" i="1"/>
  <c r="J102" i="1"/>
  <c r="J95" i="1"/>
  <c r="J43" i="1"/>
  <c r="J93" i="1"/>
  <c r="J87" i="1"/>
  <c r="J89" i="1"/>
  <c r="AF107" i="1"/>
  <c r="AF105" i="1"/>
  <c r="AF108" i="1"/>
  <c r="AF102" i="1"/>
  <c r="AF106" i="1"/>
  <c r="AF104" i="1"/>
  <c r="AF100" i="1"/>
  <c r="AF99" i="1"/>
  <c r="AF97" i="1"/>
  <c r="AF94" i="1"/>
  <c r="AF92" i="1"/>
  <c r="AF90" i="1"/>
  <c r="AF88" i="1"/>
  <c r="AF96" i="1"/>
  <c r="AF103" i="1"/>
  <c r="AF87" i="1"/>
  <c r="AF98" i="1"/>
  <c r="AF93" i="1"/>
  <c r="AF91" i="1"/>
  <c r="AF43" i="1"/>
  <c r="AF101" i="1"/>
  <c r="AF89" i="1"/>
  <c r="AF95" i="1"/>
  <c r="CG99" i="1"/>
  <c r="CG97" i="1"/>
  <c r="CG106" i="1"/>
  <c r="CG104" i="1"/>
  <c r="CG93" i="1"/>
  <c r="CG96" i="1"/>
  <c r="CG89" i="1"/>
  <c r="BQ73" i="1"/>
  <c r="BQ12" i="1"/>
  <c r="AB64" i="1"/>
  <c r="AB15" i="1"/>
  <c r="AB43" i="1"/>
  <c r="CI16" i="1"/>
  <c r="BY12" i="1"/>
  <c r="BY56" i="1"/>
  <c r="CA16" i="1"/>
  <c r="CA20" i="1"/>
  <c r="CA24" i="1" s="1"/>
  <c r="CA27" i="1" s="1"/>
  <c r="CA15" i="1"/>
  <c r="AB12" i="1"/>
  <c r="BS12" i="1"/>
  <c r="AJ69" i="1"/>
  <c r="AJ15" i="1"/>
  <c r="L16" i="1"/>
  <c r="BC16" i="1"/>
  <c r="CO16" i="1"/>
  <c r="BQ20" i="1"/>
  <c r="BQ24" i="1" s="1"/>
  <c r="BQ27" i="1" s="1"/>
  <c r="N92" i="1"/>
  <c r="CA39" i="1"/>
  <c r="CA107" i="1" s="1"/>
  <c r="X50" i="1"/>
  <c r="X49" i="1"/>
  <c r="X87" i="1" s="1"/>
  <c r="X45" i="1"/>
  <c r="BW48" i="1"/>
  <c r="BW101" i="1" s="1"/>
  <c r="BW45" i="1"/>
  <c r="X43" i="1"/>
  <c r="R48" i="1"/>
  <c r="R107" i="1" s="1"/>
  <c r="BC51" i="1"/>
  <c r="BC53" i="1" s="1"/>
  <c r="N56" i="1"/>
  <c r="BQ72" i="1"/>
  <c r="BS74" i="1"/>
  <c r="CJ108" i="1"/>
  <c r="CB108" i="1"/>
  <c r="BT108" i="1"/>
  <c r="AQ108" i="1"/>
  <c r="AI108" i="1"/>
  <c r="AA108" i="1"/>
  <c r="S108" i="1"/>
  <c r="K108" i="1"/>
  <c r="CN107" i="1"/>
  <c r="CF107" i="1"/>
  <c r="BX107" i="1"/>
  <c r="BP107" i="1"/>
  <c r="AU107" i="1"/>
  <c r="AM107" i="1"/>
  <c r="AE107" i="1"/>
  <c r="W107" i="1"/>
  <c r="O107" i="1"/>
  <c r="G107" i="1"/>
  <c r="CJ106" i="1"/>
  <c r="CB106" i="1"/>
  <c r="BT106" i="1"/>
  <c r="AQ106" i="1"/>
  <c r="AI106" i="1"/>
  <c r="AA106" i="1"/>
  <c r="S106" i="1"/>
  <c r="K106" i="1"/>
  <c r="CN105" i="1"/>
  <c r="CF105" i="1"/>
  <c r="BX105" i="1"/>
  <c r="BP105" i="1"/>
  <c r="AU105" i="1"/>
  <c r="AM105" i="1"/>
  <c r="AE105" i="1"/>
  <c r="W105" i="1"/>
  <c r="BF108" i="1"/>
  <c r="AX108" i="1"/>
  <c r="AP108" i="1"/>
  <c r="Z108" i="1"/>
  <c r="CE107" i="1"/>
  <c r="BB107" i="1"/>
  <c r="AT107" i="1"/>
  <c r="AL107" i="1"/>
  <c r="BF106" i="1"/>
  <c r="AX106" i="1"/>
  <c r="AP106" i="1"/>
  <c r="Z106" i="1"/>
  <c r="CE105" i="1"/>
  <c r="BB105" i="1"/>
  <c r="AT105" i="1"/>
  <c r="AL105" i="1"/>
  <c r="BF104" i="1"/>
  <c r="AX104" i="1"/>
  <c r="AP104" i="1"/>
  <c r="Z104" i="1"/>
  <c r="CK108" i="1"/>
  <c r="AZ108" i="1"/>
  <c r="AR108" i="1"/>
  <c r="T108" i="1"/>
  <c r="BD107" i="1"/>
  <c r="AV107" i="1"/>
  <c r="CK106" i="1"/>
  <c r="AZ106" i="1"/>
  <c r="AR106" i="1"/>
  <c r="T106" i="1"/>
  <c r="BD105" i="1"/>
  <c r="AV105" i="1"/>
  <c r="CK104" i="1"/>
  <c r="CL108" i="1"/>
  <c r="BX108" i="1"/>
  <c r="AT108" i="1"/>
  <c r="U108" i="1"/>
  <c r="G108" i="1"/>
  <c r="CD107" i="1"/>
  <c r="AZ107" i="1"/>
  <c r="AO107" i="1"/>
  <c r="AA107" i="1"/>
  <c r="M107" i="1"/>
  <c r="BL106" i="1"/>
  <c r="AU106" i="1"/>
  <c r="AG106" i="1"/>
  <c r="CH105" i="1"/>
  <c r="BT105" i="1"/>
  <c r="AP105" i="1"/>
  <c r="Q105" i="1"/>
  <c r="CF104" i="1"/>
  <c r="BL104" i="1"/>
  <c r="AZ104" i="1"/>
  <c r="AQ104" i="1"/>
  <c r="AG104" i="1"/>
  <c r="CK103" i="1"/>
  <c r="AZ103" i="1"/>
  <c r="AR103" i="1"/>
  <c r="T103" i="1"/>
  <c r="BD102" i="1"/>
  <c r="AV102" i="1"/>
  <c r="CK101" i="1"/>
  <c r="AZ101" i="1"/>
  <c r="AR101" i="1"/>
  <c r="CH108" i="1"/>
  <c r="BD108" i="1"/>
  <c r="AE108" i="1"/>
  <c r="Q108" i="1"/>
  <c r="BR107" i="1"/>
  <c r="AK107" i="1"/>
  <c r="Z107" i="1"/>
  <c r="CL106" i="1"/>
  <c r="BX106" i="1"/>
  <c r="AT106" i="1"/>
  <c r="U106" i="1"/>
  <c r="G106" i="1"/>
  <c r="CD105" i="1"/>
  <c r="AZ105" i="1"/>
  <c r="AO105" i="1"/>
  <c r="AA105" i="1"/>
  <c r="O105" i="1"/>
  <c r="CE104" i="1"/>
  <c r="BV104" i="1"/>
  <c r="AO104" i="1"/>
  <c r="W104" i="1"/>
  <c r="O104" i="1"/>
  <c r="G104" i="1"/>
  <c r="CJ103" i="1"/>
  <c r="CB103" i="1"/>
  <c r="BT103" i="1"/>
  <c r="AQ103" i="1"/>
  <c r="AI103" i="1"/>
  <c r="AA103" i="1"/>
  <c r="S103" i="1"/>
  <c r="K103" i="1"/>
  <c r="CN102" i="1"/>
  <c r="CF102" i="1"/>
  <c r="BX102" i="1"/>
  <c r="BP102" i="1"/>
  <c r="AU102" i="1"/>
  <c r="AM102" i="1"/>
  <c r="AE102" i="1"/>
  <c r="W102" i="1"/>
  <c r="O102" i="1"/>
  <c r="G102" i="1"/>
  <c r="CJ101" i="1"/>
  <c r="CB101" i="1"/>
  <c r="BT101" i="1"/>
  <c r="AQ101" i="1"/>
  <c r="AI101" i="1"/>
  <c r="AA101" i="1"/>
  <c r="S101" i="1"/>
  <c r="K101" i="1"/>
  <c r="CN100" i="1"/>
  <c r="CF100" i="1"/>
  <c r="BX100" i="1"/>
  <c r="BP100" i="1"/>
  <c r="AU100" i="1"/>
  <c r="AM100" i="1"/>
  <c r="AE100" i="1"/>
  <c r="W100" i="1"/>
  <c r="BV108" i="1"/>
  <c r="AO108" i="1"/>
  <c r="CB107" i="1"/>
  <c r="BL107" i="1"/>
  <c r="AX107" i="1"/>
  <c r="Y107" i="1"/>
  <c r="K107" i="1"/>
  <c r="CH106" i="1"/>
  <c r="BD106" i="1"/>
  <c r="AE106" i="1"/>
  <c r="Q106" i="1"/>
  <c r="BR105" i="1"/>
  <c r="AK105" i="1"/>
  <c r="Z105" i="1"/>
  <c r="CD108" i="1"/>
  <c r="BP108" i="1"/>
  <c r="AL108" i="1"/>
  <c r="M108" i="1"/>
  <c r="CJ107" i="1"/>
  <c r="BV107" i="1"/>
  <c r="BF107" i="1"/>
  <c r="AR107" i="1"/>
  <c r="AG107" i="1"/>
  <c r="S107" i="1"/>
  <c r="CE106" i="1"/>
  <c r="AM106" i="1"/>
  <c r="Y106" i="1"/>
  <c r="CK105" i="1"/>
  <c r="BZ105" i="1"/>
  <c r="T105" i="1"/>
  <c r="CJ104" i="1"/>
  <c r="BZ104" i="1"/>
  <c r="AT104" i="1"/>
  <c r="AK104" i="1"/>
  <c r="S104" i="1"/>
  <c r="K104" i="1"/>
  <c r="CN103" i="1"/>
  <c r="CN108" i="1"/>
  <c r="BZ108" i="1"/>
  <c r="AV108" i="1"/>
  <c r="AK108" i="1"/>
  <c r="W108" i="1"/>
  <c r="I108" i="1"/>
  <c r="AQ107" i="1"/>
  <c r="AC107" i="1"/>
  <c r="CD106" i="1"/>
  <c r="BP106" i="1"/>
  <c r="AL106" i="1"/>
  <c r="M106" i="1"/>
  <c r="CJ105" i="1"/>
  <c r="BV105" i="1"/>
  <c r="BF105" i="1"/>
  <c r="AR105" i="1"/>
  <c r="AG105" i="1"/>
  <c r="S105" i="1"/>
  <c r="I105" i="1"/>
  <c r="CH104" i="1"/>
  <c r="BP104" i="1"/>
  <c r="BB104" i="1"/>
  <c r="AC108" i="1"/>
  <c r="CH107" i="1"/>
  <c r="AC106" i="1"/>
  <c r="CB105" i="1"/>
  <c r="AQ105" i="1"/>
  <c r="AA104" i="1"/>
  <c r="M104" i="1"/>
  <c r="CL103" i="1"/>
  <c r="BZ103" i="1"/>
  <c r="BP103" i="1"/>
  <c r="AO103" i="1"/>
  <c r="AE103" i="1"/>
  <c r="U103" i="1"/>
  <c r="I103" i="1"/>
  <c r="CJ102" i="1"/>
  <c r="BZ102" i="1"/>
  <c r="BL102" i="1"/>
  <c r="AO102" i="1"/>
  <c r="AC102" i="1"/>
  <c r="S102" i="1"/>
  <c r="I102" i="1"/>
  <c r="CH101" i="1"/>
  <c r="BX101" i="1"/>
  <c r="BL101" i="1"/>
  <c r="AM101" i="1"/>
  <c r="U101" i="1"/>
  <c r="CD100" i="1"/>
  <c r="AX100" i="1"/>
  <c r="AO100" i="1"/>
  <c r="BF99" i="1"/>
  <c r="AX99" i="1"/>
  <c r="AP99" i="1"/>
  <c r="Z99" i="1"/>
  <c r="CE98" i="1"/>
  <c r="BB98" i="1"/>
  <c r="AT98" i="1"/>
  <c r="AL98" i="1"/>
  <c r="BF97" i="1"/>
  <c r="AX97" i="1"/>
  <c r="AP97" i="1"/>
  <c r="BL108" i="1"/>
  <c r="Y108" i="1"/>
  <c r="AP107" i="1"/>
  <c r="I107" i="1"/>
  <c r="W106" i="1"/>
  <c r="K105" i="1"/>
  <c r="CB104" i="1"/>
  <c r="BD104" i="1"/>
  <c r="AM104" i="1"/>
  <c r="Y104" i="1"/>
  <c r="AX103" i="1"/>
  <c r="AX102" i="1"/>
  <c r="AL102" i="1"/>
  <c r="BF101" i="1"/>
  <c r="AV101" i="1"/>
  <c r="AL101" i="1"/>
  <c r="AC101" i="1"/>
  <c r="T101" i="1"/>
  <c r="CL100" i="1"/>
  <c r="BT100" i="1"/>
  <c r="BF100" i="1"/>
  <c r="U100" i="1"/>
  <c r="M100" i="1"/>
  <c r="CH99" i="1"/>
  <c r="BZ99" i="1"/>
  <c r="BR99" i="1"/>
  <c r="AO99" i="1"/>
  <c r="AG99" i="1"/>
  <c r="Y99" i="1"/>
  <c r="Q99" i="1"/>
  <c r="I99" i="1"/>
  <c r="CL98" i="1"/>
  <c r="CD98" i="1"/>
  <c r="BV98" i="1"/>
  <c r="BL98" i="1"/>
  <c r="AK98" i="1"/>
  <c r="AC98" i="1"/>
  <c r="U98" i="1"/>
  <c r="M98" i="1"/>
  <c r="CH97" i="1"/>
  <c r="BZ97" i="1"/>
  <c r="BR97" i="1"/>
  <c r="AO97" i="1"/>
  <c r="AG97" i="1"/>
  <c r="Y97" i="1"/>
  <c r="Q97" i="1"/>
  <c r="I97" i="1"/>
  <c r="CL96" i="1"/>
  <c r="CD96" i="1"/>
  <c r="BV96" i="1"/>
  <c r="BL96" i="1"/>
  <c r="AK96" i="1"/>
  <c r="AC96" i="1"/>
  <c r="U96" i="1"/>
  <c r="M96" i="1"/>
  <c r="CH95" i="1"/>
  <c r="BZ95" i="1"/>
  <c r="BR95" i="1"/>
  <c r="AO95" i="1"/>
  <c r="AG95" i="1"/>
  <c r="BB108" i="1"/>
  <c r="BZ107" i="1"/>
  <c r="AI107" i="1"/>
  <c r="CN106" i="1"/>
  <c r="BB106" i="1"/>
  <c r="AI105" i="1"/>
  <c r="G105" i="1"/>
  <c r="BX104" i="1"/>
  <c r="AL104" i="1"/>
  <c r="CH103" i="1"/>
  <c r="BX103" i="1"/>
  <c r="BL103" i="1"/>
  <c r="AM103" i="1"/>
  <c r="AC103" i="1"/>
  <c r="Q103" i="1"/>
  <c r="G103" i="1"/>
  <c r="CH102" i="1"/>
  <c r="BV102" i="1"/>
  <c r="AK102" i="1"/>
  <c r="AA102" i="1"/>
  <c r="Q102" i="1"/>
  <c r="CF101" i="1"/>
  <c r="BV101" i="1"/>
  <c r="AU101" i="1"/>
  <c r="AK101" i="1"/>
  <c r="I101" i="1"/>
  <c r="CK100" i="1"/>
  <c r="CB100" i="1"/>
  <c r="AV100" i="1"/>
  <c r="AL100" i="1"/>
  <c r="AC100" i="1"/>
  <c r="T100" i="1"/>
  <c r="BD99" i="1"/>
  <c r="AV99" i="1"/>
  <c r="CK98" i="1"/>
  <c r="AZ98" i="1"/>
  <c r="AR98" i="1"/>
  <c r="T98" i="1"/>
  <c r="BD97" i="1"/>
  <c r="AV97" i="1"/>
  <c r="CK96" i="1"/>
  <c r="CE108" i="1"/>
  <c r="U107" i="1"/>
  <c r="BZ106" i="1"/>
  <c r="U105" i="1"/>
  <c r="CL104" i="1"/>
  <c r="BR104" i="1"/>
  <c r="AU104" i="1"/>
  <c r="AE104" i="1"/>
  <c r="CE103" i="1"/>
  <c r="BD103" i="1"/>
  <c r="AT103" i="1"/>
  <c r="BB102" i="1"/>
  <c r="AR102" i="1"/>
  <c r="BB101" i="1"/>
  <c r="AP101" i="1"/>
  <c r="AG101" i="1"/>
  <c r="O101" i="1"/>
  <c r="CH100" i="1"/>
  <c r="AR100" i="1"/>
  <c r="AI100" i="1"/>
  <c r="Z100" i="1"/>
  <c r="Q100" i="1"/>
  <c r="I100" i="1"/>
  <c r="CL99" i="1"/>
  <c r="CD99" i="1"/>
  <c r="BV99" i="1"/>
  <c r="BL99" i="1"/>
  <c r="AK99" i="1"/>
  <c r="AC99" i="1"/>
  <c r="U99" i="1"/>
  <c r="M99" i="1"/>
  <c r="CH98" i="1"/>
  <c r="BZ98" i="1"/>
  <c r="BR98" i="1"/>
  <c r="AO98" i="1"/>
  <c r="AG98" i="1"/>
  <c r="Y98" i="1"/>
  <c r="Q98" i="1"/>
  <c r="I98" i="1"/>
  <c r="CL97" i="1"/>
  <c r="CD97" i="1"/>
  <c r="BV97" i="1"/>
  <c r="BL97" i="1"/>
  <c r="AK97" i="1"/>
  <c r="BT107" i="1"/>
  <c r="O106" i="1"/>
  <c r="AC105" i="1"/>
  <c r="I104" i="1"/>
  <c r="AV103" i="1"/>
  <c r="Z103" i="1"/>
  <c r="AT102" i="1"/>
  <c r="Z102" i="1"/>
  <c r="AT101" i="1"/>
  <c r="Z101" i="1"/>
  <c r="BD100" i="1"/>
  <c r="AK100" i="1"/>
  <c r="S100" i="1"/>
  <c r="CN99" i="1"/>
  <c r="BX99" i="1"/>
  <c r="AM99" i="1"/>
  <c r="W99" i="1"/>
  <c r="G99" i="1"/>
  <c r="CB98" i="1"/>
  <c r="AQ98" i="1"/>
  <c r="AA98" i="1"/>
  <c r="K98" i="1"/>
  <c r="CF97" i="1"/>
  <c r="BP97" i="1"/>
  <c r="AU97" i="1"/>
  <c r="BR96" i="1"/>
  <c r="BD96" i="1"/>
  <c r="AU96" i="1"/>
  <c r="AL96" i="1"/>
  <c r="S96" i="1"/>
  <c r="CL95" i="1"/>
  <c r="BT95" i="1"/>
  <c r="BF95" i="1"/>
  <c r="AV95" i="1"/>
  <c r="AM95" i="1"/>
  <c r="BF94" i="1"/>
  <c r="AX94" i="1"/>
  <c r="AP94" i="1"/>
  <c r="Z94" i="1"/>
  <c r="CE93" i="1"/>
  <c r="BB93" i="1"/>
  <c r="AT93" i="1"/>
  <c r="AL93" i="1"/>
  <c r="BF92" i="1"/>
  <c r="AX92" i="1"/>
  <c r="AP92" i="1"/>
  <c r="Z92" i="1"/>
  <c r="CE91" i="1"/>
  <c r="BB91" i="1"/>
  <c r="AT91" i="1"/>
  <c r="AL91" i="1"/>
  <c r="BF90" i="1"/>
  <c r="AX90" i="1"/>
  <c r="AP90" i="1"/>
  <c r="Z90" i="1"/>
  <c r="CE89" i="1"/>
  <c r="BB89" i="1"/>
  <c r="AT89" i="1"/>
  <c r="AL89" i="1"/>
  <c r="BF88" i="1"/>
  <c r="AX88" i="1"/>
  <c r="AP88" i="1"/>
  <c r="Z88" i="1"/>
  <c r="CE87" i="1"/>
  <c r="BB87" i="1"/>
  <c r="AT87" i="1"/>
  <c r="AL87" i="1"/>
  <c r="AU108" i="1"/>
  <c r="CF106" i="1"/>
  <c r="I106" i="1"/>
  <c r="Y105" i="1"/>
  <c r="BT104" i="1"/>
  <c r="AI104" i="1"/>
  <c r="BV103" i="1"/>
  <c r="AU103" i="1"/>
  <c r="Y103" i="1"/>
  <c r="BT102" i="1"/>
  <c r="Y102" i="1"/>
  <c r="CN101" i="1"/>
  <c r="BR101" i="1"/>
  <c r="Y101" i="1"/>
  <c r="G101" i="1"/>
  <c r="BZ100" i="1"/>
  <c r="BB100" i="1"/>
  <c r="BB99" i="1"/>
  <c r="AL99" i="1"/>
  <c r="BF98" i="1"/>
  <c r="AP98" i="1"/>
  <c r="Z98" i="1"/>
  <c r="CE97" i="1"/>
  <c r="AT97" i="1"/>
  <c r="AE97" i="1"/>
  <c r="U97" i="1"/>
  <c r="K97" i="1"/>
  <c r="CJ96" i="1"/>
  <c r="BZ96" i="1"/>
  <c r="AT96" i="1"/>
  <c r="AA96" i="1"/>
  <c r="I96" i="1"/>
  <c r="CK95" i="1"/>
  <c r="CB95" i="1"/>
  <c r="BD95" i="1"/>
  <c r="AU95" i="1"/>
  <c r="AL95" i="1"/>
  <c r="AC95" i="1"/>
  <c r="U95" i="1"/>
  <c r="M95" i="1"/>
  <c r="CH94" i="1"/>
  <c r="BZ94" i="1"/>
  <c r="BR94" i="1"/>
  <c r="AO94" i="1"/>
  <c r="AG94" i="1"/>
  <c r="Y94" i="1"/>
  <c r="Q94" i="1"/>
  <c r="I94" i="1"/>
  <c r="CL93" i="1"/>
  <c r="CD93" i="1"/>
  <c r="BV93" i="1"/>
  <c r="BL93" i="1"/>
  <c r="AK93" i="1"/>
  <c r="AC93" i="1"/>
  <c r="U93" i="1"/>
  <c r="M93" i="1"/>
  <c r="CH92" i="1"/>
  <c r="BZ92" i="1"/>
  <c r="BR92" i="1"/>
  <c r="AO92" i="1"/>
  <c r="AG92" i="1"/>
  <c r="Y92" i="1"/>
  <c r="Q92" i="1"/>
  <c r="I92" i="1"/>
  <c r="CL91" i="1"/>
  <c r="CD91" i="1"/>
  <c r="BV91" i="1"/>
  <c r="BL91" i="1"/>
  <c r="AK91" i="1"/>
  <c r="AC91" i="1"/>
  <c r="U91" i="1"/>
  <c r="M91" i="1"/>
  <c r="CH90" i="1"/>
  <c r="BZ90" i="1"/>
  <c r="BR90" i="1"/>
  <c r="AO90" i="1"/>
  <c r="AG90" i="1"/>
  <c r="Y90" i="1"/>
  <c r="Q90" i="1"/>
  <c r="I90" i="1"/>
  <c r="CL89" i="1"/>
  <c r="CD89" i="1"/>
  <c r="BV89" i="1"/>
  <c r="BL89" i="1"/>
  <c r="AK89" i="1"/>
  <c r="AC89" i="1"/>
  <c r="U89" i="1"/>
  <c r="M89" i="1"/>
  <c r="CH88" i="1"/>
  <c r="BZ88" i="1"/>
  <c r="BR88" i="1"/>
  <c r="AO88" i="1"/>
  <c r="AG88" i="1"/>
  <c r="Y88" i="1"/>
  <c r="Q88" i="1"/>
  <c r="I88" i="1"/>
  <c r="CL87" i="1"/>
  <c r="CD87" i="1"/>
  <c r="BV87" i="1"/>
  <c r="BL87" i="1"/>
  <c r="AK87" i="1"/>
  <c r="AC87" i="1"/>
  <c r="U87" i="1"/>
  <c r="M87" i="1"/>
  <c r="AM108" i="1"/>
  <c r="BV106" i="1"/>
  <c r="CL105" i="1"/>
  <c r="BR103" i="1"/>
  <c r="W103" i="1"/>
  <c r="CL102" i="1"/>
  <c r="BR102" i="1"/>
  <c r="AQ102" i="1"/>
  <c r="U102" i="1"/>
  <c r="CL101" i="1"/>
  <c r="BP101" i="1"/>
  <c r="AO101" i="1"/>
  <c r="W101" i="1"/>
  <c r="AZ100" i="1"/>
  <c r="CK99" i="1"/>
  <c r="AZ99" i="1"/>
  <c r="T99" i="1"/>
  <c r="BD98" i="1"/>
  <c r="AR97" i="1"/>
  <c r="T97" i="1"/>
  <c r="BP96" i="1"/>
  <c r="BB96" i="1"/>
  <c r="AR96" i="1"/>
  <c r="AI96" i="1"/>
  <c r="Z96" i="1"/>
  <c r="Q96" i="1"/>
  <c r="CJ95" i="1"/>
  <c r="AT95" i="1"/>
  <c r="AK95" i="1"/>
  <c r="T95" i="1"/>
  <c r="BD94" i="1"/>
  <c r="AV94" i="1"/>
  <c r="CK93" i="1"/>
  <c r="AZ93" i="1"/>
  <c r="AR93" i="1"/>
  <c r="T93" i="1"/>
  <c r="BD92" i="1"/>
  <c r="AV92" i="1"/>
  <c r="CK91" i="1"/>
  <c r="AZ91" i="1"/>
  <c r="AR91" i="1"/>
  <c r="T91" i="1"/>
  <c r="BD90" i="1"/>
  <c r="AV90" i="1"/>
  <c r="CK89" i="1"/>
  <c r="AZ89" i="1"/>
  <c r="AR89" i="1"/>
  <c r="T89" i="1"/>
  <c r="BD88" i="1"/>
  <c r="AV88" i="1"/>
  <c r="CK87" i="1"/>
  <c r="AZ87" i="1"/>
  <c r="AR87" i="1"/>
  <c r="AB87" i="1"/>
  <c r="T87" i="1"/>
  <c r="CF108" i="1"/>
  <c r="AO106" i="1"/>
  <c r="AV104" i="1"/>
  <c r="T104" i="1"/>
  <c r="CF103" i="1"/>
  <c r="AK103" i="1"/>
  <c r="O103" i="1"/>
  <c r="CD102" i="1"/>
  <c r="AI102" i="1"/>
  <c r="M102" i="1"/>
  <c r="CD101" i="1"/>
  <c r="AA100" i="1"/>
  <c r="CE99" i="1"/>
  <c r="AT99" i="1"/>
  <c r="AX98" i="1"/>
  <c r="BB97" i="1"/>
  <c r="AL97" i="1"/>
  <c r="AA97" i="1"/>
  <c r="O97" i="1"/>
  <c r="CF96" i="1"/>
  <c r="AX96" i="1"/>
  <c r="AO96" i="1"/>
  <c r="W96" i="1"/>
  <c r="CF95" i="1"/>
  <c r="BL95" i="1"/>
  <c r="AZ95" i="1"/>
  <c r="AQ95" i="1"/>
  <c r="Y95" i="1"/>
  <c r="Q95" i="1"/>
  <c r="I95" i="1"/>
  <c r="CL94" i="1"/>
  <c r="CD94" i="1"/>
  <c r="BV94" i="1"/>
  <c r="BL94" i="1"/>
  <c r="AK94" i="1"/>
  <c r="AC94" i="1"/>
  <c r="U94" i="1"/>
  <c r="M94" i="1"/>
  <c r="CH93" i="1"/>
  <c r="BZ93" i="1"/>
  <c r="BR93" i="1"/>
  <c r="AO93" i="1"/>
  <c r="AG93" i="1"/>
  <c r="Y93" i="1"/>
  <c r="Q93" i="1"/>
  <c r="I93" i="1"/>
  <c r="CL92" i="1"/>
  <c r="CD92" i="1"/>
  <c r="BV92" i="1"/>
  <c r="BR108" i="1"/>
  <c r="Q107" i="1"/>
  <c r="AR104" i="1"/>
  <c r="AE101" i="1"/>
  <c r="CE100" i="1"/>
  <c r="AP100" i="1"/>
  <c r="G100" i="1"/>
  <c r="AA99" i="1"/>
  <c r="CF98" i="1"/>
  <c r="AU98" i="1"/>
  <c r="O98" i="1"/>
  <c r="BT97" i="1"/>
  <c r="AI97" i="1"/>
  <c r="M97" i="1"/>
  <c r="CB96" i="1"/>
  <c r="AM96" i="1"/>
  <c r="T96" i="1"/>
  <c r="AX95" i="1"/>
  <c r="AE95" i="1"/>
  <c r="O95" i="1"/>
  <c r="CJ94" i="1"/>
  <c r="BT94" i="1"/>
  <c r="AI94" i="1"/>
  <c r="S94" i="1"/>
  <c r="CN93" i="1"/>
  <c r="BX93" i="1"/>
  <c r="AM93" i="1"/>
  <c r="W93" i="1"/>
  <c r="G93" i="1"/>
  <c r="CB92" i="1"/>
  <c r="AT92" i="1"/>
  <c r="AI92" i="1"/>
  <c r="U92" i="1"/>
  <c r="G92" i="1"/>
  <c r="AO91" i="1"/>
  <c r="AA91" i="1"/>
  <c r="CB90" i="1"/>
  <c r="BL90" i="1"/>
  <c r="AU90" i="1"/>
  <c r="K90" i="1"/>
  <c r="CH89" i="1"/>
  <c r="BT89" i="1"/>
  <c r="BD89" i="1"/>
  <c r="AP89" i="1"/>
  <c r="AE89" i="1"/>
  <c r="Q89" i="1"/>
  <c r="CN88" i="1"/>
  <c r="AK88" i="1"/>
  <c r="W88" i="1"/>
  <c r="BX87" i="1"/>
  <c r="AQ87" i="1"/>
  <c r="G87" i="1"/>
  <c r="AG108" i="1"/>
  <c r="BR106" i="1"/>
  <c r="M105" i="1"/>
  <c r="AC104" i="1"/>
  <c r="T102" i="1"/>
  <c r="BV100" i="1"/>
  <c r="AG100" i="1"/>
  <c r="CJ99" i="1"/>
  <c r="S99" i="1"/>
  <c r="BX98" i="1"/>
  <c r="AM98" i="1"/>
  <c r="G98" i="1"/>
  <c r="AC97" i="1"/>
  <c r="G97" i="1"/>
  <c r="BX96" i="1"/>
  <c r="AZ96" i="1"/>
  <c r="BP95" i="1"/>
  <c r="AA95" i="1"/>
  <c r="K95" i="1"/>
  <c r="CF94" i="1"/>
  <c r="BP94" i="1"/>
  <c r="AU94" i="1"/>
  <c r="AE94" i="1"/>
  <c r="O94" i="1"/>
  <c r="CJ93" i="1"/>
  <c r="BT93" i="1"/>
  <c r="AI93" i="1"/>
  <c r="S93" i="1"/>
  <c r="CN92" i="1"/>
  <c r="BX92" i="1"/>
  <c r="AE92" i="1"/>
  <c r="T92" i="1"/>
  <c r="CF91" i="1"/>
  <c r="BR91" i="1"/>
  <c r="Z91" i="1"/>
  <c r="O91" i="1"/>
  <c r="CL107" i="1"/>
  <c r="AK106" i="1"/>
  <c r="Q104" i="1"/>
  <c r="M103" i="1"/>
  <c r="K102" i="1"/>
  <c r="BL100" i="1"/>
  <c r="Y100" i="1"/>
  <c r="AR99" i="1"/>
  <c r="CK97" i="1"/>
  <c r="AZ97" i="1"/>
  <c r="Z97" i="1"/>
  <c r="BT96" i="1"/>
  <c r="AE96" i="1"/>
  <c r="CE95" i="1"/>
  <c r="AP95" i="1"/>
  <c r="AR94" i="1"/>
  <c r="AV93" i="1"/>
  <c r="CK92" i="1"/>
  <c r="BB92" i="1"/>
  <c r="AQ92" i="1"/>
  <c r="AC92" i="1"/>
  <c r="O92" i="1"/>
  <c r="BP91" i="1"/>
  <c r="AI91" i="1"/>
  <c r="CJ90" i="1"/>
  <c r="BV90" i="1"/>
  <c r="AR90" i="1"/>
  <c r="S90" i="1"/>
  <c r="CB89" i="1"/>
  <c r="AX89" i="1"/>
  <c r="AM89" i="1"/>
  <c r="Y89" i="1"/>
  <c r="K89" i="1"/>
  <c r="CK88" i="1"/>
  <c r="AE88" i="1"/>
  <c r="T88" i="1"/>
  <c r="CF87" i="1"/>
  <c r="BR87" i="1"/>
  <c r="Z87" i="1"/>
  <c r="O87" i="1"/>
  <c r="CK107" i="1"/>
  <c r="CD104" i="1"/>
  <c r="BB103" i="1"/>
  <c r="AZ102" i="1"/>
  <c r="AX101" i="1"/>
  <c r="M101" i="1"/>
  <c r="CB99" i="1"/>
  <c r="AQ99" i="1"/>
  <c r="K99" i="1"/>
  <c r="BP98" i="1"/>
  <c r="AE98" i="1"/>
  <c r="CJ97" i="1"/>
  <c r="W97" i="1"/>
  <c r="CN96" i="1"/>
  <c r="AV96" i="1"/>
  <c r="K96" i="1"/>
  <c r="CD95" i="1"/>
  <c r="W95" i="1"/>
  <c r="G95" i="1"/>
  <c r="CB94" i="1"/>
  <c r="AQ94" i="1"/>
  <c r="AA94" i="1"/>
  <c r="K94" i="1"/>
  <c r="CF93" i="1"/>
  <c r="BP93" i="1"/>
  <c r="AU93" i="1"/>
  <c r="AE93" i="1"/>
  <c r="O93" i="1"/>
  <c r="CJ92" i="1"/>
  <c r="BT92" i="1"/>
  <c r="AM92" i="1"/>
  <c r="AP103" i="1"/>
  <c r="AP102" i="1"/>
  <c r="BT99" i="1"/>
  <c r="CN98" i="1"/>
  <c r="W98" i="1"/>
  <c r="AQ97" i="1"/>
  <c r="CH96" i="1"/>
  <c r="AQ96" i="1"/>
  <c r="G96" i="1"/>
  <c r="BB95" i="1"/>
  <c r="S95" i="1"/>
  <c r="BX94" i="1"/>
  <c r="AM94" i="1"/>
  <c r="G94" i="1"/>
  <c r="AA93" i="1"/>
  <c r="CF92" i="1"/>
  <c r="AZ92" i="1"/>
  <c r="AB92" i="1"/>
  <c r="K92" i="1"/>
  <c r="AX91" i="1"/>
  <c r="I91" i="1"/>
  <c r="CD90" i="1"/>
  <c r="AQ90" i="1"/>
  <c r="AA90" i="1"/>
  <c r="G90" i="1"/>
  <c r="BF89" i="1"/>
  <c r="AO89" i="1"/>
  <c r="CB88" i="1"/>
  <c r="AM88" i="1"/>
  <c r="BZ87" i="1"/>
  <c r="BD87" i="1"/>
  <c r="AM87" i="1"/>
  <c r="W87" i="1"/>
  <c r="AV106" i="1"/>
  <c r="Q101" i="1"/>
  <c r="AU99" i="1"/>
  <c r="CN97" i="1"/>
  <c r="CI93" i="1"/>
  <c r="AR92" i="1"/>
  <c r="W91" i="1"/>
  <c r="AK90" i="1"/>
  <c r="CN89" i="1"/>
  <c r="AZ88" i="1"/>
  <c r="O88" i="1"/>
  <c r="AG87" i="1"/>
  <c r="AL103" i="1"/>
  <c r="AT100" i="1"/>
  <c r="BP99" i="1"/>
  <c r="CJ98" i="1"/>
  <c r="S98" i="1"/>
  <c r="AM97" i="1"/>
  <c r="AP96" i="1"/>
  <c r="AL94" i="1"/>
  <c r="BF93" i="1"/>
  <c r="Z93" i="1"/>
  <c r="CE92" i="1"/>
  <c r="AA92" i="1"/>
  <c r="BX91" i="1"/>
  <c r="AV91" i="1"/>
  <c r="AE91" i="1"/>
  <c r="AM90" i="1"/>
  <c r="W90" i="1"/>
  <c r="BZ89" i="1"/>
  <c r="W89" i="1"/>
  <c r="G89" i="1"/>
  <c r="BX88" i="1"/>
  <c r="BB88" i="1"/>
  <c r="AL88" i="1"/>
  <c r="U88" i="1"/>
  <c r="BY87" i="1"/>
  <c r="AI87" i="1"/>
  <c r="S87" i="1"/>
  <c r="U104" i="1"/>
  <c r="N102" i="1"/>
  <c r="T107" i="1"/>
  <c r="AG103" i="1"/>
  <c r="AG102" i="1"/>
  <c r="AQ100" i="1"/>
  <c r="CE96" i="1"/>
  <c r="CN95" i="1"/>
  <c r="BD93" i="1"/>
  <c r="AU92" i="1"/>
  <c r="W92" i="1"/>
  <c r="CN91" i="1"/>
  <c r="BT91" i="1"/>
  <c r="AU91" i="1"/>
  <c r="Y91" i="1"/>
  <c r="G91" i="1"/>
  <c r="BX90" i="1"/>
  <c r="BB90" i="1"/>
  <c r="AL90" i="1"/>
  <c r="U90" i="1"/>
  <c r="AI89" i="1"/>
  <c r="S89" i="1"/>
  <c r="BV88" i="1"/>
  <c r="S88" i="1"/>
  <c r="CN87" i="1"/>
  <c r="BT87" i="1"/>
  <c r="AX87" i="1"/>
  <c r="Q87" i="1"/>
  <c r="AB100" i="1"/>
  <c r="BT98" i="1"/>
  <c r="AB97" i="1"/>
  <c r="AG96" i="1"/>
  <c r="AR95" i="1"/>
  <c r="AD94" i="1"/>
  <c r="AX93" i="1"/>
  <c r="CJ91" i="1"/>
  <c r="AQ91" i="1"/>
  <c r="CN90" i="1"/>
  <c r="T90" i="1"/>
  <c r="BX89" i="1"/>
  <c r="CL88" i="1"/>
  <c r="AI88" i="1"/>
  <c r="CJ87" i="1"/>
  <c r="BL105" i="1"/>
  <c r="CE102" i="1"/>
  <c r="CE101" i="1"/>
  <c r="CJ100" i="1"/>
  <c r="K100" i="1"/>
  <c r="AE99" i="1"/>
  <c r="BX97" i="1"/>
  <c r="BX95" i="1"/>
  <c r="AI95" i="1"/>
  <c r="BB94" i="1"/>
  <c r="AP93" i="1"/>
  <c r="AK92" i="1"/>
  <c r="CH91" i="1"/>
  <c r="BF91" i="1"/>
  <c r="AM91" i="1"/>
  <c r="CK90" i="1"/>
  <c r="BT90" i="1"/>
  <c r="AE90" i="1"/>
  <c r="BR89" i="1"/>
  <c r="AV89" i="1"/>
  <c r="O89" i="1"/>
  <c r="CF88" i="1"/>
  <c r="BP88" i="1"/>
  <c r="AT88" i="1"/>
  <c r="AC88" i="1"/>
  <c r="M88" i="1"/>
  <c r="BP87" i="1"/>
  <c r="AU87" i="1"/>
  <c r="AA87" i="1"/>
  <c r="AX105" i="1"/>
  <c r="CD103" i="1"/>
  <c r="CB102" i="1"/>
  <c r="BZ101" i="1"/>
  <c r="H100" i="1"/>
  <c r="AB99" i="1"/>
  <c r="AV98" i="1"/>
  <c r="N97" i="1"/>
  <c r="BF96" i="1"/>
  <c r="BV95" i="1"/>
  <c r="CK94" i="1"/>
  <c r="AZ94" i="1"/>
  <c r="T94" i="1"/>
  <c r="AN93" i="1"/>
  <c r="H93" i="1"/>
  <c r="BL92" i="1"/>
  <c r="AJ92" i="1"/>
  <c r="M92" i="1"/>
  <c r="CB91" i="1"/>
  <c r="Q91" i="1"/>
  <c r="CF90" i="1"/>
  <c r="BP90" i="1"/>
  <c r="AT90" i="1"/>
  <c r="AC90" i="1"/>
  <c r="M90" i="1"/>
  <c r="BP89" i="1"/>
  <c r="AU89" i="1"/>
  <c r="AA89" i="1"/>
  <c r="CE88" i="1"/>
  <c r="BL88" i="1"/>
  <c r="AR88" i="1"/>
  <c r="AB88" i="1"/>
  <c r="H87" i="1"/>
  <c r="AV87" i="1"/>
  <c r="K88" i="1"/>
  <c r="CD88" i="1"/>
  <c r="AG91" i="1"/>
  <c r="AD92" i="1"/>
  <c r="BS93" i="1"/>
  <c r="Z95" i="1"/>
  <c r="CF99" i="1"/>
  <c r="BF103" i="1"/>
  <c r="AN56" i="1"/>
  <c r="AN11" i="1"/>
  <c r="AN41" i="1"/>
  <c r="AN44" i="1" s="1"/>
  <c r="AN50" i="1"/>
  <c r="BS75" i="1"/>
  <c r="BY108" i="1"/>
  <c r="BY93" i="1"/>
  <c r="CC15" i="1"/>
  <c r="AW108" i="1"/>
  <c r="AW106" i="1"/>
  <c r="AW101" i="1"/>
  <c r="AW100" i="1"/>
  <c r="AW99" i="1"/>
  <c r="AW97" i="1"/>
  <c r="AW95" i="1"/>
  <c r="AW103" i="1"/>
  <c r="AW102" i="1"/>
  <c r="AW98" i="1"/>
  <c r="AW94" i="1"/>
  <c r="AW92" i="1"/>
  <c r="AW90" i="1"/>
  <c r="AW88" i="1"/>
  <c r="AW93" i="1"/>
  <c r="AW105" i="1"/>
  <c r="AW96" i="1"/>
  <c r="AW91" i="1"/>
  <c r="AW107" i="1"/>
  <c r="AW87" i="1"/>
  <c r="AW104" i="1"/>
  <c r="BY95" i="1"/>
  <c r="CO100" i="1"/>
  <c r="L15" i="1"/>
  <c r="CI20" i="1"/>
  <c r="CI24" i="1" s="1"/>
  <c r="AY65" i="1"/>
  <c r="AY43" i="1"/>
  <c r="AY39" i="1"/>
  <c r="AY108" i="1" s="1"/>
  <c r="CI89" i="1"/>
  <c r="CC56" i="1"/>
  <c r="CC57" i="1" s="1"/>
  <c r="CC54" i="1" s="1"/>
  <c r="BC15" i="1"/>
  <c r="AH12" i="1"/>
  <c r="AH16" i="1"/>
  <c r="R15" i="1"/>
  <c r="CG16" i="1"/>
  <c r="J15" i="1"/>
  <c r="J12" i="1"/>
  <c r="J20" i="1"/>
  <c r="J24" i="1" s="1"/>
  <c r="J27" i="1" s="1"/>
  <c r="AY15" i="1"/>
  <c r="AY16" i="1"/>
  <c r="CM15" i="1"/>
  <c r="CM16" i="1"/>
  <c r="AF15" i="1"/>
  <c r="V16" i="1"/>
  <c r="AB20" i="1"/>
  <c r="AB24" i="1" s="1"/>
  <c r="AB27" i="1" s="1"/>
  <c r="BS20" i="1"/>
  <c r="BS24" i="1" s="1"/>
  <c r="AN96" i="1"/>
  <c r="CI51" i="1"/>
  <c r="CI53" i="1" s="1"/>
  <c r="X56" i="1"/>
  <c r="BS73" i="1"/>
  <c r="I87" i="1"/>
  <c r="BF87" i="1"/>
  <c r="N88" i="1"/>
  <c r="CJ88" i="1"/>
  <c r="BS89" i="1"/>
  <c r="AZ90" i="1"/>
  <c r="AP91" i="1"/>
  <c r="AL92" i="1"/>
  <c r="CB93" i="1"/>
  <c r="AJ95" i="1"/>
  <c r="S97" i="1"/>
  <c r="O100" i="1"/>
  <c r="CM103" i="1"/>
  <c r="BA11" i="1"/>
  <c r="AN64" i="1"/>
  <c r="AN69" i="1"/>
  <c r="BG15" i="1"/>
  <c r="H107" i="1"/>
  <c r="H105" i="1"/>
  <c r="H106" i="1"/>
  <c r="H104" i="1"/>
  <c r="H102" i="1"/>
  <c r="H103" i="1"/>
  <c r="H99" i="1"/>
  <c r="H97" i="1"/>
  <c r="H108" i="1"/>
  <c r="H101" i="1"/>
  <c r="H98" i="1"/>
  <c r="H96" i="1"/>
  <c r="H94" i="1"/>
  <c r="H92" i="1"/>
  <c r="H90" i="1"/>
  <c r="H88" i="1"/>
  <c r="H95" i="1"/>
  <c r="AD107" i="1"/>
  <c r="AD105" i="1"/>
  <c r="AD108" i="1"/>
  <c r="AD101" i="1"/>
  <c r="AD98" i="1"/>
  <c r="AD103" i="1"/>
  <c r="AD100" i="1"/>
  <c r="AD95" i="1"/>
  <c r="AD93" i="1"/>
  <c r="AD91" i="1"/>
  <c r="AD89" i="1"/>
  <c r="AD87" i="1"/>
  <c r="AD104" i="1"/>
  <c r="AD97" i="1"/>
  <c r="AD99" i="1"/>
  <c r="AD102" i="1"/>
  <c r="AD90" i="1"/>
  <c r="AD106" i="1"/>
  <c r="AD96" i="1"/>
  <c r="CC108" i="1"/>
  <c r="CC106" i="1"/>
  <c r="CC103" i="1"/>
  <c r="CC101" i="1"/>
  <c r="CC107" i="1"/>
  <c r="CC105" i="1"/>
  <c r="CC104" i="1"/>
  <c r="CC100" i="1"/>
  <c r="CC98" i="1"/>
  <c r="CC96" i="1"/>
  <c r="CC102" i="1"/>
  <c r="CC95" i="1"/>
  <c r="CC97" i="1"/>
  <c r="CC93" i="1"/>
  <c r="CC91" i="1"/>
  <c r="CC89" i="1"/>
  <c r="CC87" i="1"/>
  <c r="CC88" i="1"/>
  <c r="CC99" i="1"/>
  <c r="CC94" i="1"/>
  <c r="BK108" i="1"/>
  <c r="BK106" i="1"/>
  <c r="BK103" i="1"/>
  <c r="BK101" i="1"/>
  <c r="BK104" i="1"/>
  <c r="BK102" i="1"/>
  <c r="BK98" i="1"/>
  <c r="BK107" i="1"/>
  <c r="BK97" i="1"/>
  <c r="BK93" i="1"/>
  <c r="BK91" i="1"/>
  <c r="BK89" i="1"/>
  <c r="BK87" i="1"/>
  <c r="BK105" i="1"/>
  <c r="BK92" i="1"/>
  <c r="BK95" i="1"/>
  <c r="BK94" i="1"/>
  <c r="BK100" i="1"/>
  <c r="BY107" i="1"/>
  <c r="BY105" i="1"/>
  <c r="BY106" i="1"/>
  <c r="BY102" i="1"/>
  <c r="BY104" i="1"/>
  <c r="BY103" i="1"/>
  <c r="BY99" i="1"/>
  <c r="BY97" i="1"/>
  <c r="BY100" i="1"/>
  <c r="BY98" i="1"/>
  <c r="BY96" i="1"/>
  <c r="BY94" i="1"/>
  <c r="BY92" i="1"/>
  <c r="BY90" i="1"/>
  <c r="BY88" i="1"/>
  <c r="BY101" i="1"/>
  <c r="R43" i="1"/>
  <c r="AN43" i="1"/>
  <c r="V44" i="1"/>
  <c r="BM48" i="1"/>
  <c r="BY50" i="1"/>
  <c r="BY51" i="1" s="1"/>
  <c r="BY53" i="1" s="1"/>
  <c r="BS65" i="1"/>
  <c r="R69" i="1"/>
  <c r="AB108" i="1"/>
  <c r="AB106" i="1"/>
  <c r="AB105" i="1"/>
  <c r="AB103" i="1"/>
  <c r="AB104" i="1"/>
  <c r="AB102" i="1"/>
  <c r="AB101" i="1"/>
  <c r="AB98" i="1"/>
  <c r="AB96" i="1"/>
  <c r="AB95" i="1"/>
  <c r="AB93" i="1"/>
  <c r="AB91" i="1"/>
  <c r="AB89" i="1"/>
  <c r="AB107" i="1"/>
  <c r="AB94" i="1"/>
  <c r="N90" i="1"/>
  <c r="BK96" i="1"/>
  <c r="AJ20" i="1"/>
  <c r="AJ24" i="1" s="1"/>
  <c r="AJ27" i="1" s="1"/>
  <c r="BG20" i="1"/>
  <c r="BG24" i="1" s="1"/>
  <c r="N107" i="1"/>
  <c r="N105" i="1"/>
  <c r="N106" i="1"/>
  <c r="N100" i="1"/>
  <c r="N98" i="1"/>
  <c r="N103" i="1"/>
  <c r="N95" i="1"/>
  <c r="N93" i="1"/>
  <c r="N91" i="1"/>
  <c r="N89" i="1"/>
  <c r="N87" i="1"/>
  <c r="N108" i="1"/>
  <c r="N99" i="1"/>
  <c r="N96" i="1"/>
  <c r="N101" i="1"/>
  <c r="N104" i="1"/>
  <c r="AJ108" i="1"/>
  <c r="AJ106" i="1"/>
  <c r="AJ103" i="1"/>
  <c r="AJ107" i="1"/>
  <c r="AJ105" i="1"/>
  <c r="AJ98" i="1"/>
  <c r="AJ104" i="1"/>
  <c r="AJ100" i="1"/>
  <c r="AJ96" i="1"/>
  <c r="AJ99" i="1"/>
  <c r="AJ93" i="1"/>
  <c r="AJ91" i="1"/>
  <c r="AJ89" i="1"/>
  <c r="AJ87" i="1"/>
  <c r="AJ90" i="1"/>
  <c r="BG108" i="1"/>
  <c r="BG106" i="1"/>
  <c r="BG103" i="1"/>
  <c r="BG101" i="1"/>
  <c r="BG105" i="1"/>
  <c r="BG100" i="1"/>
  <c r="BG102" i="1"/>
  <c r="BG107" i="1"/>
  <c r="BG98" i="1"/>
  <c r="BG96" i="1"/>
  <c r="BG99" i="1"/>
  <c r="BG97" i="1"/>
  <c r="BG92" i="1"/>
  <c r="BG88" i="1"/>
  <c r="BG95" i="1"/>
  <c r="BG94" i="1"/>
  <c r="BA75" i="1"/>
  <c r="BA73" i="1"/>
  <c r="CI108" i="1"/>
  <c r="CI106" i="1"/>
  <c r="CI104" i="1"/>
  <c r="CI107" i="1"/>
  <c r="CI99" i="1"/>
  <c r="CI97" i="1"/>
  <c r="CI103" i="1"/>
  <c r="CI102" i="1"/>
  <c r="CI94" i="1"/>
  <c r="CI92" i="1"/>
  <c r="CI90" i="1"/>
  <c r="CI88" i="1"/>
  <c r="CI96" i="1"/>
  <c r="CI100" i="1"/>
  <c r="CI98" i="1"/>
  <c r="CI87" i="1"/>
  <c r="CI95" i="1"/>
  <c r="H43" i="1"/>
  <c r="R45" i="1"/>
  <c r="AN45" i="1"/>
  <c r="BA48" i="1"/>
  <c r="BQ49" i="1"/>
  <c r="BQ87" i="1" s="1"/>
  <c r="V64" i="1"/>
  <c r="AJ88" i="1"/>
  <c r="BY89" i="1"/>
  <c r="CC92" i="1"/>
  <c r="AJ94" i="1"/>
  <c r="AJ97" i="1"/>
  <c r="BK99" i="1"/>
  <c r="P97" i="1"/>
  <c r="P96" i="1"/>
  <c r="AN107" i="1"/>
  <c r="AN97" i="1"/>
  <c r="AN108" i="1"/>
  <c r="AN65" i="1"/>
  <c r="AN91" i="1"/>
  <c r="X74" i="1"/>
  <c r="BM88" i="1"/>
  <c r="V45" i="1"/>
  <c r="BM45" i="1"/>
  <c r="BQ50" i="1"/>
  <c r="R56" i="1"/>
  <c r="CI56" i="1"/>
  <c r="BA64" i="1"/>
  <c r="X72" i="1"/>
  <c r="AN89" i="1"/>
  <c r="BG90" i="1"/>
  <c r="CC90" i="1"/>
  <c r="H91" i="1"/>
  <c r="AJ101" i="1"/>
  <c r="AJ102" i="1"/>
  <c r="R106" i="1"/>
  <c r="R92" i="1"/>
  <c r="R65" i="1"/>
  <c r="AS108" i="1"/>
  <c r="AS106" i="1"/>
  <c r="AS105" i="1"/>
  <c r="AS107" i="1"/>
  <c r="AS98" i="1"/>
  <c r="AS96" i="1"/>
  <c r="AS99" i="1"/>
  <c r="AS97" i="1"/>
  <c r="AS102" i="1"/>
  <c r="AS101" i="1"/>
  <c r="AS93" i="1"/>
  <c r="AS91" i="1"/>
  <c r="AS89" i="1"/>
  <c r="AS87" i="1"/>
  <c r="AS103" i="1"/>
  <c r="AS100" i="1"/>
  <c r="AS94" i="1"/>
  <c r="AS95" i="1"/>
  <c r="AS92" i="1"/>
  <c r="AS88" i="1"/>
  <c r="BS108" i="1"/>
  <c r="BS106" i="1"/>
  <c r="BS104" i="1"/>
  <c r="BS107" i="1"/>
  <c r="BS105" i="1"/>
  <c r="BS99" i="1"/>
  <c r="BS97" i="1"/>
  <c r="BS100" i="1"/>
  <c r="BS103" i="1"/>
  <c r="BS102" i="1"/>
  <c r="BS101" i="1"/>
  <c r="BS94" i="1"/>
  <c r="BS92" i="1"/>
  <c r="BS90" i="1"/>
  <c r="BS88" i="1"/>
  <c r="BS95" i="1"/>
  <c r="BS98" i="1"/>
  <c r="BS91" i="1"/>
  <c r="BS96" i="1"/>
  <c r="BM41" i="1"/>
  <c r="BM44" i="1" s="1"/>
  <c r="F45" i="1"/>
  <c r="BQ45" i="1"/>
  <c r="F49" i="1"/>
  <c r="F101" i="1" s="1"/>
  <c r="CM50" i="1"/>
  <c r="CM51" i="1" s="1"/>
  <c r="CM53" i="1" s="1"/>
  <c r="CM56" i="1"/>
  <c r="H89" i="1"/>
  <c r="BK90" i="1"/>
  <c r="BY91" i="1"/>
  <c r="BG93" i="1"/>
  <c r="BG104" i="1"/>
  <c r="N65" i="1"/>
  <c r="Q140" i="1"/>
  <c r="O141" i="1"/>
  <c r="P142" i="1"/>
  <c r="N143" i="1"/>
  <c r="T144" i="1"/>
  <c r="K144" i="1"/>
  <c r="P143" i="1"/>
  <c r="H143" i="1"/>
  <c r="M142" i="1"/>
  <c r="R141" i="1"/>
  <c r="J141" i="1"/>
  <c r="O140" i="1"/>
  <c r="F140" i="1"/>
  <c r="L139" i="1"/>
  <c r="Q138" i="1"/>
  <c r="I138" i="1"/>
  <c r="N137" i="1"/>
  <c r="T136" i="1"/>
  <c r="K136" i="1"/>
  <c r="P135" i="1"/>
  <c r="H135" i="1"/>
  <c r="M134" i="1"/>
  <c r="R133" i="1"/>
  <c r="J133" i="1"/>
  <c r="R144" i="1"/>
  <c r="J144" i="1"/>
  <c r="O143" i="1"/>
  <c r="F143" i="1"/>
  <c r="L142" i="1"/>
  <c r="Q141" i="1"/>
  <c r="I141" i="1"/>
  <c r="N140" i="1"/>
  <c r="T139" i="1"/>
  <c r="K139" i="1"/>
  <c r="P138" i="1"/>
  <c r="H138" i="1"/>
  <c r="M137" i="1"/>
  <c r="R136" i="1"/>
  <c r="J136" i="1"/>
  <c r="O135" i="1"/>
  <c r="F135" i="1"/>
  <c r="L134" i="1"/>
  <c r="Q133" i="1"/>
  <c r="I133" i="1"/>
  <c r="L144" i="1"/>
  <c r="Q143" i="1"/>
  <c r="I143" i="1"/>
  <c r="N142" i="1"/>
  <c r="T141" i="1"/>
  <c r="K141" i="1"/>
  <c r="P140" i="1"/>
  <c r="H140" i="1"/>
  <c r="M139" i="1"/>
  <c r="R138" i="1"/>
  <c r="J138" i="1"/>
  <c r="O137" i="1"/>
  <c r="F137" i="1"/>
  <c r="L136" i="1"/>
  <c r="Q135" i="1"/>
  <c r="I135" i="1"/>
  <c r="N134" i="1"/>
  <c r="T133" i="1"/>
  <c r="K133" i="1"/>
  <c r="F134" i="1"/>
  <c r="R134" i="1"/>
  <c r="T135" i="1"/>
  <c r="Q136" i="1"/>
  <c r="R137" i="1"/>
  <c r="T138" i="1"/>
  <c r="Q139" i="1"/>
  <c r="R140" i="1"/>
  <c r="P141" i="1"/>
  <c r="Q142" i="1"/>
  <c r="R143" i="1"/>
  <c r="P144" i="1"/>
  <c r="F133" i="1"/>
  <c r="H134" i="1"/>
  <c r="T134" i="1"/>
  <c r="F136" i="1"/>
  <c r="H137" i="1"/>
  <c r="T137" i="1"/>
  <c r="F139" i="1"/>
  <c r="R139" i="1"/>
  <c r="T140" i="1"/>
  <c r="F142" i="1"/>
  <c r="R142" i="1"/>
  <c r="T143" i="1"/>
  <c r="Q144" i="1"/>
  <c r="CN7" i="1"/>
  <c r="CO7" i="1"/>
  <c r="BM99" i="1" l="1"/>
  <c r="P91" i="1"/>
  <c r="BA51" i="1"/>
  <c r="BA53" i="1" s="1"/>
  <c r="R93" i="1"/>
  <c r="R98" i="1"/>
  <c r="R104" i="1"/>
  <c r="BM89" i="1"/>
  <c r="P101" i="1"/>
  <c r="P106" i="1"/>
  <c r="P95" i="1"/>
  <c r="P98" i="1"/>
  <c r="D57" i="1"/>
  <c r="D54" i="1" s="1"/>
  <c r="CA87" i="1"/>
  <c r="CM94" i="1"/>
  <c r="CM87" i="1"/>
  <c r="CM100" i="1"/>
  <c r="P75" i="1"/>
  <c r="P89" i="1"/>
  <c r="R87" i="1"/>
  <c r="P99" i="1"/>
  <c r="R97" i="1"/>
  <c r="P74" i="1"/>
  <c r="R105" i="1"/>
  <c r="R101" i="1"/>
  <c r="BM91" i="1"/>
  <c r="P88" i="1"/>
  <c r="P108" i="1"/>
  <c r="R91" i="1"/>
  <c r="AY100" i="1"/>
  <c r="BC57" i="1"/>
  <c r="BC54" i="1" s="1"/>
  <c r="CM108" i="1"/>
  <c r="CM89" i="1"/>
  <c r="CM106" i="1"/>
  <c r="P73" i="1"/>
  <c r="BE16" i="1"/>
  <c r="BQ94" i="1"/>
  <c r="P102" i="1"/>
  <c r="CM88" i="1"/>
  <c r="CM91" i="1"/>
  <c r="CM105" i="1"/>
  <c r="BE20" i="1"/>
  <c r="BE24" i="1" s="1"/>
  <c r="BE27" i="1" s="1"/>
  <c r="BE12" i="1"/>
  <c r="CM92" i="1"/>
  <c r="L53" i="1"/>
  <c r="AY97" i="1"/>
  <c r="R100" i="1"/>
  <c r="R103" i="1"/>
  <c r="BM103" i="1"/>
  <c r="P92" i="1"/>
  <c r="P104" i="1"/>
  <c r="AY102" i="1"/>
  <c r="CM90" i="1"/>
  <c r="CM93" i="1"/>
  <c r="CM107" i="1"/>
  <c r="R108" i="1"/>
  <c r="R102" i="1"/>
  <c r="P90" i="1"/>
  <c r="P105" i="1"/>
  <c r="AY90" i="1"/>
  <c r="AY105" i="1"/>
  <c r="R95" i="1"/>
  <c r="CM95" i="1"/>
  <c r="CM96" i="1"/>
  <c r="P87" i="1"/>
  <c r="V57" i="1"/>
  <c r="V54" i="1" s="1"/>
  <c r="R94" i="1"/>
  <c r="R96" i="1"/>
  <c r="BM93" i="1"/>
  <c r="R88" i="1"/>
  <c r="R99" i="1"/>
  <c r="BM98" i="1"/>
  <c r="P94" i="1"/>
  <c r="R90" i="1"/>
  <c r="BM102" i="1"/>
  <c r="P93" i="1"/>
  <c r="P100" i="1"/>
  <c r="P107" i="1"/>
  <c r="BM95" i="1"/>
  <c r="AY98" i="1"/>
  <c r="CM97" i="1"/>
  <c r="AJ53" i="1"/>
  <c r="BA95" i="1"/>
  <c r="BM104" i="1"/>
  <c r="BM107" i="1"/>
  <c r="AD57" i="1"/>
  <c r="AD54" i="1" s="1"/>
  <c r="AB57" i="1"/>
  <c r="AB54" i="1" s="1"/>
  <c r="BS57" i="1"/>
  <c r="BS54" i="1" s="1"/>
  <c r="N57" i="1"/>
  <c r="N54" i="1" s="1"/>
  <c r="R89" i="1"/>
  <c r="BW100" i="1"/>
  <c r="CA90" i="1"/>
  <c r="BQ105" i="1"/>
  <c r="BA104" i="1"/>
  <c r="BM101" i="1"/>
  <c r="BM100" i="1"/>
  <c r="F102" i="1"/>
  <c r="X98" i="1"/>
  <c r="BQ95" i="1"/>
  <c r="BA102" i="1"/>
  <c r="BA105" i="1"/>
  <c r="F98" i="1"/>
  <c r="BW99" i="1"/>
  <c r="CA92" i="1"/>
  <c r="X104" i="1"/>
  <c r="BQ89" i="1"/>
  <c r="BQ96" i="1"/>
  <c r="BA94" i="1"/>
  <c r="BU90" i="1"/>
  <c r="F100" i="1"/>
  <c r="BW87" i="1"/>
  <c r="CA94" i="1"/>
  <c r="BQ93" i="1"/>
  <c r="BQ99" i="1"/>
  <c r="BA107" i="1"/>
  <c r="BW102" i="1"/>
  <c r="CA97" i="1"/>
  <c r="J57" i="1"/>
  <c r="J54" i="1" s="1"/>
  <c r="BQ98" i="1"/>
  <c r="BQ108" i="1"/>
  <c r="BA87" i="1"/>
  <c r="CA72" i="1"/>
  <c r="F90" i="1"/>
  <c r="BW96" i="1"/>
  <c r="BW98" i="1"/>
  <c r="CA99" i="1"/>
  <c r="BE57" i="1"/>
  <c r="BE54" i="1" s="1"/>
  <c r="BQ88" i="1"/>
  <c r="BQ104" i="1"/>
  <c r="BA88" i="1"/>
  <c r="BA97" i="1"/>
  <c r="CA75" i="1"/>
  <c r="F104" i="1"/>
  <c r="BW94" i="1"/>
  <c r="BW106" i="1"/>
  <c r="CA104" i="1"/>
  <c r="BQ90" i="1"/>
  <c r="BQ106" i="1"/>
  <c r="BA99" i="1"/>
  <c r="F87" i="1"/>
  <c r="CG107" i="1"/>
  <c r="BW90" i="1"/>
  <c r="CA89" i="1"/>
  <c r="CM57" i="1"/>
  <c r="CM54" i="1" s="1"/>
  <c r="BQ92" i="1"/>
  <c r="BQ102" i="1"/>
  <c r="BA100" i="1"/>
  <c r="BA90" i="1"/>
  <c r="BY57" i="1"/>
  <c r="BY54" i="1" s="1"/>
  <c r="BQ91" i="1"/>
  <c r="F89" i="1"/>
  <c r="CA91" i="1"/>
  <c r="X89" i="1"/>
  <c r="BG86" i="1"/>
  <c r="BG111" i="1" s="1"/>
  <c r="K86" i="1"/>
  <c r="K110" i="1" s="1"/>
  <c r="CB86" i="1"/>
  <c r="CB111" i="1" s="1"/>
  <c r="CH86" i="1"/>
  <c r="CH110" i="1" s="1"/>
  <c r="BE86" i="1"/>
  <c r="BE111" i="1" s="1"/>
  <c r="J86" i="1"/>
  <c r="BC86" i="1"/>
  <c r="CE86" i="1"/>
  <c r="X100" i="1"/>
  <c r="AS86" i="1"/>
  <c r="AY101" i="1"/>
  <c r="X91" i="1"/>
  <c r="CI57" i="1"/>
  <c r="CI54" i="1" s="1"/>
  <c r="AN90" i="1"/>
  <c r="AN100" i="1"/>
  <c r="BA89" i="1"/>
  <c r="BA96" i="1"/>
  <c r="AY91" i="1"/>
  <c r="AY103" i="1"/>
  <c r="CJ86" i="1"/>
  <c r="CK86" i="1"/>
  <c r="BV86" i="1"/>
  <c r="CG100" i="1"/>
  <c r="CG91" i="1"/>
  <c r="CG101" i="1"/>
  <c r="BU97" i="1"/>
  <c r="BU96" i="1"/>
  <c r="BU104" i="1"/>
  <c r="BU108" i="1"/>
  <c r="BW12" i="1"/>
  <c r="BW15" i="1"/>
  <c r="BW16" i="1"/>
  <c r="BW20" i="1"/>
  <c r="BW24" i="1" s="1"/>
  <c r="BW27" i="1" s="1"/>
  <c r="F94" i="1"/>
  <c r="F91" i="1"/>
  <c r="F106" i="1"/>
  <c r="BW92" i="1"/>
  <c r="BW89" i="1"/>
  <c r="BW108" i="1"/>
  <c r="D86" i="1"/>
  <c r="AS20" i="1"/>
  <c r="AS24" i="1" s="1"/>
  <c r="AS27" i="1" s="1"/>
  <c r="AS12" i="1"/>
  <c r="AS16" i="1"/>
  <c r="AS15" i="1"/>
  <c r="BW51" i="1"/>
  <c r="CA102" i="1"/>
  <c r="CA96" i="1"/>
  <c r="CA106" i="1"/>
  <c r="X95" i="1"/>
  <c r="X97" i="1"/>
  <c r="BM51" i="1"/>
  <c r="BM53" i="1" s="1"/>
  <c r="BR86" i="1"/>
  <c r="BR111" i="1" s="1"/>
  <c r="AB86" i="1"/>
  <c r="L86" i="1"/>
  <c r="CF86" i="1"/>
  <c r="BU92" i="1"/>
  <c r="AN88" i="1"/>
  <c r="AN99" i="1"/>
  <c r="BL86" i="1"/>
  <c r="BM20" i="1"/>
  <c r="BM24" i="1" s="1"/>
  <c r="BM27" i="1" s="1"/>
  <c r="BM12" i="1"/>
  <c r="BM16" i="1"/>
  <c r="BM15" i="1"/>
  <c r="X103" i="1"/>
  <c r="AN103" i="1"/>
  <c r="AJ86" i="1"/>
  <c r="BK86" i="1"/>
  <c r="CC86" i="1"/>
  <c r="BA91" i="1"/>
  <c r="BA98" i="1"/>
  <c r="AY93" i="1"/>
  <c r="AY104" i="1"/>
  <c r="BX86" i="1"/>
  <c r="CD86" i="1"/>
  <c r="CG87" i="1"/>
  <c r="CG88" i="1"/>
  <c r="CG108" i="1"/>
  <c r="BU98" i="1"/>
  <c r="F96" i="1"/>
  <c r="F93" i="1"/>
  <c r="F108" i="1"/>
  <c r="CG51" i="1"/>
  <c r="CG53" i="1" s="1"/>
  <c r="BW91" i="1"/>
  <c r="BW104" i="1"/>
  <c r="BM94" i="1"/>
  <c r="CA103" i="1"/>
  <c r="CA100" i="1"/>
  <c r="CA108" i="1"/>
  <c r="X88" i="1"/>
  <c r="X99" i="1"/>
  <c r="BK16" i="1"/>
  <c r="BK20" i="1"/>
  <c r="BK24" i="1" s="1"/>
  <c r="BK27" i="1" s="1"/>
  <c r="BK15" i="1"/>
  <c r="BK12" i="1"/>
  <c r="BU51" i="1"/>
  <c r="AY96" i="1"/>
  <c r="CA57" i="1"/>
  <c r="CA54" i="1" s="1"/>
  <c r="AN16" i="1"/>
  <c r="AN20" i="1"/>
  <c r="AN24" i="1" s="1"/>
  <c r="AN27" i="1" s="1"/>
  <c r="AN15" i="1"/>
  <c r="AN12" i="1"/>
  <c r="BU103" i="1"/>
  <c r="X101" i="1"/>
  <c r="BU102" i="1"/>
  <c r="X107" i="1"/>
  <c r="BQ51" i="1"/>
  <c r="BM97" i="1"/>
  <c r="BM106" i="1"/>
  <c r="BQ103" i="1"/>
  <c r="BQ101" i="1"/>
  <c r="BQ107" i="1"/>
  <c r="AN94" i="1"/>
  <c r="AN104" i="1"/>
  <c r="BA92" i="1"/>
  <c r="BA93" i="1"/>
  <c r="BA103" i="1"/>
  <c r="AY95" i="1"/>
  <c r="AY99" i="1"/>
  <c r="AY107" i="1"/>
  <c r="AW86" i="1"/>
  <c r="F97" i="1"/>
  <c r="H86" i="1"/>
  <c r="BT86" i="1"/>
  <c r="CL86" i="1"/>
  <c r="CG103" i="1"/>
  <c r="CG90" i="1"/>
  <c r="CG102" i="1"/>
  <c r="CA73" i="1"/>
  <c r="BU87" i="1"/>
  <c r="BU105" i="1"/>
  <c r="R51" i="1"/>
  <c r="R53" i="1" s="1"/>
  <c r="F88" i="1"/>
  <c r="F95" i="1"/>
  <c r="F105" i="1"/>
  <c r="BW88" i="1"/>
  <c r="BW93" i="1"/>
  <c r="BW105" i="1"/>
  <c r="P57" i="1"/>
  <c r="P54" i="1" s="1"/>
  <c r="CA95" i="1"/>
  <c r="CA101" i="1"/>
  <c r="X96" i="1"/>
  <c r="X90" i="1"/>
  <c r="X106" i="1"/>
  <c r="BM90" i="1"/>
  <c r="BA57" i="1"/>
  <c r="BA54" i="1" s="1"/>
  <c r="BP86" i="1"/>
  <c r="Y86" i="1"/>
  <c r="H15" i="1"/>
  <c r="H16" i="1"/>
  <c r="H20" i="1"/>
  <c r="H24" i="1" s="1"/>
  <c r="H27" i="1" s="1"/>
  <c r="H12" i="1"/>
  <c r="BZ86" i="1"/>
  <c r="BU99" i="1"/>
  <c r="X105" i="1"/>
  <c r="AY87" i="1"/>
  <c r="X51" i="1"/>
  <c r="X53" i="1" s="1"/>
  <c r="BU95" i="1"/>
  <c r="BU106" i="1"/>
  <c r="AN92" i="1"/>
  <c r="AN101" i="1"/>
  <c r="BM87" i="1"/>
  <c r="BM108" i="1"/>
  <c r="BQ100" i="1"/>
  <c r="BQ97" i="1"/>
  <c r="AN95" i="1"/>
  <c r="AN98" i="1"/>
  <c r="AN102" i="1"/>
  <c r="BM92" i="1"/>
  <c r="BA101" i="1"/>
  <c r="BA108" i="1"/>
  <c r="BA106" i="1"/>
  <c r="AY92" i="1"/>
  <c r="AY88" i="1"/>
  <c r="AY106" i="1"/>
  <c r="AN51" i="1"/>
  <c r="AN53" i="1" s="1"/>
  <c r="AA86" i="1"/>
  <c r="CN86" i="1"/>
  <c r="W86" i="1"/>
  <c r="CG95" i="1"/>
  <c r="CG92" i="1"/>
  <c r="CG105" i="1"/>
  <c r="F51" i="1"/>
  <c r="AW51" i="1"/>
  <c r="BM96" i="1"/>
  <c r="BU94" i="1"/>
  <c r="BU89" i="1"/>
  <c r="BU100" i="1"/>
  <c r="AH86" i="1"/>
  <c r="AD15" i="1"/>
  <c r="AD12" i="1"/>
  <c r="AD20" i="1"/>
  <c r="AD24" i="1" s="1"/>
  <c r="AD27" i="1" s="1"/>
  <c r="AD16" i="1"/>
  <c r="F92" i="1"/>
  <c r="F103" i="1"/>
  <c r="F107" i="1"/>
  <c r="BW95" i="1"/>
  <c r="BW103" i="1"/>
  <c r="BW107" i="1"/>
  <c r="P16" i="1"/>
  <c r="P20" i="1"/>
  <c r="P24" i="1" s="1"/>
  <c r="P15" i="1"/>
  <c r="P12" i="1"/>
  <c r="CA93" i="1"/>
  <c r="CA98" i="1"/>
  <c r="CA105" i="1"/>
  <c r="X92" i="1"/>
  <c r="X108" i="1"/>
  <c r="AH57" i="1"/>
  <c r="AH54" i="1" s="1"/>
  <c r="BU101" i="1"/>
  <c r="CI86" i="1"/>
  <c r="BY86" i="1"/>
  <c r="CO86" i="1"/>
  <c r="BM57" i="1"/>
  <c r="BM54" i="1" s="1"/>
  <c r="AN87" i="1"/>
  <c r="AN106" i="1"/>
  <c r="N86" i="1"/>
  <c r="AD86" i="1"/>
  <c r="BA15" i="1"/>
  <c r="BA12" i="1"/>
  <c r="BA20" i="1"/>
  <c r="BA24" i="1" s="1"/>
  <c r="BA27" i="1" s="1"/>
  <c r="BA16" i="1"/>
  <c r="AY89" i="1"/>
  <c r="AY94" i="1"/>
  <c r="S86" i="1"/>
  <c r="Z86" i="1"/>
  <c r="T86" i="1"/>
  <c r="U86" i="1"/>
  <c r="CG98" i="1"/>
  <c r="CG94" i="1"/>
  <c r="AF86" i="1"/>
  <c r="CA74" i="1"/>
  <c r="BU88" i="1"/>
  <c r="BU91" i="1"/>
  <c r="BU107" i="1"/>
  <c r="F99" i="1"/>
  <c r="BW97" i="1"/>
  <c r="V86" i="1"/>
  <c r="BS86" i="1"/>
  <c r="CA88" i="1"/>
  <c r="X93" i="1"/>
  <c r="X94" i="1"/>
  <c r="X102" i="1"/>
  <c r="CL7" i="1"/>
  <c r="CM7" i="1"/>
  <c r="F86" i="1" l="1"/>
  <c r="P86" i="1"/>
  <c r="P111" i="1" s="1"/>
  <c r="CM86" i="1"/>
  <c r="CM111" i="1" s="1"/>
  <c r="R86" i="1"/>
  <c r="R111" i="1" s="1"/>
  <c r="CG57" i="1"/>
  <c r="CG54" i="1" s="1"/>
  <c r="AY86" i="1"/>
  <c r="K111" i="1"/>
  <c r="BE110" i="1"/>
  <c r="BG110" i="1"/>
  <c r="CH111" i="1"/>
  <c r="CA86" i="1"/>
  <c r="CA110" i="1" s="1"/>
  <c r="CB110" i="1"/>
  <c r="D117" i="1"/>
  <c r="BW86" i="1"/>
  <c r="BW111" i="1" s="1"/>
  <c r="BQ86" i="1"/>
  <c r="BQ111" i="1" s="1"/>
  <c r="X86" i="1"/>
  <c r="X111" i="1" s="1"/>
  <c r="BA86" i="1"/>
  <c r="BA110" i="1" s="1"/>
  <c r="BS110" i="1"/>
  <c r="BS111" i="1"/>
  <c r="L110" i="1"/>
  <c r="L111" i="1"/>
  <c r="BV111" i="1"/>
  <c r="BV110" i="1"/>
  <c r="AS111" i="1"/>
  <c r="AS110" i="1"/>
  <c r="V110" i="1"/>
  <c r="V111" i="1"/>
  <c r="AF111" i="1"/>
  <c r="AF110" i="1"/>
  <c r="AW53" i="1"/>
  <c r="AW57" i="1"/>
  <c r="AW54" i="1" s="1"/>
  <c r="H110" i="1"/>
  <c r="H111" i="1"/>
  <c r="BQ53" i="1"/>
  <c r="BQ57" i="1"/>
  <c r="BQ54" i="1" s="1"/>
  <c r="AB110" i="1"/>
  <c r="AB111" i="1"/>
  <c r="BW57" i="1"/>
  <c r="BW54" i="1" s="1"/>
  <c r="BW53" i="1"/>
  <c r="CK110" i="1"/>
  <c r="CK111" i="1"/>
  <c r="F53" i="1"/>
  <c r="F57" i="1"/>
  <c r="F54" i="1" s="1"/>
  <c r="BZ110" i="1"/>
  <c r="BZ111" i="1"/>
  <c r="BU86" i="1"/>
  <c r="R57" i="1"/>
  <c r="R54" i="1" s="1"/>
  <c r="CC110" i="1"/>
  <c r="CC111" i="1"/>
  <c r="CJ111" i="1"/>
  <c r="CJ110" i="1"/>
  <c r="AW111" i="1"/>
  <c r="AW110" i="1"/>
  <c r="CG86" i="1"/>
  <c r="BK111" i="1"/>
  <c r="BK110" i="1"/>
  <c r="N110" i="1"/>
  <c r="N111" i="1"/>
  <c r="AA110" i="1"/>
  <c r="AA111" i="1"/>
  <c r="X57" i="1"/>
  <c r="X54" i="1" s="1"/>
  <c r="U110" i="1"/>
  <c r="U111" i="1"/>
  <c r="CO110" i="1"/>
  <c r="CO111" i="1"/>
  <c r="AH111" i="1"/>
  <c r="AH110" i="1"/>
  <c r="CD110" i="1"/>
  <c r="CD111" i="1"/>
  <c r="AJ111" i="1"/>
  <c r="AJ110" i="1"/>
  <c r="CE111" i="1"/>
  <c r="CE110" i="1"/>
  <c r="AN86" i="1"/>
  <c r="T110" i="1"/>
  <c r="T111" i="1"/>
  <c r="BY111" i="1"/>
  <c r="BY110" i="1"/>
  <c r="AN57" i="1"/>
  <c r="AN54" i="1" s="1"/>
  <c r="Z111" i="1"/>
  <c r="Z110" i="1"/>
  <c r="CI110" i="1"/>
  <c r="CI111" i="1"/>
  <c r="D110" i="1"/>
  <c r="D111" i="1"/>
  <c r="BC110" i="1"/>
  <c r="BC111" i="1"/>
  <c r="W110" i="1"/>
  <c r="W111" i="1"/>
  <c r="S110" i="1"/>
  <c r="S111" i="1"/>
  <c r="AD110" i="1"/>
  <c r="AD111" i="1"/>
  <c r="CN111" i="1"/>
  <c r="CN110" i="1"/>
  <c r="BM86" i="1"/>
  <c r="Y111" i="1"/>
  <c r="Y110" i="1"/>
  <c r="CL110" i="1"/>
  <c r="CL111" i="1"/>
  <c r="BU53" i="1"/>
  <c r="BU57" i="1"/>
  <c r="BU54" i="1" s="1"/>
  <c r="CF111" i="1"/>
  <c r="CF110" i="1"/>
  <c r="J111" i="1"/>
  <c r="J110" i="1"/>
  <c r="CH7" i="1"/>
  <c r="CI7" i="1"/>
  <c r="R110" i="1" l="1"/>
  <c r="CM110" i="1"/>
  <c r="P110" i="1"/>
  <c r="CA111" i="1"/>
  <c r="X110" i="1"/>
  <c r="BQ110" i="1"/>
  <c r="BW110" i="1"/>
  <c r="F110" i="1"/>
  <c r="F111" i="1"/>
  <c r="BA111" i="1"/>
  <c r="BM111" i="1"/>
  <c r="BM110" i="1"/>
  <c r="BU110" i="1"/>
  <c r="BU111" i="1"/>
  <c r="CG111" i="1"/>
  <c r="CG110" i="1"/>
  <c r="AN110" i="1"/>
  <c r="AN111" i="1"/>
  <c r="AY111" i="1"/>
  <c r="AY110" i="1"/>
  <c r="CF7" i="1"/>
  <c r="CB7" i="1"/>
  <c r="BZ7" i="1"/>
  <c r="BX7" i="1"/>
  <c r="BV7" i="1"/>
  <c r="BT7" i="1"/>
  <c r="BR7" i="1"/>
  <c r="BP7" i="1"/>
  <c r="BL7" i="1"/>
  <c r="BJ7" i="1"/>
  <c r="BF7" i="1"/>
  <c r="BD7" i="1"/>
  <c r="BB7" i="1"/>
  <c r="AZ7" i="1"/>
  <c r="AX7" i="1"/>
  <c r="AV7" i="1"/>
  <c r="AT7" i="1"/>
  <c r="AR7" i="1"/>
  <c r="AP7" i="1"/>
  <c r="AM7" i="1"/>
  <c r="AK7" i="1"/>
  <c r="AI7" i="1"/>
  <c r="AG7" i="1"/>
  <c r="AC7" i="1"/>
  <c r="AA7" i="1"/>
  <c r="Y7" i="1"/>
  <c r="W7" i="1"/>
  <c r="U7" i="1"/>
  <c r="S7" i="1"/>
  <c r="Q7" i="1"/>
  <c r="O7" i="1"/>
  <c r="M7" i="1"/>
  <c r="K7" i="1"/>
  <c r="I7" i="1"/>
  <c r="G7" i="1"/>
  <c r="C7" i="1"/>
  <c r="T7" i="1"/>
  <c r="BG7" i="1"/>
  <c r="AQ7" i="1"/>
  <c r="BC7" i="1"/>
  <c r="V7" i="1"/>
  <c r="D7" i="1"/>
  <c r="AH7" i="1"/>
  <c r="Z7" i="1"/>
  <c r="AN7" i="1"/>
  <c r="BA7" i="1"/>
  <c r="AS7" i="1"/>
  <c r="H7" i="1"/>
  <c r="X7" i="1"/>
  <c r="P7" i="1"/>
  <c r="J7" i="1"/>
  <c r="AL7" i="1"/>
  <c r="AY7" i="1"/>
  <c r="AU7" i="1"/>
  <c r="AJ7" i="1"/>
  <c r="R7" i="1"/>
  <c r="AW7" i="1"/>
  <c r="L7" i="1"/>
  <c r="F7" i="1"/>
  <c r="AB7" i="1"/>
  <c r="BE7" i="1"/>
  <c r="AD7" i="1"/>
  <c r="AL5" i="1"/>
  <c r="N5" i="1"/>
  <c r="BS7" i="1"/>
  <c r="L5" i="1"/>
  <c r="BW5" i="1"/>
  <c r="AS5" i="1"/>
  <c r="BQ7" i="1"/>
  <c r="BK5" i="1"/>
  <c r="BY7" i="1"/>
  <c r="BK7" i="1"/>
  <c r="H5" i="1"/>
  <c r="CA5" i="1"/>
  <c r="Z5" i="1"/>
  <c r="N7" i="1"/>
  <c r="BQ5" i="1"/>
  <c r="AJ5" i="1"/>
  <c r="AW5" i="1"/>
  <c r="CG5" i="1"/>
  <c r="BU5" i="1"/>
  <c r="V5" i="1"/>
  <c r="CG7" i="1"/>
  <c r="BC5" i="1"/>
  <c r="BW7" i="1"/>
  <c r="AQ5" i="1"/>
  <c r="CO5" i="1"/>
  <c r="AN5" i="1"/>
  <c r="CM5" i="1"/>
  <c r="BS5" i="1"/>
  <c r="BM7" i="1"/>
  <c r="R5" i="1"/>
  <c r="AB5" i="1"/>
  <c r="CI5" i="1"/>
  <c r="BM5" i="1"/>
  <c r="BU7" i="1"/>
  <c r="X5" i="1"/>
  <c r="T5" i="1"/>
  <c r="BY5" i="1"/>
  <c r="CA7" i="1"/>
  <c r="BE5" i="1"/>
  <c r="J5" i="1"/>
  <c r="BG5" i="1"/>
  <c r="F5" i="1"/>
  <c r="AU5" i="1"/>
  <c r="AH5" i="1"/>
  <c r="CC5" i="1"/>
  <c r="P5" i="1"/>
  <c r="AY5" i="1"/>
  <c r="BA5" i="1"/>
  <c r="CC7" i="1"/>
  <c r="AD5" i="1"/>
  <c r="D5" i="1"/>
  <c r="J35" i="4" l="1"/>
  <c r="J36" i="4" s="1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M42" i="3"/>
  <c r="I42" i="3"/>
  <c r="G42" i="3"/>
  <c r="E42" i="3"/>
  <c r="C42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B58" i="3" s="1"/>
  <c r="AC41" i="3"/>
  <c r="AB41" i="3"/>
  <c r="B57" i="3" s="1"/>
  <c r="AA41" i="3"/>
  <c r="Z41" i="3"/>
  <c r="B56" i="3" s="1"/>
  <c r="Y41" i="3"/>
  <c r="X41" i="3"/>
  <c r="B55" i="3" s="1"/>
  <c r="W41" i="3"/>
  <c r="V41" i="3"/>
  <c r="B54" i="3" s="1"/>
  <c r="U41" i="3"/>
  <c r="T41" i="3"/>
  <c r="S41" i="3"/>
  <c r="R41" i="3"/>
  <c r="B53" i="3" s="1"/>
  <c r="Q41" i="3"/>
  <c r="P41" i="3"/>
  <c r="B52" i="3" s="1"/>
  <c r="O41" i="3"/>
  <c r="N41" i="3"/>
  <c r="B51" i="3" s="1"/>
  <c r="M41" i="3"/>
  <c r="L41" i="3"/>
  <c r="B50" i="3" s="1"/>
  <c r="K41" i="3"/>
  <c r="J41" i="3"/>
  <c r="B49" i="3" s="1"/>
  <c r="I41" i="3"/>
  <c r="H41" i="3"/>
  <c r="B48" i="3" s="1"/>
  <c r="G41" i="3"/>
  <c r="F41" i="3"/>
  <c r="B47" i="3" s="1"/>
  <c r="E41" i="3"/>
  <c r="D41" i="3"/>
  <c r="B46" i="3" s="1"/>
  <c r="C41" i="3"/>
  <c r="B41" i="3"/>
  <c r="B45" i="3" s="1"/>
  <c r="J11" i="4"/>
  <c r="N39" i="4"/>
  <c r="N37" i="4"/>
  <c r="N36" i="4"/>
  <c r="N41" i="4" s="1"/>
  <c r="N35" i="4"/>
  <c r="J37" i="4"/>
  <c r="J14" i="4"/>
  <c r="N19" i="4"/>
  <c r="J19" i="4"/>
  <c r="N14" i="4"/>
  <c r="N11" i="4"/>
  <c r="N30" i="4"/>
  <c r="J30" i="4"/>
  <c r="J27" i="4"/>
  <c r="I7" i="4"/>
  <c r="M7" i="4"/>
  <c r="N17" i="4"/>
  <c r="N28" i="4"/>
  <c r="P32" i="4"/>
  <c r="P11" i="4"/>
  <c r="P25" i="4" s="1"/>
  <c r="P26" i="4"/>
  <c r="P28" i="4"/>
  <c r="O7" i="4"/>
  <c r="J39" i="4" l="1"/>
  <c r="N40" i="4"/>
  <c r="P22" i="4"/>
  <c r="AD30" i="4"/>
  <c r="AB30" i="4"/>
  <c r="X30" i="4"/>
  <c r="R30" i="4"/>
  <c r="H29" i="4"/>
  <c r="H32" i="4" s="1"/>
  <c r="AF28" i="4"/>
  <c r="AD28" i="4"/>
  <c r="V28" i="4"/>
  <c r="R28" i="4"/>
  <c r="X27" i="4"/>
  <c r="X29" i="4" s="1"/>
  <c r="X32" i="4" s="1"/>
  <c r="V27" i="4"/>
  <c r="AB25" i="4"/>
  <c r="AB29" i="4" s="1"/>
  <c r="AB32" i="4" s="1"/>
  <c r="Z25" i="4"/>
  <c r="Z29" i="4" s="1"/>
  <c r="Z32" i="4" s="1"/>
  <c r="X25" i="4"/>
  <c r="T25" i="4"/>
  <c r="T29" i="4" s="1"/>
  <c r="T32" i="4" s="1"/>
  <c r="R25" i="4"/>
  <c r="R29" i="4" s="1"/>
  <c r="R32" i="4" s="1"/>
  <c r="P29" i="4"/>
  <c r="H25" i="4"/>
  <c r="AF20" i="4"/>
  <c r="AF22" i="4" s="1"/>
  <c r="AD20" i="4"/>
  <c r="AD22" i="4" s="1"/>
  <c r="AB20" i="4"/>
  <c r="AB22" i="4" s="1"/>
  <c r="X20" i="4"/>
  <c r="X22" i="4" s="1"/>
  <c r="V20" i="4"/>
  <c r="T20" i="4"/>
  <c r="T22" i="4" s="1"/>
  <c r="R20" i="4"/>
  <c r="R22" i="4" s="1"/>
  <c r="Q20" i="4"/>
  <c r="P20" i="4"/>
  <c r="O20" i="4"/>
  <c r="N20" i="4"/>
  <c r="N22" i="4" s="1"/>
  <c r="M20" i="4"/>
  <c r="L20" i="4"/>
  <c r="K20" i="4"/>
  <c r="J20" i="4"/>
  <c r="F20" i="4"/>
  <c r="AF17" i="4"/>
  <c r="AD17" i="4"/>
  <c r="AB17" i="4"/>
  <c r="X17" i="4"/>
  <c r="V17" i="4"/>
  <c r="T17" i="4"/>
  <c r="R17" i="4"/>
  <c r="F17" i="4"/>
  <c r="D17" i="4"/>
  <c r="AB16" i="4"/>
  <c r="T16" i="4"/>
  <c r="R16" i="4"/>
  <c r="P16" i="4"/>
  <c r="H16" i="4"/>
  <c r="D16" i="4"/>
  <c r="AB15" i="4"/>
  <c r="X15" i="4"/>
  <c r="T15" i="4"/>
  <c r="R15" i="4"/>
  <c r="P15" i="4"/>
  <c r="H15" i="4"/>
  <c r="AB12" i="4"/>
  <c r="X12" i="4"/>
  <c r="V12" i="4"/>
  <c r="T12" i="4"/>
  <c r="R12" i="4"/>
  <c r="P12" i="4"/>
  <c r="H12" i="4"/>
  <c r="AD11" i="4"/>
  <c r="AD16" i="4" s="1"/>
  <c r="V11" i="4"/>
  <c r="V15" i="4" s="1"/>
  <c r="N15" i="4"/>
  <c r="L16" i="4"/>
  <c r="J12" i="4"/>
  <c r="F11" i="4"/>
  <c r="F25" i="4" s="1"/>
  <c r="F29" i="4" s="1"/>
  <c r="F32" i="4" s="1"/>
  <c r="D11" i="4"/>
  <c r="D12" i="4" s="1"/>
  <c r="AF10" i="4"/>
  <c r="AF11" i="4" s="1"/>
  <c r="AE7" i="4"/>
  <c r="AC7" i="4"/>
  <c r="AA7" i="4"/>
  <c r="Y7" i="4"/>
  <c r="BE1" i="3"/>
  <c r="B37" i="3" s="1"/>
  <c r="BD1" i="3"/>
  <c r="BC1" i="3"/>
  <c r="B36" i="3" s="1"/>
  <c r="BB1" i="3"/>
  <c r="BA1" i="3"/>
  <c r="B35" i="3" s="1"/>
  <c r="AZ1" i="3"/>
  <c r="AY1" i="3"/>
  <c r="B34" i="3" s="1"/>
  <c r="AX1" i="3"/>
  <c r="AW1" i="3"/>
  <c r="B33" i="3" s="1"/>
  <c r="AV1" i="3"/>
  <c r="AU1" i="3"/>
  <c r="B32" i="3" s="1"/>
  <c r="AT1" i="3"/>
  <c r="AS1" i="3"/>
  <c r="B31" i="3" s="1"/>
  <c r="AR1" i="3"/>
  <c r="AQ1" i="3"/>
  <c r="B30" i="3" s="1"/>
  <c r="AP1" i="3"/>
  <c r="AO1" i="3"/>
  <c r="B29" i="3" s="1"/>
  <c r="AN1" i="3"/>
  <c r="AM1" i="3"/>
  <c r="B28" i="3" s="1"/>
  <c r="AL1" i="3"/>
  <c r="B27" i="3" s="1"/>
  <c r="AK1" i="3"/>
  <c r="AJ1" i="3"/>
  <c r="B26" i="3" s="1"/>
  <c r="AI1" i="3"/>
  <c r="AH1" i="3"/>
  <c r="B25" i="3" s="1"/>
  <c r="AG2" i="3"/>
  <c r="AE2" i="3"/>
  <c r="AC2" i="3"/>
  <c r="AA2" i="3"/>
  <c r="O2" i="3"/>
  <c r="M2" i="3"/>
  <c r="K2" i="3"/>
  <c r="G2" i="3"/>
  <c r="E2" i="3"/>
  <c r="C2" i="3"/>
  <c r="AG1" i="3"/>
  <c r="AF1" i="3"/>
  <c r="B24" i="3" s="1"/>
  <c r="AE1" i="3"/>
  <c r="AD1" i="3"/>
  <c r="B23" i="3" s="1"/>
  <c r="AC1" i="3"/>
  <c r="AB1" i="3"/>
  <c r="B22" i="3" s="1"/>
  <c r="AA1" i="3"/>
  <c r="Z1" i="3"/>
  <c r="B21" i="3" s="1"/>
  <c r="Y1" i="3"/>
  <c r="X1" i="3"/>
  <c r="B20" i="3" s="1"/>
  <c r="W1" i="3"/>
  <c r="V1" i="3"/>
  <c r="B19" i="3" s="1"/>
  <c r="U1" i="3"/>
  <c r="T1" i="3"/>
  <c r="B18" i="3" s="1"/>
  <c r="S1" i="3"/>
  <c r="R1" i="3"/>
  <c r="B17" i="3" s="1"/>
  <c r="Q1" i="3"/>
  <c r="P1" i="3"/>
  <c r="B16" i="3" s="1"/>
  <c r="O1" i="3"/>
  <c r="M1" i="3"/>
  <c r="L1" i="3"/>
  <c r="B15" i="3" s="1"/>
  <c r="K1" i="3"/>
  <c r="J1" i="3"/>
  <c r="B14" i="3" s="1"/>
  <c r="I1" i="3"/>
  <c r="H1" i="3"/>
  <c r="B13" i="3" s="1"/>
  <c r="G1" i="3"/>
  <c r="F1" i="3"/>
  <c r="B12" i="3" s="1"/>
  <c r="E1" i="3"/>
  <c r="D1" i="3"/>
  <c r="B11" i="3" s="1"/>
  <c r="C1" i="3"/>
  <c r="B1" i="3"/>
  <c r="V5" i="4"/>
  <c r="H7" i="4"/>
  <c r="R5" i="4"/>
  <c r="F7" i="4"/>
  <c r="R7" i="4"/>
  <c r="X5" i="4"/>
  <c r="T5" i="4"/>
  <c r="D5" i="4"/>
  <c r="F5" i="4"/>
  <c r="D7" i="4"/>
  <c r="L7" i="4"/>
  <c r="X7" i="4"/>
  <c r="T7" i="4"/>
  <c r="V7" i="4"/>
  <c r="H5" i="4"/>
  <c r="L5" i="4"/>
  <c r="N5" i="4"/>
  <c r="AB5" i="4"/>
  <c r="AD7" i="4"/>
  <c r="J5" i="4"/>
  <c r="AF7" i="4"/>
  <c r="P5" i="4"/>
  <c r="P7" i="4"/>
  <c r="AB7" i="4"/>
  <c r="N7" i="4"/>
  <c r="AD5" i="4"/>
  <c r="AF5" i="4"/>
  <c r="J7" i="4"/>
  <c r="B10" i="3" l="1"/>
  <c r="J41" i="4"/>
  <c r="J40" i="4"/>
  <c r="L15" i="4"/>
  <c r="N16" i="4"/>
  <c r="J15" i="4"/>
  <c r="F22" i="4"/>
  <c r="V25" i="4"/>
  <c r="V29" i="4" s="1"/>
  <c r="V32" i="4" s="1"/>
  <c r="J22" i="4"/>
  <c r="AD12" i="4"/>
  <c r="L12" i="4"/>
  <c r="D15" i="4"/>
  <c r="L22" i="4"/>
  <c r="V22" i="4"/>
  <c r="D25" i="4"/>
  <c r="D29" i="4" s="1"/>
  <c r="D32" i="4" s="1"/>
  <c r="AD15" i="4"/>
  <c r="AF15" i="4"/>
  <c r="AF25" i="4"/>
  <c r="AF29" i="4" s="1"/>
  <c r="AF32" i="4" s="1"/>
  <c r="AF12" i="4"/>
  <c r="AF16" i="4"/>
  <c r="F12" i="4"/>
  <c r="J25" i="4"/>
  <c r="J29" i="4" s="1"/>
  <c r="J32" i="4" s="1"/>
  <c r="N12" i="4"/>
  <c r="F16" i="4"/>
  <c r="V16" i="4"/>
  <c r="L25" i="4"/>
  <c r="L29" i="4" s="1"/>
  <c r="L32" i="4" s="1"/>
  <c r="X16" i="4"/>
  <c r="N25" i="4"/>
  <c r="N29" i="4" s="1"/>
  <c r="N32" i="4" s="1"/>
  <c r="AD25" i="4"/>
  <c r="AD29" i="4" s="1"/>
  <c r="AD32" i="4" s="1"/>
  <c r="F15" i="4"/>
  <c r="J16" i="4"/>
  <c r="BD2" i="3" l="1"/>
  <c r="BB2" i="3"/>
  <c r="AZ2" i="3"/>
  <c r="AX2" i="3"/>
  <c r="AV2" i="3"/>
  <c r="AT2" i="3"/>
  <c r="AS2" i="3"/>
  <c r="C31" i="3" s="1"/>
  <c r="AR2" i="3"/>
  <c r="AP2" i="3"/>
  <c r="AO2" i="3"/>
  <c r="C29" i="3" s="1"/>
  <c r="AN2" i="3"/>
  <c r="AM2" i="3"/>
  <c r="C28" i="3" s="1"/>
  <c r="AK2" i="3"/>
  <c r="AJ2" i="3"/>
  <c r="C26" i="3" s="1"/>
  <c r="AI2" i="3"/>
  <c r="Y7" i="2" l="1"/>
  <c r="J28" i="2"/>
  <c r="V28" i="2"/>
  <c r="V27" i="2"/>
  <c r="V20" i="2"/>
  <c r="V17" i="2"/>
  <c r="V11" i="2"/>
  <c r="U7" i="2"/>
  <c r="G7" i="2"/>
  <c r="Z25" i="2"/>
  <c r="Z29" i="2" s="1"/>
  <c r="Z32" i="2" s="1"/>
  <c r="K7" i="2"/>
  <c r="L30" i="2"/>
  <c r="L28" i="2"/>
  <c r="L11" i="2"/>
  <c r="L16" i="2" s="1"/>
  <c r="L26" i="2"/>
  <c r="L17" i="2"/>
  <c r="L20" i="2"/>
  <c r="K20" i="2"/>
  <c r="AF20" i="2"/>
  <c r="AF17" i="2"/>
  <c r="AF28" i="2"/>
  <c r="AF10" i="2"/>
  <c r="AF11" i="2" s="1"/>
  <c r="AF25" i="2" s="1"/>
  <c r="V5" i="2"/>
  <c r="L7" i="2"/>
  <c r="L5" i="2"/>
  <c r="V7" i="2"/>
  <c r="AF22" i="2" l="1"/>
  <c r="V22" i="2"/>
  <c r="V15" i="2"/>
  <c r="V25" i="2"/>
  <c r="V29" i="2" s="1"/>
  <c r="V32" i="2" s="1"/>
  <c r="V12" i="2"/>
  <c r="V16" i="2"/>
  <c r="L12" i="2"/>
  <c r="L15" i="2"/>
  <c r="L22" i="2"/>
  <c r="L25" i="2"/>
  <c r="L29" i="2" s="1"/>
  <c r="L32" i="2" s="1"/>
  <c r="AD20" i="2"/>
  <c r="AD30" i="2"/>
  <c r="AD28" i="2"/>
  <c r="AD11" i="2"/>
  <c r="AD12" i="2" s="1"/>
  <c r="AD17" i="2"/>
  <c r="AB20" i="2"/>
  <c r="AB22" i="2" s="1"/>
  <c r="AB17" i="2"/>
  <c r="AB15" i="2"/>
  <c r="AB30" i="2"/>
  <c r="X20" i="2"/>
  <c r="X22" i="2" s="1"/>
  <c r="X17" i="2"/>
  <c r="X30" i="2"/>
  <c r="X27" i="2"/>
  <c r="X25" i="2"/>
  <c r="X29" i="2" s="1"/>
  <c r="X32" i="2" s="1"/>
  <c r="R28" i="2"/>
  <c r="T25" i="2"/>
  <c r="T29" i="2" s="1"/>
  <c r="T32" i="2" s="1"/>
  <c r="T20" i="2"/>
  <c r="T22" i="2" s="1"/>
  <c r="T17" i="2"/>
  <c r="T16" i="2"/>
  <c r="T15" i="2"/>
  <c r="T12" i="2"/>
  <c r="S7" i="2"/>
  <c r="R17" i="2"/>
  <c r="R20" i="2"/>
  <c r="R22" i="2" s="1"/>
  <c r="Q20" i="2"/>
  <c r="P20" i="2"/>
  <c r="P22" i="2" s="1"/>
  <c r="O20" i="2"/>
  <c r="N20" i="2"/>
  <c r="M20" i="2"/>
  <c r="J20" i="2"/>
  <c r="F20" i="2"/>
  <c r="R30" i="2"/>
  <c r="R12" i="2"/>
  <c r="N28" i="2"/>
  <c r="N11" i="2"/>
  <c r="N17" i="2"/>
  <c r="J17" i="2"/>
  <c r="J11" i="2"/>
  <c r="J12" i="2" s="1"/>
  <c r="F17" i="2"/>
  <c r="F11" i="2"/>
  <c r="F25" i="2" s="1"/>
  <c r="F29" i="2" s="1"/>
  <c r="F32" i="2" s="1"/>
  <c r="E7" i="2"/>
  <c r="D17" i="2"/>
  <c r="D11" i="2"/>
  <c r="D16" i="2" s="1"/>
  <c r="AB25" i="2"/>
  <c r="AB29" i="2" s="1"/>
  <c r="AB32" i="2" s="1"/>
  <c r="AB16" i="2"/>
  <c r="AB12" i="2"/>
  <c r="AE7" i="2"/>
  <c r="AC7" i="2"/>
  <c r="AA7" i="2"/>
  <c r="W7" i="2"/>
  <c r="Q7" i="2"/>
  <c r="H25" i="2"/>
  <c r="H29" i="2" s="1"/>
  <c r="H32" i="2" s="1"/>
  <c r="H16" i="2"/>
  <c r="J15" i="2"/>
  <c r="P12" i="2"/>
  <c r="P15" i="2"/>
  <c r="H12" i="2"/>
  <c r="O7" i="2"/>
  <c r="M7" i="2"/>
  <c r="I7" i="2"/>
  <c r="C7" i="2"/>
  <c r="D5" i="2"/>
  <c r="H5" i="2"/>
  <c r="J5" i="2"/>
  <c r="AD5" i="2"/>
  <c r="AF5" i="2"/>
  <c r="N5" i="2"/>
  <c r="R7" i="2"/>
  <c r="T5" i="2"/>
  <c r="T7" i="2"/>
  <c r="AB7" i="2"/>
  <c r="F7" i="2"/>
  <c r="X5" i="2"/>
  <c r="D7" i="2"/>
  <c r="P7" i="2"/>
  <c r="AF7" i="2"/>
  <c r="J7" i="2"/>
  <c r="X7" i="2"/>
  <c r="AD7" i="2"/>
  <c r="N7" i="2"/>
  <c r="AB5" i="2"/>
  <c r="H7" i="2"/>
  <c r="R5" i="2"/>
  <c r="P5" i="2"/>
  <c r="F5" i="2"/>
  <c r="F12" i="2" l="1"/>
  <c r="J16" i="2"/>
  <c r="F16" i="2"/>
  <c r="AD22" i="2"/>
  <c r="J25" i="2"/>
  <c r="J29" i="2" s="1"/>
  <c r="J32" i="2" s="1"/>
  <c r="J22" i="2"/>
  <c r="F15" i="2"/>
  <c r="F22" i="2"/>
  <c r="AD16" i="2"/>
  <c r="AD25" i="2"/>
  <c r="AD29" i="2" s="1"/>
  <c r="AD32" i="2" s="1"/>
  <c r="AD15" i="2"/>
  <c r="X16" i="2"/>
  <c r="X12" i="2"/>
  <c r="R16" i="2"/>
  <c r="R25" i="2"/>
  <c r="R29" i="2" s="1"/>
  <c r="R32" i="2" s="1"/>
  <c r="N22" i="2"/>
  <c r="D25" i="2"/>
  <c r="D29" i="2" s="1"/>
  <c r="D32" i="2" s="1"/>
  <c r="AF15" i="2"/>
  <c r="AF12" i="2"/>
  <c r="AF29" i="2"/>
  <c r="AF32" i="2" s="1"/>
  <c r="AF16" i="2"/>
  <c r="R15" i="2"/>
  <c r="X15" i="2"/>
  <c r="N12" i="2"/>
  <c r="N15" i="2"/>
  <c r="N25" i="2"/>
  <c r="N29" i="2" s="1"/>
  <c r="N32" i="2" s="1"/>
  <c r="N16" i="2"/>
  <c r="D15" i="2"/>
  <c r="H15" i="2"/>
  <c r="P16" i="2"/>
  <c r="P29" i="2"/>
  <c r="D12" i="2"/>
  <c r="Z42" i="3" l="1"/>
  <c r="C56" i="3" s="1"/>
  <c r="D42" i="3"/>
  <c r="C46" i="3" s="1"/>
  <c r="X42" i="3"/>
  <c r="C55" i="3" s="1"/>
  <c r="D2" i="3"/>
  <c r="C11" i="3" s="1"/>
  <c r="AL2" i="3"/>
  <c r="C27" i="3" s="1"/>
  <c r="P2" i="3"/>
  <c r="C16" i="3" s="1"/>
  <c r="O42" i="3"/>
  <c r="T2" i="3"/>
  <c r="C18" i="3" s="1"/>
  <c r="W2" i="3" l="1"/>
  <c r="X2" i="3"/>
  <c r="C20" i="3" s="1"/>
  <c r="AB2" i="3"/>
  <c r="C22" i="3" s="1"/>
  <c r="B42" i="3"/>
  <c r="C45" i="3" s="1"/>
  <c r="R2" i="3"/>
  <c r="C17" i="3" s="1"/>
  <c r="F42" i="3"/>
  <c r="C47" i="3" s="1"/>
  <c r="K42" i="3"/>
  <c r="T42" i="3"/>
  <c r="J2" i="3"/>
  <c r="C14" i="3" s="1"/>
  <c r="BA2" i="3"/>
  <c r="C35" i="3" s="1"/>
  <c r="AD42" i="3"/>
  <c r="C58" i="3" s="1"/>
  <c r="U42" i="3"/>
  <c r="AB42" i="3"/>
  <c r="C57" i="3" s="1"/>
  <c r="AU2" i="3"/>
  <c r="C32" i="3" s="1"/>
  <c r="AA42" i="3"/>
  <c r="BC2" i="3"/>
  <c r="C36" i="3" s="1"/>
  <c r="L42" i="3"/>
  <c r="C50" i="3" s="1"/>
  <c r="J42" i="3"/>
  <c r="C49" i="3" s="1"/>
  <c r="AH2" i="3"/>
  <c r="C25" i="3" s="1"/>
  <c r="BE2" i="3"/>
  <c r="C37" i="3" s="1"/>
  <c r="AC42" i="3"/>
  <c r="AY2" i="3"/>
  <c r="C34" i="3" s="1"/>
  <c r="Y2" i="3"/>
  <c r="H2" i="3"/>
  <c r="C13" i="3" s="1"/>
  <c r="AF2" i="3"/>
  <c r="C24" i="3" s="1"/>
  <c r="H42" i="3"/>
  <c r="C48" i="3" s="1"/>
  <c r="Y42" i="3"/>
  <c r="U2" i="3"/>
  <c r="R42" i="3"/>
  <c r="C53" i="3" s="1"/>
  <c r="W42" i="3"/>
  <c r="V42" i="3"/>
  <c r="C54" i="3" s="1"/>
  <c r="Q42" i="3"/>
  <c r="N42" i="3"/>
  <c r="C51" i="3" s="1"/>
  <c r="V2" i="3"/>
  <c r="C19" i="3" s="1"/>
  <c r="S2" i="3"/>
  <c r="F2" i="3"/>
  <c r="C12" i="3" s="1"/>
  <c r="I2" i="3"/>
  <c r="P42" i="3"/>
  <c r="C52" i="3" s="1"/>
  <c r="Z2" i="3"/>
  <c r="C21" i="3" s="1"/>
  <c r="AQ2" i="3"/>
  <c r="C30" i="3" s="1"/>
  <c r="Q2" i="3"/>
  <c r="L2" i="3"/>
  <c r="C15" i="3" s="1"/>
  <c r="AW2" i="3"/>
  <c r="C33" i="3" s="1"/>
  <c r="AD2" i="3"/>
  <c r="C23" i="3" s="1"/>
  <c r="B2" i="3"/>
  <c r="C10" i="3" s="1"/>
  <c r="S42" i="3"/>
</calcChain>
</file>

<file path=xl/comments1.xml><?xml version="1.0" encoding="utf-8"?>
<comments xmlns="http://schemas.openxmlformats.org/spreadsheetml/2006/main">
  <authors>
    <author>Cameron White</author>
  </authors>
  <commentList>
    <comment ref="CM50" authorId="0" shapeId="0">
      <text>
        <r>
          <rPr>
            <sz val="9"/>
            <color indexed="81"/>
            <rFont val="Tahoma"/>
            <family val="2"/>
          </rPr>
          <t>Allocated as a percentage of revenue</t>
        </r>
      </text>
    </comment>
  </commentList>
</comments>
</file>

<file path=xl/sharedStrings.xml><?xml version="1.0" encoding="utf-8"?>
<sst xmlns="http://schemas.openxmlformats.org/spreadsheetml/2006/main" count="650" uniqueCount="369">
  <si>
    <t>Ratings</t>
  </si>
  <si>
    <t>Bond</t>
  </si>
  <si>
    <t>Financials</t>
  </si>
  <si>
    <t>Revenue ($mm)</t>
  </si>
  <si>
    <t>EBITDAX ($mm)</t>
  </si>
  <si>
    <t>EBITDAX margin</t>
  </si>
  <si>
    <t>Debt</t>
  </si>
  <si>
    <t>Leverage</t>
  </si>
  <si>
    <t>Interest Coverage</t>
  </si>
  <si>
    <t>Liquidity</t>
  </si>
  <si>
    <t>LTM FCF</t>
  </si>
  <si>
    <t>EBITDA</t>
  </si>
  <si>
    <t>Capex</t>
  </si>
  <si>
    <t>Interest</t>
  </si>
  <si>
    <t>2019 FCF</t>
  </si>
  <si>
    <t>2019 EBITDA</t>
  </si>
  <si>
    <t>2019 Capex</t>
  </si>
  <si>
    <t>2019 Interest</t>
  </si>
  <si>
    <t>Tax</t>
  </si>
  <si>
    <t>2019 Tax</t>
  </si>
  <si>
    <t>FCF</t>
  </si>
  <si>
    <t>Production</t>
  </si>
  <si>
    <t>Percent Liquids</t>
  </si>
  <si>
    <t>Grid Rating</t>
  </si>
  <si>
    <t>Debt/LQA Production</t>
  </si>
  <si>
    <t>Debt/LTM Production</t>
  </si>
  <si>
    <t>Cash Costs</t>
  </si>
  <si>
    <t>Production Tax</t>
  </si>
  <si>
    <t>G&amp;A costs</t>
  </si>
  <si>
    <t>Full-cycle costs</t>
  </si>
  <si>
    <t>Revenue/boe</t>
  </si>
  <si>
    <t>Unlevered Cash Margin</t>
  </si>
  <si>
    <t>Reserves</t>
  </si>
  <si>
    <t>Proved Reserves (mmboe)</t>
  </si>
  <si>
    <t>Debt/Proved Reserves ($/mboe)</t>
  </si>
  <si>
    <t>Reserve Life</t>
  </si>
  <si>
    <t>SEC PV-10</t>
  </si>
  <si>
    <t>PV-10/Debt</t>
  </si>
  <si>
    <t xml:space="preserve">Hedges </t>
  </si>
  <si>
    <t>2019 Hedges (oil)</t>
  </si>
  <si>
    <t>2019 Hedges (nat gas)</t>
  </si>
  <si>
    <t>2020 Hedges (oil)</t>
  </si>
  <si>
    <t>2020 Hedges (natural gas)</t>
  </si>
  <si>
    <t>SM Energy</t>
  </si>
  <si>
    <t>LQA Production (mmboe)</t>
  </si>
  <si>
    <t>LTM Production (mmboe)</t>
  </si>
  <si>
    <t>Daily Production (mboe/d)</t>
  </si>
  <si>
    <t>Debt/LTM Daily Production</t>
  </si>
  <si>
    <t>LOE/Transportation</t>
  </si>
  <si>
    <t>QEP Resources</t>
  </si>
  <si>
    <t>Concho Resources</t>
  </si>
  <si>
    <t>Denbury Resources</t>
  </si>
  <si>
    <t>Continental Resources</t>
  </si>
  <si>
    <t>Apache Corp</t>
  </si>
  <si>
    <t>Anadarko Petroleum</t>
  </si>
  <si>
    <t>ConocoPhillips</t>
  </si>
  <si>
    <t>Marathon Oil</t>
  </si>
  <si>
    <t>Occidental Petroleum</t>
  </si>
  <si>
    <t>Cimarex</t>
  </si>
  <si>
    <t>Whiting Petroleum</t>
  </si>
  <si>
    <t>Southwestern</t>
  </si>
  <si>
    <t>Range Resources</t>
  </si>
  <si>
    <t>Gulfport</t>
  </si>
  <si>
    <t>Laredo Petroleum</t>
  </si>
  <si>
    <t>Devon Energy</t>
  </si>
  <si>
    <t>Oasis Petroleum</t>
  </si>
  <si>
    <t>Antero Resources</t>
  </si>
  <si>
    <t>EP Energy</t>
  </si>
  <si>
    <t>Diamondback Energy</t>
  </si>
  <si>
    <t>Newfield Exploration</t>
  </si>
  <si>
    <t>WPX Energy</t>
  </si>
  <si>
    <t>Carrizo Oil&amp;Gas</t>
  </si>
  <si>
    <t>California Resources</t>
  </si>
  <si>
    <t>Dividends</t>
  </si>
  <si>
    <t>Share Repurchases</t>
  </si>
  <si>
    <t>Discretionary  FCF</t>
  </si>
  <si>
    <t>Paramount Resources</t>
  </si>
  <si>
    <t>Endeavor Energy</t>
  </si>
  <si>
    <t>Encana</t>
  </si>
  <si>
    <t>CNX Resources</t>
  </si>
  <si>
    <t>EOG Resources</t>
  </si>
  <si>
    <t>Murphy Oil</t>
  </si>
  <si>
    <t>PDC Energy</t>
  </si>
  <si>
    <t>Hilcorp Exploration</t>
  </si>
  <si>
    <t>Parsley Energy</t>
  </si>
  <si>
    <t>Mackay Production Pull-Forward</t>
  </si>
  <si>
    <t xml:space="preserve">Crude </t>
  </si>
  <si>
    <t>Nat Gas</t>
  </si>
  <si>
    <t>Matador Resources</t>
  </si>
  <si>
    <t>Price</t>
  </si>
  <si>
    <t>Pioneer Natural Resources</t>
  </si>
  <si>
    <t>Chesapeake Energy</t>
  </si>
  <si>
    <t>B1/BB-</t>
  </si>
  <si>
    <t>Ba3/BB+</t>
  </si>
  <si>
    <t>5.75% '26</t>
  </si>
  <si>
    <t>PX_LAST</t>
  </si>
  <si>
    <t>YLD_CNV_OPEN</t>
  </si>
  <si>
    <t>qJ9576555 corp</t>
  </si>
  <si>
    <t>Caa2/B-/CCC+</t>
  </si>
  <si>
    <t>8.0% '22</t>
  </si>
  <si>
    <t>Ba3/BB+/BBB-</t>
  </si>
  <si>
    <t>5.0% '25</t>
  </si>
  <si>
    <t>AO1126629 corp</t>
  </si>
  <si>
    <t>B2/B+</t>
  </si>
  <si>
    <t>8.25% '25</t>
  </si>
  <si>
    <t>AO1652376 corp</t>
  </si>
  <si>
    <t>AU6889052 corp</t>
  </si>
  <si>
    <t>B3/B+</t>
  </si>
  <si>
    <t>7.0% '24</t>
  </si>
  <si>
    <t>B3/BB-</t>
  </si>
  <si>
    <t>5.875% '22</t>
  </si>
  <si>
    <t>EK6583927 corp</t>
  </si>
  <si>
    <t>Baa3/BBB-/BBB</t>
  </si>
  <si>
    <t>4.375% '25</t>
  </si>
  <si>
    <t>AL7282349 corp</t>
  </si>
  <si>
    <t>9.25% '22</t>
  </si>
  <si>
    <t>AQ2692491 corp</t>
  </si>
  <si>
    <t>B2/BB-</t>
  </si>
  <si>
    <t>5.50% '26</t>
  </si>
  <si>
    <t>AQ2229047 corp</t>
  </si>
  <si>
    <t>Ba2/BB+/BBB-</t>
  </si>
  <si>
    <t>5.375% '25</t>
  </si>
  <si>
    <t>AO0955093 corp</t>
  </si>
  <si>
    <t>Caa2/CCC-/CCC-</t>
  </si>
  <si>
    <t>6.375% '23</t>
  </si>
  <si>
    <t>AF2041107 corp</t>
  </si>
  <si>
    <t>6.375% '25</t>
  </si>
  <si>
    <t>AO6542499 corp</t>
  </si>
  <si>
    <t>Ba2/BB+</t>
  </si>
  <si>
    <t>5.75% '25</t>
  </si>
  <si>
    <t>EK9287666 corp</t>
  </si>
  <si>
    <t>6.25% '23</t>
  </si>
  <si>
    <t>EK7884373 corp</t>
  </si>
  <si>
    <t>av7264519 corp</t>
  </si>
  <si>
    <t>5.875% '26</t>
  </si>
  <si>
    <t>Ba2/BBB-/BB+</t>
  </si>
  <si>
    <t>ao6537143 corp</t>
  </si>
  <si>
    <t>6.25% '26</t>
  </si>
  <si>
    <t>as4470579 corp</t>
  </si>
  <si>
    <t>ap2883829 corp</t>
  </si>
  <si>
    <t>Ba3/BB</t>
  </si>
  <si>
    <t>al5956845 corp</t>
  </si>
  <si>
    <t>at3081839 corp</t>
  </si>
  <si>
    <t>4.875% '25</t>
  </si>
  <si>
    <t>jk4439317 corp</t>
  </si>
  <si>
    <t>B2/BB-/BB-</t>
  </si>
  <si>
    <t>6.625% '27</t>
  </si>
  <si>
    <t>at9394434 corp</t>
  </si>
  <si>
    <t>Ba3/BB/BB</t>
  </si>
  <si>
    <t>7.5% '26</t>
  </si>
  <si>
    <t>ap0996078 corp</t>
  </si>
  <si>
    <t>Ba3/BB-/BB-</t>
  </si>
  <si>
    <t>5.625% '26</t>
  </si>
  <si>
    <t>ap8909974 corp</t>
  </si>
  <si>
    <t>B2/BB</t>
  </si>
  <si>
    <t>6.625% '26</t>
  </si>
  <si>
    <t>as9994474 corp</t>
  </si>
  <si>
    <t>as5835499 corp</t>
  </si>
  <si>
    <t>YTW/Spread</t>
  </si>
  <si>
    <t>5.55% '26</t>
  </si>
  <si>
    <t>jk4486045 corp</t>
  </si>
  <si>
    <t>OAS_SPREAD_MID</t>
  </si>
  <si>
    <t>au0590557 corp</t>
  </si>
  <si>
    <t>Baa3/BBB/BBB</t>
  </si>
  <si>
    <t>4.375% '28</t>
  </si>
  <si>
    <t>Ba1/BBB/BBB</t>
  </si>
  <si>
    <t>3.90% '27</t>
  </si>
  <si>
    <t>Baa3/BBB-/BBB-</t>
  </si>
  <si>
    <t>an1132447 corp</t>
  </si>
  <si>
    <t>jk3436074 corp</t>
  </si>
  <si>
    <t>A3/A/A</t>
  </si>
  <si>
    <t>4.95% '26</t>
  </si>
  <si>
    <t>as3194220 corp</t>
  </si>
  <si>
    <t>5.85% '25</t>
  </si>
  <si>
    <t>Ba1/BBB/BBB+</t>
  </si>
  <si>
    <t>jv2587196 corp</t>
  </si>
  <si>
    <t>Baa1/A-/BBB+</t>
  </si>
  <si>
    <t>4.15% '26</t>
  </si>
  <si>
    <t>jv6007332 corp</t>
  </si>
  <si>
    <t>Ba1/BBB-/BBB</t>
  </si>
  <si>
    <t>6.5% '34</t>
  </si>
  <si>
    <t>ed5603961 corp</t>
  </si>
  <si>
    <t>ao3535017 corp</t>
  </si>
  <si>
    <t>3.0% '27</t>
  </si>
  <si>
    <t>al0940299 corp</t>
  </si>
  <si>
    <t>4.4% '27</t>
  </si>
  <si>
    <t>4.45% '26</t>
  </si>
  <si>
    <t>Baa2/BBB/BBB</t>
  </si>
  <si>
    <t>qj9978017 corp</t>
  </si>
  <si>
    <t>Boardwalk</t>
  </si>
  <si>
    <t>Buckeye</t>
  </si>
  <si>
    <t>Enable</t>
  </si>
  <si>
    <t>Enterprise</t>
  </si>
  <si>
    <t>Kinder Morgan</t>
  </si>
  <si>
    <t>Magellan</t>
  </si>
  <si>
    <t>Plains All American</t>
  </si>
  <si>
    <t>TransCanada</t>
  </si>
  <si>
    <t>Williams</t>
  </si>
  <si>
    <t>5.95% '26</t>
  </si>
  <si>
    <t>lw1068706 corp</t>
  </si>
  <si>
    <t>Description</t>
  </si>
  <si>
    <t>14,335 miles of pipeline</t>
  </si>
  <si>
    <t xml:space="preserve">Contracts </t>
  </si>
  <si>
    <t>83% firm reservation, 6% Service</t>
  </si>
  <si>
    <t>4.125% '27</t>
  </si>
  <si>
    <t>ap9675491 corp</t>
  </si>
  <si>
    <t>Market Capitalization</t>
  </si>
  <si>
    <t>Enterprise Value</t>
  </si>
  <si>
    <t>EV/EBITDA</t>
  </si>
  <si>
    <t>NA</t>
  </si>
  <si>
    <t>EBITDA ($mm)</t>
  </si>
  <si>
    <t>EBITDA margin</t>
  </si>
  <si>
    <t>4.40% '27</t>
  </si>
  <si>
    <t>am7613012 corp</t>
  </si>
  <si>
    <t>Baa1/BBB+/BBB+</t>
  </si>
  <si>
    <t>4.15% '28</t>
  </si>
  <si>
    <t>au8143607 corp</t>
  </si>
  <si>
    <t>Baa2/BBB/BBB-</t>
  </si>
  <si>
    <t>4.30% '25</t>
  </si>
  <si>
    <t>ek6237607 corp</t>
  </si>
  <si>
    <t>Spread</t>
  </si>
  <si>
    <t>Cash</t>
  </si>
  <si>
    <t>5.0% '26</t>
  </si>
  <si>
    <t>jk2126734 corp</t>
  </si>
  <si>
    <t>Ba1/BBB-/BBB-</t>
  </si>
  <si>
    <t>4.50% '26</t>
  </si>
  <si>
    <t>al2939414 corp</t>
  </si>
  <si>
    <t>4.25% '28</t>
  </si>
  <si>
    <t>as5051345 corp</t>
  </si>
  <si>
    <t>Baa3/BBB/BBB-</t>
  </si>
  <si>
    <t>3.75% '27</t>
  </si>
  <si>
    <t>an8093246 corp</t>
  </si>
  <si>
    <t>Noble Energy</t>
  </si>
  <si>
    <t>4.75% '28</t>
  </si>
  <si>
    <t>at9556495 corp</t>
  </si>
  <si>
    <t>Western Midstream</t>
  </si>
  <si>
    <t>Oneok</t>
  </si>
  <si>
    <t>Enbridge</t>
  </si>
  <si>
    <t>12/31/2018 ($CAD)</t>
  </si>
  <si>
    <t>Baa2/BBB+/BBB+</t>
  </si>
  <si>
    <t>3.70% '27</t>
  </si>
  <si>
    <t>ao1405585 corp</t>
  </si>
  <si>
    <t>Columbia Pipeline</t>
  </si>
  <si>
    <t xml:space="preserve">Higher Leverage.  Contract roll issues. Fixed fee revenue backlog declines.  </t>
  </si>
  <si>
    <t xml:space="preserve">Leverage target is below ~5.0x (higher leverage).  L3 delays highlight regulatory issues. </t>
  </si>
  <si>
    <t xml:space="preserve">Integrated asset base.  Self fund equity growth investments.  3.5x net debt/leverage target.  </t>
  </si>
  <si>
    <t>Buy Rating</t>
  </si>
  <si>
    <t xml:space="preserve">Leverage expected to rise due to growth projects.  </t>
  </si>
  <si>
    <t xml:space="preserve">Upgrade from Moody's isn't expected for the next few quarters.  </t>
  </si>
  <si>
    <t>Long term 4.2x target.</t>
  </si>
  <si>
    <t>56% of EBITDA is pipelines with petrolum product in the northeast and midwest.  44% of EBITDA is from marine terminal in the East Coast, Gulf and Caribbean.  Higer Leverage.  Backwardated curve.</t>
  </si>
  <si>
    <t>Strong producer activity on footprint (majority in SCOOP/STACK).  Stable single digit growth outlook.  Majority of contracts are fee-based.  Reasonable leverage.</t>
  </si>
  <si>
    <t xml:space="preserve">4.5x leverage target.  Natural gas levered. Strong growth pipeline.  50% owner of Ruby Pipelin ($150mm to KMI) </t>
  </si>
  <si>
    <t xml:space="preserve">Moody's negative outlook.  </t>
  </si>
  <si>
    <t>jk8194108 corp</t>
  </si>
  <si>
    <t>Baa1/NR/BBB+</t>
  </si>
  <si>
    <t>4.5% '25</t>
  </si>
  <si>
    <t>4.55% ' 28</t>
  </si>
  <si>
    <t>at2061758 corp</t>
  </si>
  <si>
    <t xml:space="preserve">Leverage anticipated to increase by 1.0x in 2019 due to XXX. Significant FCF deficit.  </t>
  </si>
  <si>
    <t>aq7078274 corp</t>
  </si>
  <si>
    <t>Pull-Forward/Debt</t>
  </si>
  <si>
    <t>3-Yr F&amp;D costs</t>
  </si>
  <si>
    <t>Areas of Operation</t>
  </si>
  <si>
    <t>Marcellus/Utica</t>
  </si>
  <si>
    <t>San Joaquin/Los Angeles/Ventura</t>
  </si>
  <si>
    <t>Permian/Eagle Ford</t>
  </si>
  <si>
    <t xml:space="preserve">Marcellus/Granite Wash/Mississippi Lime/PRB/Haynesville/Brazos </t>
  </si>
  <si>
    <t>Marcellus/Uitca</t>
  </si>
  <si>
    <t>Permian</t>
  </si>
  <si>
    <t>Gulf Coast/Rockey Mountains</t>
  </si>
  <si>
    <t>Uinta/Eagle Ford/Permian</t>
  </si>
  <si>
    <t>Utica/SCOOP/Gulf Coast</t>
  </si>
  <si>
    <t>Permian/Eagle Ford/Haynesville</t>
  </si>
  <si>
    <t>Eagle Ford/GOM/Duvernay/Montney/SE Asia/Brazil/Australia</t>
  </si>
  <si>
    <t>Williston/Permian</t>
  </si>
  <si>
    <t>Montney/Duvernay</t>
  </si>
  <si>
    <t>DJ Basin/Permian</t>
  </si>
  <si>
    <t>Marcellus/Utica/Cotton Valley</t>
  </si>
  <si>
    <t>Eagle Ford/Permian</t>
  </si>
  <si>
    <t>Bakken</t>
  </si>
  <si>
    <t>Bakken/Permian</t>
  </si>
  <si>
    <t>Husky Energy</t>
  </si>
  <si>
    <t>Baa2/BBB</t>
  </si>
  <si>
    <t>3.6% '27</t>
  </si>
  <si>
    <t>am7761993 corp</t>
  </si>
  <si>
    <t>12/31/2018 (CAD)</t>
  </si>
  <si>
    <t>Centennial Resource</t>
  </si>
  <si>
    <t>5.375% '26</t>
  </si>
  <si>
    <t>aq0125759 corp</t>
  </si>
  <si>
    <t>Jagged Peak</t>
  </si>
  <si>
    <t>`</t>
  </si>
  <si>
    <t>E&amp;P Sensitivity</t>
  </si>
  <si>
    <t>NGL % of Liquids</t>
  </si>
  <si>
    <t>Column</t>
  </si>
  <si>
    <t>Pull-Forward/PV-10</t>
  </si>
  <si>
    <t>B3/B</t>
  </si>
  <si>
    <t>ax0971496 corp</t>
  </si>
  <si>
    <t>Kosmos Energy</t>
  </si>
  <si>
    <t>Company</t>
  </si>
  <si>
    <t>Coverage</t>
  </si>
  <si>
    <t>Assumptions</t>
  </si>
  <si>
    <t>Crude Differential</t>
  </si>
  <si>
    <t>Nat Gas Differential</t>
  </si>
  <si>
    <t>Citgo Petroleum</t>
  </si>
  <si>
    <t>Calumet Specialty</t>
  </si>
  <si>
    <t>CVR Refining</t>
  </si>
  <si>
    <t>Marathon Petroleum</t>
  </si>
  <si>
    <t>PBF Refining</t>
  </si>
  <si>
    <t>Phillips 66</t>
  </si>
  <si>
    <t>Valero</t>
  </si>
  <si>
    <t>4.35% '28</t>
  </si>
  <si>
    <t>as7113937 corp</t>
  </si>
  <si>
    <t>A3/BBB+</t>
  </si>
  <si>
    <t>3.90% '28</t>
  </si>
  <si>
    <t>ar4953873 corp</t>
  </si>
  <si>
    <t>3.8% '28</t>
  </si>
  <si>
    <t>au7909263 corp</t>
  </si>
  <si>
    <t>Consolidated</t>
  </si>
  <si>
    <t>Standalone EBITDA</t>
  </si>
  <si>
    <t>Standalone Debt</t>
  </si>
  <si>
    <t>Market Cap</t>
  </si>
  <si>
    <t>Standalone EBITDA plus Distribution</t>
  </si>
  <si>
    <t>2019 Production</t>
  </si>
  <si>
    <t>Depletion Rate Year 1</t>
  </si>
  <si>
    <t>Depletion Rate Year 2+</t>
  </si>
  <si>
    <t>WTI Crude Oil</t>
  </si>
  <si>
    <t>NYMEX Natural Gas</t>
  </si>
  <si>
    <t>Full-cycle ratio (Moody's definition)</t>
  </si>
  <si>
    <t>Targa Resources</t>
  </si>
  <si>
    <t>qz6591072 corp</t>
  </si>
  <si>
    <t>5.375% '27</t>
  </si>
  <si>
    <t>Thesis</t>
  </si>
  <si>
    <t>Antero Midstream</t>
  </si>
  <si>
    <t>Blue Racer</t>
  </si>
  <si>
    <t>Cheniere</t>
  </si>
  <si>
    <t>Crestwood</t>
  </si>
  <si>
    <t>DCP Midtream</t>
  </si>
  <si>
    <t>EnLink</t>
  </si>
  <si>
    <t>Genesis Energy</t>
  </si>
  <si>
    <t>NGL Partners</t>
  </si>
  <si>
    <t>NGLPCO</t>
  </si>
  <si>
    <t>SemGroup</t>
  </si>
  <si>
    <t>Sunoco LP</t>
  </si>
  <si>
    <t>Tallgrass</t>
  </si>
  <si>
    <t>lw8414374 corp</t>
  </si>
  <si>
    <t>Ba1/BB+/BBB-</t>
  </si>
  <si>
    <t>4.85% '26</t>
  </si>
  <si>
    <t>BA1/BB-/BB</t>
  </si>
  <si>
    <t>Ba1/BBB-</t>
  </si>
  <si>
    <t>Ba2/BB/BB+</t>
  </si>
  <si>
    <t>aO0405131 corp</t>
  </si>
  <si>
    <t>Ba2/BB/BB</t>
  </si>
  <si>
    <t>B2/B/BB-</t>
  </si>
  <si>
    <t>Baa1/BBB+/A-</t>
  </si>
  <si>
    <t>5.75% '27</t>
  </si>
  <si>
    <t>ax3484406 corp</t>
  </si>
  <si>
    <t>at5412909 corp</t>
  </si>
  <si>
    <t>av0291246 corp</t>
  </si>
  <si>
    <t>Leverage (w/ Distribution)</t>
  </si>
  <si>
    <t>Cenovus</t>
  </si>
  <si>
    <t>Canadian Oil Sands</t>
  </si>
  <si>
    <t>Net Revenue ($mm)</t>
  </si>
  <si>
    <t>4.25% '27</t>
  </si>
  <si>
    <t>ap9549274 corp</t>
  </si>
  <si>
    <t>Ba1/BBB/BBB-</t>
  </si>
  <si>
    <t>Energy Transfer</t>
  </si>
  <si>
    <t>5.5% '27</t>
  </si>
  <si>
    <t>ax8689231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</si>
</sst>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\x"/>
    <numFmt numFmtId="166" formatCode="_(* #,##0.0_);_(* \(#,##0.0\);_(* &quot;-&quot;??_);_(@_)"/>
    <numFmt numFmtId="167" formatCode="_(* #,##0_);_(* \(#,##0\);_(* &quot;-&quot;??_);_(@_)"/>
    <numFmt numFmtId="168" formatCode="0.0"/>
    <numFmt numFmtId="169" formatCode="_(* #,##0.0_);_(* \(#,##0.0\);_(* &quot;-&quot;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9" fontId="0" fillId="0" borderId="0" xfId="2" applyFont="1"/>
    <xf numFmtId="164" fontId="0" fillId="0" borderId="0" xfId="2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2" fontId="0" fillId="0" borderId="0" xfId="0" applyNumberFormat="1"/>
    <xf numFmtId="168" fontId="0" fillId="0" borderId="0" xfId="0" applyNumberFormat="1"/>
    <xf numFmtId="9" fontId="0" fillId="0" borderId="0" xfId="0" applyNumberFormat="1"/>
    <xf numFmtId="0" fontId="3" fillId="2" borderId="0" xfId="0" applyFont="1" applyFill="1"/>
    <xf numFmtId="2" fontId="5" fillId="0" borderId="0" xfId="0" applyNumberFormat="1" applyFont="1"/>
    <xf numFmtId="0" fontId="2" fillId="0" borderId="0" xfId="0" applyFont="1"/>
    <xf numFmtId="2" fontId="2" fillId="0" borderId="0" xfId="0" applyNumberFormat="1" applyFont="1"/>
    <xf numFmtId="43" fontId="2" fillId="0" borderId="0" xfId="1" applyFont="1"/>
    <xf numFmtId="0" fontId="5" fillId="0" borderId="0" xfId="0" applyFont="1"/>
    <xf numFmtId="14" fontId="3" fillId="2" borderId="0" xfId="0" applyNumberFormat="1" applyFont="1" applyFill="1"/>
    <xf numFmtId="166" fontId="0" fillId="0" borderId="0" xfId="0" applyNumberFormat="1"/>
    <xf numFmtId="168" fontId="5" fillId="0" borderId="0" xfId="0" applyNumberFormat="1" applyFont="1"/>
    <xf numFmtId="166" fontId="5" fillId="0" borderId="0" xfId="1" applyNumberFormat="1" applyFont="1"/>
    <xf numFmtId="164" fontId="0" fillId="0" borderId="0" xfId="0" applyNumberFormat="1"/>
    <xf numFmtId="164" fontId="4" fillId="0" borderId="0" xfId="2" applyNumberFormat="1" applyFont="1"/>
    <xf numFmtId="2" fontId="5" fillId="3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center"/>
    </xf>
    <xf numFmtId="9" fontId="0" fillId="3" borderId="0" xfId="2" applyFont="1" applyFill="1"/>
    <xf numFmtId="43" fontId="0" fillId="3" borderId="0" xfId="1" applyFont="1" applyFill="1"/>
    <xf numFmtId="43" fontId="0" fillId="0" borderId="0" xfId="1" applyNumberFormat="1" applyFont="1"/>
    <xf numFmtId="166" fontId="7" fillId="0" borderId="0" xfId="1" applyNumberFormat="1" applyFont="1"/>
    <xf numFmtId="166" fontId="7" fillId="0" borderId="0" xfId="0" applyNumberFormat="1" applyFont="1"/>
    <xf numFmtId="0" fontId="3" fillId="0" borderId="0" xfId="0" applyFont="1"/>
    <xf numFmtId="168" fontId="0" fillId="4" borderId="0" xfId="0" applyNumberFormat="1" applyFill="1"/>
    <xf numFmtId="167" fontId="0" fillId="4" borderId="0" xfId="1" applyNumberFormat="1" applyFont="1" applyFill="1"/>
    <xf numFmtId="166" fontId="0" fillId="5" borderId="0" xfId="1" applyNumberFormat="1" applyFont="1" applyFill="1"/>
    <xf numFmtId="169" fontId="0" fillId="0" borderId="0" xfId="0" applyNumberFormat="1"/>
    <xf numFmtId="0" fontId="0" fillId="0" borderId="0" xfId="0" applyAlignment="1">
      <alignment horizontal="right"/>
    </xf>
    <xf numFmtId="9" fontId="0" fillId="3" borderId="0" xfId="0" applyNumberFormat="1" applyFill="1"/>
    <xf numFmtId="43" fontId="0" fillId="0" borderId="0" xfId="1" applyFont="1" applyAlignment="1">
      <alignment horizontal="right"/>
    </xf>
    <xf numFmtId="0" fontId="3" fillId="2" borderId="0" xfId="0" applyFont="1" applyFill="1" applyAlignment="1">
      <alignment horizontal="right"/>
    </xf>
    <xf numFmtId="166" fontId="0" fillId="0" borderId="0" xfId="1" applyNumberFormat="1" applyFont="1" applyAlignment="1">
      <alignment horizontal="right"/>
    </xf>
    <xf numFmtId="14" fontId="3" fillId="2" borderId="0" xfId="0" applyNumberFormat="1" applyFont="1" applyFill="1" applyAlignment="1">
      <alignment horizontal="right"/>
    </xf>
    <xf numFmtId="166" fontId="0" fillId="5" borderId="0" xfId="0" applyNumberFormat="1" applyFill="1"/>
    <xf numFmtId="2" fontId="8" fillId="4" borderId="0" xfId="0" applyNumberFormat="1" applyFont="1" applyFill="1"/>
    <xf numFmtId="9" fontId="0" fillId="5" borderId="0" xfId="0" applyNumberFormat="1" applyFill="1"/>
    <xf numFmtId="0" fontId="0" fillId="2" borderId="0" xfId="0" applyFill="1"/>
    <xf numFmtId="43" fontId="9" fillId="2" borderId="0" xfId="0" applyNumberFormat="1" applyFont="1" applyFill="1"/>
    <xf numFmtId="2" fontId="5" fillId="5" borderId="0" xfId="0" applyNumberFormat="1" applyFont="1" applyFill="1"/>
    <xf numFmtId="164" fontId="1" fillId="0" borderId="0" xfId="2" applyNumberFormat="1" applyFont="1"/>
    <xf numFmtId="164" fontId="0" fillId="5" borderId="0" xfId="2" applyNumberFormat="1" applyFont="1" applyFill="1"/>
    <xf numFmtId="2" fontId="8" fillId="0" borderId="0" xfId="0" applyNumberFormat="1" applyFont="1"/>
    <xf numFmtId="44" fontId="0" fillId="0" borderId="0" xfId="3" applyFont="1"/>
    <xf numFmtId="166" fontId="10" fillId="5" borderId="0" xfId="1" applyNumberFormat="1" applyFont="1" applyFill="1"/>
    <xf numFmtId="43" fontId="0" fillId="0" borderId="0" xfId="1" applyNumberFormat="1" applyFont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140.80021916300299</v>
        <stp/>
        <stp>##V3_BDPV12</stp>
        <stp>an8093246 corp</stp>
        <stp>OAS_SPREAD_MID</stp>
        <stp>[E_and_P_Relative_Value_Workbook_v1.xlsx]Midstream Comps!R7C30</stp>
        <tr r="AD7" s="2"/>
      </tp>
      <tp>
        <v>140.80021916300299</v>
        <stp/>
        <stp>##V3_BDPV12</stp>
        <stp>an8093246 corp</stp>
        <stp>OAS_SPREAD_MID</stp>
        <stp>[E_and_P_Relative_Value_Workbook_v1.xlsx]Midstream Comps!R7C63</stp>
        <tr r="BK7" s="2"/>
      </tp>
      <tp>
        <v>119.839448272824</v>
        <stp/>
        <stp>##V3_BDPV12</stp>
        <stp>jk2126734 corp</stp>
        <stp>OAS_SPREAD_MID</stp>
        <stp>[E_and_P_Relative_Value_Workbook_v1.xlsx]Midstream Comps!R7C20</stp>
        <tr r="T7" s="2"/>
      </tp>
      <tp>
        <v>8.2443855300000006</v>
        <stp/>
        <stp>##V3_BDPV12</stp>
        <stp>AO1652376 corp</stp>
        <stp>YLD_CNV_OPEN</stp>
        <stp>[EP Relative Value 1 (003).xlsx]E&amp;P Comps!R7C8</stp>
        <tr r="H7" s="1"/>
      </tp>
      <tp>
        <v>118.510582569466</v>
        <stp/>
        <stp>##V3_BDPV12</stp>
        <stp>ek6237607 corp</stp>
        <stp>OAS_SPREAD_MID</stp>
        <stp>[E_and_P_Relative_Value_Workbook_v1.xlsx]Midstream Comps!R7C18</stp>
        <tr r="R7" s="2"/>
      </tp>
      <tp>
        <v>15.804256032544945</v>
        <stp/>
        <stp>##V3_BDPV12</stp>
        <stp>qJ9576555 corp</stp>
        <stp>YLD_CNV_OPEN</stp>
        <stp>[EP Relative Value 1 (003).xlsx]E&amp;P Comps!R7C6</stp>
        <tr r="F7" s="1"/>
      </tp>
      <tp>
        <v>5.4289677100557192</v>
        <stp/>
        <stp>##V3_BDPV12</stp>
        <stp>AO1126629 corp</stp>
        <stp>YLD_CNV_OPEN</stp>
        <stp>[EP Relative Value 1 (003).xlsx]E&amp;P Comps!R7C4</stp>
        <tr r="D7" s="1"/>
      </tp>
      <tp>
        <v>243.53021349585501</v>
        <stp/>
        <stp>##V3_BDPV12</stp>
        <stp>am7613012 corp</stp>
        <stp>OAS_SPREAD_MID</stp>
        <stp>[E_and_P_Relative_Value_Workbook_v1.xlsx]Midstream Comps!R7C10</stp>
        <tr r="J7" s="2"/>
      </tp>
      <tp t="b">
        <v>0</v>
        <stp/>
        <stp>##V3_BDPV12</stp>
        <stp/>
        <stp>PX_LAST</stp>
        <stp>[EP Relative Value 1 (003).xlsx]Midstream Comps!R5C39</stp>
        <tr r="AM5" s="2"/>
      </tp>
      <tp t="b">
        <v>0</v>
        <stp/>
        <stp>##V3_BDPV12</stp>
        <stp/>
        <stp>PX_LAST</stp>
        <stp>[EP Relative Value 1 (003).xlsx]Midstream Comps!R5C55</stp>
        <tr r="BC5" s="2"/>
      </tp>
      <tp>
        <v>121.108273528588</v>
        <stp/>
        <stp>##V3_BDPV12</stp>
        <stp>ao1405585 corp</stp>
        <stp>OAS_SPREAD_MID</stp>
        <stp>[E_and_P_Relative_Value_Workbook_v1.xlsx]Midstream Comps!R7C12</stp>
        <tr r="L7" s="2"/>
      </tp>
      <tp>
        <v>176.71196214838</v>
        <stp/>
        <stp>##V3_BDPV12</stp>
        <stp>al2939414 corp</stp>
        <stp>OAS_SPREAD_MID</stp>
        <stp>[E_and_P_Relative_Value_Workbook_v1.xlsx]Midstream Comps!R7C24</stp>
        <tr r="X7" s="2"/>
      </tp>
      <tp t="b">
        <v>0</v>
        <stp/>
        <stp>##V3_BDPV12</stp>
        <stp/>
        <stp>OAS_SPREAD_MID</stp>
        <stp>[EP Relative Value 1 (003).xlsx]Midstream Comps!R7C39</stp>
        <tr r="AM7" s="2"/>
      </tp>
      <tp t="b">
        <v>0</v>
        <stp/>
        <stp>##V3_BDPV12</stp>
        <stp/>
        <stp>OAS_SPREAD_MID</stp>
        <stp>[EP Relative Value 1 (003).xlsx]Midstream Comps!R7C55</stp>
        <tr r="BC7" s="2"/>
      </tp>
      <tp>
        <v>246.049277107786</v>
        <stp/>
        <stp>##V3_BDPV12</stp>
        <stp>qz6591072 corp</stp>
        <stp>OAS_SPREAD_MID</stp>
        <stp>[E_and_P_Relative_Value_Workbook_v1.xlsx]Midstream Comps!R7C49</stp>
        <tr r="AW7" s="2"/>
      </tp>
      <tp>
        <v>158.92129153273399</v>
        <stp/>
        <stp>##V3_BDPV12</stp>
        <stp>at2061758 corp</stp>
        <stp>OAS_SPREAD_MID</stp>
        <stp>[E_and_P_Relative_Value_Workbook_v1.xlsx]Midstream Comps!R7C22</stp>
        <tr r="V7" s="2"/>
      </tp>
      <tp t="b">
        <v>0</v>
        <stp/>
        <stp>##V3_BDPV12</stp>
        <stp/>
        <stp>PX_LAST</stp>
        <stp>[E&amp;P Relative Value 1.xlsx]Midstream Comps!R5C37</stp>
        <tr r="AK5" s="2"/>
      </tp>
      <tp t="b">
        <v>0</v>
        <stp/>
        <stp>##V3_BDPV12</stp>
        <stp/>
        <stp>PX_LAST</stp>
        <stp>[E&amp;P Relative Value 1.xlsx]Midstream Comps!R5C53</stp>
        <tr r="BA5" s="2"/>
      </tp>
      <tp>
        <v>262.92618196130502</v>
        <stp/>
        <stp>##V3_BDPV12</stp>
        <stp>av0291246 corp</stp>
        <stp>OAS_SPREAD_MID</stp>
        <stp>[E_and_P_Relative_Value_Workbook_v1.xlsx]Midstream Comps!R7C57</stp>
        <tr r="BE7" s="2"/>
      </tp>
      <tp>
        <v>110.465181962454</v>
        <stp/>
        <stp>##V3_BDPV12</stp>
        <stp>au8143607 corp</stp>
        <stp>OAS_SPREAD_MID</stp>
        <stp>[E_and_P_Relative_Value_Workbook_v1.xlsx]Midstream Comps!R7C14</stp>
        <tr r="N7" s="2"/>
      </tp>
      <tp t="b">
        <v>0</v>
        <stp/>
        <stp>##V3_BDPV12</stp>
        <stp/>
        <stp>OAS_SPREAD_MID</stp>
        <stp>[EP Relative Value 1 (003).xlsx]Refining Comps!R7C8</stp>
        <tr r="H7" s="4"/>
      </tp>
      <tp t="b">
        <v>0</v>
        <stp/>
        <stp>##V3_BDPV12</stp>
        <stp/>
        <stp>OAS_SPREAD_MID</stp>
        <stp>[EP Relative Value 1 (003).xlsx]Refining Comps!R7C6</stp>
        <tr r="F7" s="4"/>
      </tp>
      <tp t="b">
        <v>0</v>
        <stp/>
        <stp>##V3_BDPV12</stp>
        <stp/>
        <stp>OAS_SPREAD_MID</stp>
        <stp>[EP Relative Value 1 (003).xlsx]Refining Comps!R7C4</stp>
        <tr r="D7" s="4"/>
      </tp>
      <tp>
        <v>193.33586413709099</v>
        <stp/>
        <stp>##V3_BDPV12</stp>
        <stp>ax8689231 corp</stp>
        <stp>OAS_SPREAD_MID</stp>
        <stp>[E_and_P_Relative_Value_Workbook_v1.xlsx]Midstream Comps!R7C16</stp>
        <tr r="P7" s="2"/>
      </tp>
      <tp>
        <v>245.80588052405599</v>
        <stp/>
        <stp>##V3_BDPV12</stp>
        <stp>at9556495 corp</stp>
        <stp>OAS_SPREAD_MID</stp>
        <stp>[E_and_P_Relative_Value_Workbook_v1.xlsx]Midstream Comps!R7C65</stp>
        <tr r="BM7" s="2"/>
      </tp>
      <tp>
        <v>245.80588052405599</v>
        <stp/>
        <stp>##V3_BDPV12</stp>
        <stp>at9556495 corp</stp>
        <stp>OAS_SPREAD_MID</stp>
        <stp>[E_and_P_Relative_Value_Workbook_v1.xlsx]Midstream Comps!R7C32</stp>
        <tr r="AF7" s="2"/>
      </tp>
      <tp>
        <v>134.03417971196299</v>
        <stp/>
        <stp>##V3_BDPV12</stp>
        <stp>as5051345 corp</stp>
        <stp>OAS_SPREAD_MID</stp>
        <stp>[E_and_P_Relative_Value_Workbook_v1.xlsx]Midstream Comps!R7C61</stp>
        <tr r="BI7" s="2"/>
      </tp>
      <tp>
        <v>134.03417971196299</v>
        <stp/>
        <stp>##V3_BDPV12</stp>
        <stp>as5051345 corp</stp>
        <stp>OAS_SPREAD_MID</stp>
        <stp>[E_and_P_Relative_Value_Workbook_v1.xlsx]Midstream Comps!R7C28</stp>
        <tr r="AB7" s="2"/>
      </tp>
    </main>
    <main first="bloomberg.rtd">
      <tp>
        <v>101.711</v>
        <stp/>
        <stp>##V3_BDPV12</stp>
        <stp>ax3484406 corp</stp>
        <stp>PX_LAST</stp>
        <stp>[E_and_P_Relative_Value_Workbook_v1.xlsx]Midstream Comps!R5C35</stp>
        <tr r="AI5" s="2"/>
      </tp>
      <tp>
        <v>97.725999999999999</v>
        <stp/>
        <stp>##V3_BDPV12</stp>
        <stp>am7613012 corp</stp>
        <stp>PX_LAST</stp>
        <stp>[E_and_P_Relative_Value_Workbook_v1.xlsx]Midstream Comps!R5C10</stp>
        <tr r="J5" s="2"/>
      </tp>
      <tp>
        <v>104.096</v>
        <stp/>
        <stp>##V3_BDPV12</stp>
        <stp>as5051345 corp</stp>
        <stp>PX_LAST</stp>
        <stp>[E_and_P_Relative_Value_Workbook_v1.xlsx]Midstream Comps!R5C61</stp>
        <tr r="BI5" s="2"/>
      </tp>
      <tp>
        <v>101.651</v>
        <stp/>
        <stp>##V3_BDPV12</stp>
        <stp>qz6591072 corp</stp>
        <stp>PX_LAST</stp>
        <stp>[E_and_P_Relative_Value_Workbook_v1.xlsx]Midstream Comps!R5C51</stp>
        <tr r="AY5" s="2"/>
      </tp>
      <tp>
        <v>104.096</v>
        <stp/>
        <stp>##V3_BDPV12</stp>
        <stp>as5051345 corp</stp>
        <stp>PX_LAST</stp>
        <stp>[E_and_P_Relative_Value_Workbook_v1.xlsx]Midstream Comps!R5C28</stp>
        <tr r="AB5" s="2"/>
      </tp>
      <tp>
        <v>102.639</v>
        <stp/>
        <stp>##V3_BDPV12</stp>
        <stp>al2939414 corp</stp>
        <stp>PX_LAST</stp>
        <stp>[E_and_P_Relative_Value_Workbook_v1.xlsx]Midstream Comps!R5C24</stp>
        <tr r="X5" s="2"/>
      </tp>
      <tp>
        <v>6.6685543952483082</v>
        <stp/>
        <stp>##V3_BDPV12</stp>
        <stp>EK6583927 corp</stp>
        <stp>YLD_CNV_OPEN</stp>
        <stp>[E_and_P_Relative_Value_Workbook_v1.xlsx]E&amp;P Comps!R7C14</stp>
        <tr r="N7" s="1"/>
      </tp>
      <tp>
        <v>108.886</v>
        <stp/>
        <stp>##V3_BDPV12</stp>
        <stp>jk2126734 corp</stp>
        <stp>PX_LAST</stp>
        <stp>[E_and_P_Relative_Value_Workbook_v1.xlsx]Midstream Comps!R5C20</stp>
        <tr r="T5" s="2"/>
      </tp>
      <tp>
        <v>104.46899999999999</v>
        <stp/>
        <stp>##V3_BDPV12</stp>
        <stp>at2061758 corp</stp>
        <stp>PX_LAST</stp>
        <stp>[E_and_P_Relative_Value_Workbook_v1.xlsx]Midstream Comps!R5C22</stp>
        <tr r="V5" s="2"/>
      </tp>
      <tp>
        <v>80.534386272078095</v>
        <stp/>
        <stp>##V3_BDPV12</stp>
        <stp>AL7282349 corp</stp>
        <stp>OAS_SPREAD_MID</stp>
        <stp>[E_and_P_Relative_Value_Workbook_v1.xlsx]Midstream Comps!R7C47</stp>
        <tr r="AU7" s="2"/>
      </tp>
      <tp>
        <v>103.221</v>
        <stp/>
        <stp>##V3_BDPV12</stp>
        <stp>AL7282349 corp</stp>
        <stp>PX_LAST</stp>
        <stp>[E_and_P_Relative_Value_Workbook_v1.xlsx]Midstream Comps!R5C47</stp>
        <tr r="AU5" s="2"/>
      </tp>
      <tp>
        <v>101.04300000000001</v>
        <stp/>
        <stp>##V3_BDPV12</stp>
        <stp>ao1405585 corp</stp>
        <stp>PX_LAST</stp>
        <stp>[E_and_P_Relative_Value_Workbook_v1.xlsx]Midstream Comps!R5C12</stp>
        <tr r="L5" s="2"/>
      </tp>
      <tp>
        <v>101.095</v>
        <stp/>
        <stp>##V3_BDPV12</stp>
        <stp>av0291246 corp</stp>
        <stp>PX_LAST</stp>
        <stp>[E_and_P_Relative_Value_Workbook_v1.xlsx]Midstream Comps!R5C57</stp>
        <tr r="BE5" s="2"/>
      </tp>
      <tp>
        <v>102.476</v>
        <stp/>
        <stp>##V3_BDPV12</stp>
        <stp>aO0405131 corp</stp>
        <stp>PX_LAST</stp>
        <stp>[E_and_P_Relative_Value_Workbook_v1.xlsx]Midstream Comps!R5C41</stp>
        <tr r="AO5" s="2"/>
      </tp>
      <tp>
        <v>104.52200000000001</v>
        <stp/>
        <stp>##V3_BDPV12</stp>
        <stp>ek6237607 corp</stp>
        <stp>PX_LAST</stp>
        <stp>[E_and_P_Relative_Value_Workbook_v1.xlsx]Midstream Comps!R5C18</stp>
        <tr r="R5" s="2"/>
      </tp>
      <tp>
        <v>105.259</v>
        <stp/>
        <stp>##V3_BDPV12</stp>
        <stp>au8143607 corp</stp>
        <stp>PX_LAST</stp>
        <stp>[E_and_P_Relative_Value_Workbook_v1.xlsx]Midstream Comps!R5C14</stp>
        <tr r="N5" s="2"/>
      </tp>
      <tp>
        <v>99.453000000000003</v>
        <stp/>
        <stp>##V3_BDPV12</stp>
        <stp>at9556495 corp</stp>
        <stp>PX_LAST</stp>
        <stp>[E_and_P_Relative_Value_Workbook_v1.xlsx]Midstream Comps!R5C65</stp>
        <tr r="BM5" s="2"/>
      </tp>
      <tp>
        <v>99.453000000000003</v>
        <stp/>
        <stp>##V3_BDPV12</stp>
        <stp>at9556495 corp</stp>
        <stp>PX_LAST</stp>
        <stp>[E_and_P_Relative_Value_Workbook_v1.xlsx]Midstream Comps!R5C32</stp>
        <tr r="AF5" s="2"/>
      </tp>
      <tp>
        <v>104.71</v>
        <stp/>
        <stp>##V3_BDPV12</stp>
        <stp>at5412909 corp</stp>
        <stp>PX_LAST</stp>
        <stp>[E_and_P_Relative_Value_Workbook_v1.xlsx]Midstream Comps!R5C43</stp>
        <tr r="AQ5" s="2"/>
      </tp>
      <tp>
        <v>98.968999999999994</v>
        <stp/>
        <stp>##V3_BDPV12</stp>
        <stp>lw8414374 corp</stp>
        <stp>PX_LAST</stp>
        <stp>[E_and_P_Relative_Value_Workbook_v1.xlsx]Midstream Comps!R5C45</stp>
        <tr r="AS5" s="2"/>
      </tp>
      <tp>
        <v>100.08</v>
        <stp/>
        <stp>##V3_BDPV12</stp>
        <stp>an8093246 corp</stp>
        <stp>PX_LAST</stp>
        <stp>[E_and_P_Relative_Value_Workbook_v1.xlsx]Midstream Comps!R5C63</stp>
        <tr r="BK5" s="2"/>
      </tp>
      <tp>
        <v>108.21</v>
        <stp/>
        <stp>##V3_BDPV12</stp>
        <stp>ax8689231 corp</stp>
        <stp>PX_LAST</stp>
        <stp>[E_and_P_Relative_Value_Workbook_v1.xlsx]Midstream Comps!R5C16</stp>
        <tr r="P5" s="2"/>
      </tp>
      <tp>
        <v>100.08</v>
        <stp/>
        <stp>##V3_BDPV12</stp>
        <stp>an8093246 corp</stp>
        <stp>PX_LAST</stp>
        <stp>[E_and_P_Relative_Value_Workbook_v1.xlsx]Midstream Comps!R5C30</stp>
        <tr r="AD5" s="2"/>
      </tp>
      <tp>
        <v>4.50292564</v>
        <stp/>
        <stp>##V3_BDPV12</stp>
        <stp>at5412909 corp</stp>
        <stp>YLD_CNV_OPEN</stp>
        <stp>[EP Relative Value 1 (003).xlsx]Midstream Comps!R7C43</stp>
        <tr r="AQ7" s="2"/>
      </tp>
      <tp>
        <v>5.045394322382255</v>
        <stp/>
        <stp>##V3_BDPV12</stp>
        <stp>lw8414374 corp</stp>
        <stp>YLD_CNV_OPEN</stp>
        <stp>[EP Relative Value 1 (003).xlsx]Midstream Comps!R7C45</stp>
        <tr r="AS7" s="2"/>
      </tp>
      <tp>
        <v>5.0958275500000001</v>
        <stp/>
        <stp>##V3_BDPV12</stp>
        <stp>qz6591072 corp</stp>
        <stp>YLD_CNV_OPEN</stp>
        <stp>[EP Relative Value 1 (003).xlsx]Midstream Comps!R7C51</stp>
        <tr r="AY7" s="2"/>
      </tp>
      <tp>
        <v>5.4319682599999997</v>
        <stp/>
        <stp>##V3_BDPV12</stp>
        <stp>ax3484406 corp</stp>
        <stp>YLD_CNV_OPEN</stp>
        <stp>[EP Relative Value 1 (003).xlsx]Midstream Comps!R7C35</stp>
        <tr r="AI7" s="2"/>
      </tp>
      <tp t="b">
        <v>0</v>
        <stp/>
        <stp>##V3_BDPV12</stp>
        <stp/>
        <stp>OAS_SPREAD_MID</stp>
        <stp>[EP Relative Value 1 (003).xlsx]Refining Comps!R7C24</stp>
        <tr r="X7" s="4"/>
      </tp>
      <tp t="b">
        <v>0</v>
        <stp/>
        <stp>##V3_BDPV12</stp>
        <stp/>
        <stp>OAS_SPREAD_MID</stp>
        <stp>[EP Relative Value 1 (003).xlsx]Refining Comps!R7C22</stp>
        <tr r="V7" s="4"/>
      </tp>
      <tp t="b">
        <v>0</v>
        <stp/>
        <stp>##V3_BDPV12</stp>
        <stp/>
        <stp>OAS_SPREAD_MID</stp>
        <stp>[EP Relative Value 1 (003).xlsx]Refining Comps!R7C20</stp>
        <tr r="T7" s="4"/>
      </tp>
      <tp t="b">
        <v>0</v>
        <stp/>
        <stp>##V3_BDPV12</stp>
        <stp/>
        <stp>OAS_SPREAD_MID</stp>
        <stp>[EP Relative Value 1 (003).xlsx]Refining Comps!R7C12</stp>
        <tr r="L7" s="4"/>
      </tp>
      <tp t="b">
        <v>0</v>
        <stp/>
        <stp>##V3_BDPV12</stp>
        <stp/>
        <stp>OAS_SPREAD_MID</stp>
        <stp>[EP Relative Value 1 (003).xlsx]Refining Comps!R7C18</stp>
        <tr r="R7" s="4"/>
      </tp>
      <tp>
        <v>5.13199133</v>
        <stp/>
        <stp>##V3_BDPV12</stp>
        <stp>aO0405131 corp</stp>
        <stp>YLD_CNV_OPEN</stp>
        <stp>[EP Relative Value 1 (003).xlsx]Midstream Comps!R7C41</stp>
        <tr r="AO7" s="2"/>
      </tp>
      <tp>
        <v>7.7381602468984347</v>
        <stp/>
        <stp>##V3_BDPV12</stp>
        <stp>EK7884373 corp</stp>
        <stp>YLD_CNV_OPEN</stp>
        <stp>[EP Relative Value 1 (003).xlsx]E&amp;P Comps!R7C34</stp>
        <tr r="AH7" s="1"/>
      </tp>
      <tp>
        <v>9.1715179525744066</v>
        <stp/>
        <stp>##V3_BDPV12</stp>
        <stp>AO6542499 corp</stp>
        <stp>YLD_CNV_OPEN</stp>
        <stp>[EP Relative Value 1 (003).xlsx]E&amp;P Comps!R7C26</stp>
        <tr r="Z7" s="1"/>
      </tp>
      <tp t="b">
        <v>0</v>
        <stp/>
        <stp>##V3_BDPV12</stp>
        <stp/>
        <stp>PX_LAST</stp>
        <stp>[EP Relative Value 1 (003).xlsx]Refining Comps!R5C4</stp>
        <tr r="D5" s="4"/>
      </tp>
      <tp t="b">
        <v>0</v>
        <stp/>
        <stp>##V3_BDPV12</stp>
        <stp/>
        <stp>PX_LAST</stp>
        <stp>[EP Relative Value 1 (003).xlsx]Refining Comps!R5C6</stp>
        <tr r="F5" s="4"/>
      </tp>
      <tp t="b">
        <v>0</v>
        <stp/>
        <stp>##V3_BDPV12</stp>
        <stp/>
        <stp>PX_LAST</stp>
        <stp>[EP Relative Value 1 (003).xlsx]Refining Comps!R5C8</stp>
        <tr r="H5" s="4"/>
      </tp>
      <tp>
        <v>7.6528307636761346</v>
        <stp/>
        <stp>##V3_BDPV12</stp>
        <stp>AU6889052 corp</stp>
        <stp>YLD_CNV_OPEN</stp>
        <stp>[EP Relative Value 1 (003).xlsx]E&amp;P Comps!R7C12</stp>
        <tr r="L7" s="1"/>
      </tp>
      <tp>
        <v>5.5697056099999998</v>
        <stp/>
        <stp>##V3_BDPV12</stp>
        <stp>EK9287666 corp</stp>
        <stp>YLD_CNV_OPEN</stp>
        <stp>[EP Relative Value 1 (003).xlsx]E&amp;P Comps!R7C28</stp>
        <tr r="AB7" s="1"/>
      </tp>
      <tp>
        <v>100.08</v>
        <stp/>
        <stp>##V3_BDPV12</stp>
        <stp>an8093246 corp</stp>
        <stp>PX_LAST</stp>
        <stp>[E_and_P_Relative_Value_Workbook_v1.xlsx]Refining Comps!R5C30</stp>
        <tr r="AD5" s="4"/>
      </tp>
      <tp>
        <v>106.014</v>
        <stp/>
        <stp>##V3_BDPV12</stp>
        <stp>jk8194108 corp</stp>
        <stp>PX_LAST</stp>
        <stp>[E_and_P_Relative_Value_Workbook_v1.xlsx]Midstream Comps!R5C8</stp>
        <tr r="H5" s="2"/>
      </tp>
      <tp>
        <v>8.8874652800000007</v>
        <stp/>
        <stp>##V3_BDPV12</stp>
        <stp>AQ2692491 corp</stp>
        <stp>YLD_CNV_OPEN</stp>
        <stp>[EP Relative Value 1 (003).xlsx]E&amp;P Comps!R7C18</stp>
        <tr r="R7" s="1"/>
      </tp>
      <tp>
        <v>106.301</v>
        <stp/>
        <stp>##V3_BDPV12</stp>
        <stp>qj9978017 corp</stp>
        <stp>PX_LAST</stp>
        <stp>[E_and_P_Relative_Value_Workbook_v1.xlsx]E&amp;P Comps!R5C93</stp>
        <tr r="CO5" s="1"/>
      </tp>
      <tp>
        <v>79.018000000000001</v>
        <stp/>
        <stp>##V3_BDPV12</stp>
        <stp>qJ9576555 corp</stp>
        <stp>PX_LAST</stp>
        <stp>[E_and_P_Relative_Value_Workbook_v1.xlsx]E&amp;P Comps!R5C6</stp>
        <tr r="F5" s="1"/>
      </tp>
      <tp>
        <v>4.06012664</v>
        <stp/>
        <stp>##V3_BDPV12</stp>
        <stp>AO0955093 corp</stp>
        <stp>YLD_CNV_OPEN</stp>
        <stp>[EP Relative Value 1 (003).xlsx]E&amp;P Comps!R7C22</stp>
        <tr r="V7" s="1"/>
      </tp>
      <tp>
        <v>100.151</v>
        <stp/>
        <stp>##V3_BDPV12</stp>
        <stp>AO1652376 corp</stp>
        <stp>PX_LAST</stp>
        <stp>[E_and_P_Relative_Value_Workbook_v1.xlsx]E&amp;P Comps!R5C8</stp>
        <tr r="H5" s="1"/>
      </tp>
      <tp>
        <v>4.57735585</v>
        <stp/>
        <stp>##V3_BDPV12</stp>
        <stp>AQ2229047 corp</stp>
        <stp>YLD_CNV_OPEN</stp>
        <stp>[EP Relative Value 1 (003).xlsx]E&amp;P Comps!R7C20</stp>
        <tr r="T7" s="1"/>
      </tp>
      <tp>
        <v>97.784000000000006</v>
        <stp/>
        <stp>##V3_BDPV12</stp>
        <stp>AO1126629 corp</stp>
        <stp>PX_LAST</stp>
        <stp>[E_and_P_Relative_Value_Workbook_v1.xlsx]E&amp;P Comps!R5C4</stp>
        <tr r="D5" s="1"/>
      </tp>
      <tp>
        <v>94.671626098979161</v>
        <stp/>
        <stp>##V3_BDPV12</stp>
        <stp>AF2041107 corp</stp>
        <stp>YLD_CNV_OPEN</stp>
        <stp>[EP Relative Value 1 (003).xlsx]E&amp;P Comps!R7C24</stp>
        <tr r="X7" s="1"/>
      </tp>
      <tp>
        <v>3.4396152799999999</v>
        <stp/>
        <stp>##V3_BDPV12</stp>
        <stp>AL7282349 corp</stp>
        <stp>YLD_CNV_OPEN</stp>
        <stp>[EP Relative Value 1 (003).xlsx]E&amp;P Comps!R7C16</stp>
        <tr r="P7" s="1"/>
      </tp>
      <tp>
        <v>156.756046831003</v>
        <stp/>
        <stp>##V3_BDPV12</stp>
        <stp>au7909263 corp</stp>
        <stp>OAS_SPREAD_MID</stp>
        <stp>[E_and_P_Relative_Value_Workbook_v1.xlsx]Refining Comps!R7C10</stp>
        <tr r="J7" s="4"/>
      </tp>
      <tp>
        <v>110.889</v>
        <stp/>
        <stp>##V3_BDPV12</stp>
        <stp>jk4486045 corp</stp>
        <stp>PX_LAST</stp>
        <stp>[E_and_P_Relative_Value_Workbook_v1.xlsx]E&amp;P Comps!R5C63</stp>
        <tr r="BK5" s="1"/>
      </tp>
      <tp>
        <v>102.255</v>
        <stp/>
        <stp>##V3_BDPV12</stp>
        <stp>am7761993 corp</stp>
        <stp>PX_LAST</stp>
        <stp>[E_and_P_Relative_Value_Workbook_v1.xlsx]E&amp;P Comps!R5C85</stp>
        <tr r="CG5" s="1"/>
      </tp>
      <tp>
        <v>120.297</v>
        <stp/>
        <stp>##V3_BDPV12</stp>
        <stp>ed5603961 corp</stp>
        <stp>PX_LAST</stp>
        <stp>[E_and_P_Relative_Value_Workbook_v1.xlsx]E&amp;P Comps!R5C77</stp>
        <tr r="BY5" s="1"/>
      </tp>
      <tp>
        <v>114.54600000000001</v>
        <stp/>
        <stp>##V3_BDPV12</stp>
        <stp>jv2587196 corp</stp>
        <stp>PX_LAST</stp>
        <stp>[E_and_P_Relative_Value_Workbook_v1.xlsx]E&amp;P Comps!R5C79</stp>
        <tr r="CA5" s="1"/>
      </tp>
      <tp>
        <v>134.03417971196299</v>
        <stp/>
        <stp>##V3_BDPV12</stp>
        <stp>as5051345 corp</stp>
        <stp>OAS_SPREAD_MID</stp>
        <stp>[E_and_P_Relative_Value_Workbook_v1.xlsx]Refining Comps!R7C28</stp>
        <tr r="AB7" s="4"/>
      </tp>
      <tp>
        <v>245.80588052405599</v>
        <stp/>
        <stp>##V3_BDPV12</stp>
        <stp>at9556495 corp</stp>
        <stp>OAS_SPREAD_MID</stp>
        <stp>[E_and_P_Relative_Value_Workbook_v1.xlsx]Refining Comps!R7C32</stp>
        <tr r="AF7" s="4"/>
      </tp>
      <tp>
        <v>101.05200000000001</v>
        <stp/>
        <stp>##V3_BDPV12</stp>
        <stp>an1132447 corp</stp>
        <stp>PX_LAST</stp>
        <stp>[E_and_P_Relative_Value_Workbook_v1.xlsx]E&amp;P Comps!R5C69</stp>
        <tr r="BQ5" s="1"/>
      </tp>
      <tp>
        <v>103.523</v>
        <stp/>
        <stp>##V3_BDPV12</stp>
        <stp>ao3535017 corp</stp>
        <stp>PX_LAST</stp>
        <stp>[E_and_P_Relative_Value_Workbook_v1.xlsx]E&amp;P Comps!R5C87</stp>
        <tr r="CI5" s="1"/>
      </tp>
      <tp>
        <v>94.379000000000005</v>
        <stp/>
        <stp>##V3_BDPV12</stp>
        <stp>ap8909974 corp</stp>
        <stp>PX_LAST</stp>
        <stp>[E_and_P_Relative_Value_Workbook_v1.xlsx]E&amp;P Comps!R5C55</stp>
        <tr r="BC5" s="1"/>
      </tp>
      <tp>
        <v>99.075000000000003</v>
        <stp/>
        <stp>##V3_BDPV12</stp>
        <stp>au7909263 corp</stp>
        <stp>PX_LAST</stp>
        <stp>[E_and_P_Relative_Value_Workbook_v1.xlsx]Refining Comps!R5C10</stp>
        <tr r="J5" s="4"/>
      </tp>
      <tp>
        <v>125.481573376912</v>
        <stp/>
        <stp>##V3_BDPV12</stp>
        <stp>ar4953873 corp</stp>
        <stp>OAS_SPREAD_MID</stp>
        <stp>[E_and_P_Relative_Value_Workbook_v1.xlsx]Refining Comps!R7C14</stp>
        <tr r="N7" s="4"/>
      </tp>
      <tp>
        <v>151.72295608399699</v>
        <stp/>
        <stp>##V3_BDPV12</stp>
        <stp>as7113937 corp</stp>
        <stp>OAS_SPREAD_MID</stp>
        <stp>[E_and_P_Relative_Value_Workbook_v1.xlsx]Refining Comps!R7C16</stp>
        <tr r="P7" s="4"/>
      </tp>
      <tp t="b">
        <v>0</v>
        <stp/>
        <stp>##V3_BDPV12</stp>
        <stp>qz6591072 corp</stp>
        <stp/>
        <stp>[E&amp;P Relative Value 1.xlsx]Midstream Comps!R5C49</stp>
        <tr r="AW5" s="2"/>
      </tp>
      <tp>
        <v>308.71387115160798</v>
        <stp/>
        <stp>##V3_BDPV12</stp>
        <stp>ap9675491 corp</stp>
        <stp>OAS_SPREAD_MID</stp>
        <stp>[E_and_P_Relative_Value_Workbook_v1.xlsx]Midstream Comps!R7C6</stp>
        <tr r="F7" s="2"/>
      </tp>
      <tp>
        <v>108.861</v>
        <stp/>
        <stp>##V3_BDPV12</stp>
        <stp>lw1068706 corp</stp>
        <stp>PX_LAST</stp>
        <stp>[E_and_P_Relative_Value_Workbook_v1.xlsx]Midstream Comps!R5C4</stp>
        <tr r="D5" s="2"/>
      </tp>
      <tp>
        <v>100.262</v>
        <stp/>
        <stp>##V3_BDPV12</stp>
        <stp>ax0971496 corp</stp>
        <stp>PX_LAST</stp>
        <stp>[E_and_P_Relative_Value_Workbook_v1.xlsx]E&amp;P Comps!R5C30</stp>
        <tr r="AD5" s="1"/>
      </tp>
      <tp>
        <v>97.658000000000001</v>
        <stp/>
        <stp>##V3_BDPV12</stp>
        <stp>ap2883829 corp</stp>
        <stp>PX_LAST</stp>
        <stp>[E_and_P_Relative_Value_Workbook_v1.xlsx]E&amp;P Comps!R5C43</stp>
        <tr r="AQ5" s="1"/>
      </tp>
      <tp>
        <v>99.998999999999995</v>
        <stp/>
        <stp>##V3_BDPV12</stp>
        <stp>ap0996078 corp</stp>
        <stp>PX_LAST</stp>
        <stp>[E_and_P_Relative_Value_Workbook_v1.xlsx]E&amp;P Comps!R5C53</stp>
        <tr r="BA5" s="1"/>
      </tp>
      <tp>
        <v>98.078999999999994</v>
        <stp/>
        <stp>##V3_BDPV12</stp>
        <stp>at3081839 corp</stp>
        <stp>PX_LAST</stp>
        <stp>[E_and_P_Relative_Value_Workbook_v1.xlsx]E&amp;P Comps!R5C47</stp>
        <tr r="AU5" s="1"/>
      </tp>
      <tp>
        <v>101.29900000000001</v>
        <stp/>
        <stp>##V3_BDPV12</stp>
        <stp>al5956845 corp</stp>
        <stp>PX_LAST</stp>
        <stp>[E_and_P_Relative_Value_Workbook_v1.xlsx]E&amp;P Comps!R5C45</stp>
        <tr r="AS5" s="1"/>
      </tp>
      <tp>
        <v>101.277</v>
        <stp/>
        <stp>##V3_BDPV12</stp>
        <stp>ao6537143 corp</stp>
        <stp>PX_LAST</stp>
        <stp>[E_and_P_Relative_Value_Workbook_v1.xlsx]E&amp;P Comps!R5C38</stp>
        <tr r="AL5" s="1"/>
      </tp>
      <tp>
        <v>100.099</v>
        <stp/>
        <stp>##V3_BDPV12</stp>
        <stp>ap9549274 corp</stp>
        <stp>PX_LAST</stp>
        <stp>[E_and_P_Relative_Value_Workbook_v1.xlsx]E&amp;P Comps!R5C67</stp>
        <tr r="BO5" s="1"/>
      </tp>
      <tp>
        <v>103.509</v>
        <stp/>
        <stp>##V3_BDPV12</stp>
        <stp>as7113937 corp</stp>
        <stp>PX_LAST</stp>
        <stp>[E_and_P_Relative_Value_Workbook_v1.xlsx]Refining Comps!R5C16</stp>
        <tr r="P5" s="4"/>
      </tp>
      <tp>
        <v>91.028000000000006</v>
        <stp/>
        <stp>##V3_BDPV12</stp>
        <stp>jk4439317 corp</stp>
        <stp>PX_LAST</stp>
        <stp>[E_and_P_Relative_Value_Workbook_v1.xlsx]E&amp;P Comps!R5C49</stp>
        <tr r="AW5" s="1"/>
      </tp>
      <tp>
        <v>100.52800000000001</v>
        <stp/>
        <stp>##V3_BDPV12</stp>
        <stp>av7264519 corp</stp>
        <stp>PX_LAST</stp>
        <stp>[E_and_P_Relative_Value_Workbook_v1.xlsx]E&amp;P Comps!R5C36</stp>
        <tr r="AJ5" s="1"/>
      </tp>
      <tp>
        <v>102.13200000000001</v>
        <stp/>
        <stp>##V3_BDPV12</stp>
        <stp>ar4953873 corp</stp>
        <stp>PX_LAST</stp>
        <stp>[E_and_P_Relative_Value_Workbook_v1.xlsx]Refining Comps!R5C14</stp>
        <tr r="N5" s="4"/>
      </tp>
      <tp>
        <v>92.787000000000006</v>
        <stp/>
        <stp>##V3_BDPV12</stp>
        <stp>as4470579 corp</stp>
        <stp>PX_LAST</stp>
        <stp>[E_and_P_Relative_Value_Workbook_v1.xlsx]E&amp;P Comps!R5C40</stp>
        <tr r="AN5" s="1"/>
      </tp>
      <tp>
        <v>101.512</v>
        <stp/>
        <stp>##V3_BDPV12</stp>
        <stp>au0590557 corp</stp>
        <stp>PX_LAST</stp>
        <stp>[E_and_P_Relative_Value_Workbook_v1.xlsx]E&amp;P Comps!R5C65</stp>
        <tr r="BM5" s="1"/>
      </tp>
      <tp>
        <v>110.37948777890701</v>
        <stp/>
        <stp>##V3_BDPV12</stp>
        <stp>jk8194108 corp</stp>
        <stp>OAS_SPREAD_MID</stp>
        <stp>[E_and_P_Relative_Value_Workbook_v1.xlsx]Midstream Comps!R7C8</stp>
        <tr r="H7" s="2"/>
      </tp>
      <tp>
        <v>104.096</v>
        <stp/>
        <stp>##V3_BDPV12</stp>
        <stp>as5051345 corp</stp>
        <stp>PX_LAST</stp>
        <stp>[E_and_P_Relative_Value_Workbook_v1.xlsx]Refining Comps!R5C28</stp>
        <tr r="AB5" s="4"/>
      </tp>
      <tp>
        <v>99.453000000000003</v>
        <stp/>
        <stp>##V3_BDPV12</stp>
        <stp>at9556495 corp</stp>
        <stp>PX_LAST</stp>
        <stp>[E_and_P_Relative_Value_Workbook_v1.xlsx]Refining Comps!R5C32</stp>
        <tr r="AF5" s="4"/>
      </tp>
      <tp t="b">
        <v>0</v>
        <stp/>
        <stp>##V3_BDPV12</stp>
        <stp/>
        <stp>OAS_SPREAD_MID</stp>
        <stp>[E&amp;P Relative Value 1.xlsx]Midstream Comps!R7C37</stp>
        <tr r="AK7" s="2"/>
      </tp>
      <tp t="b">
        <v>0</v>
        <stp/>
        <stp>##V3_BDPV12</stp>
        <stp/>
        <stp>OAS_SPREAD_MID</stp>
        <stp>[E&amp;P Relative Value 1.xlsx]Midstream Comps!R7C53</stp>
        <tr r="BA7" s="2"/>
      </tp>
      <tp>
        <v>96.254999999999995</v>
        <stp/>
        <stp>##V3_BDPV12</stp>
        <stp>al0940299 corp</stp>
        <stp>PX_LAST</stp>
        <stp>[E_and_P_Relative_Value_Workbook_v1.xlsx]E&amp;P Comps!R5C91</stp>
        <tr r="CM5" s="1"/>
      </tp>
      <tp>
        <v>92.77</v>
        <stp/>
        <stp>##V3_BDPV12</stp>
        <stp>at9394434 corp</stp>
        <stp>PX_LAST</stp>
        <stp>[E_and_P_Relative_Value_Workbook_v1.xlsx]E&amp;P Comps!R5C51</stp>
        <tr r="AY5" s="1"/>
      </tp>
      <tp>
        <v>95.864999999999995</v>
        <stp/>
        <stp>##V3_BDPV12</stp>
        <stp>as9994474 corp</stp>
        <stp>PX_LAST</stp>
        <stp>[E_and_P_Relative_Value_Workbook_v1.xlsx]E&amp;P Comps!R5C57</stp>
        <tr r="BE5" s="1"/>
      </tp>
      <tp>
        <v>111.396</v>
        <stp/>
        <stp>##V3_BDPV12</stp>
        <stp>jk3436074 corp</stp>
        <stp>PX_LAST</stp>
        <stp>[E_and_P_Relative_Value_Workbook_v1.xlsx]E&amp;P Comps!R5C73</stp>
        <tr r="BU5" s="1"/>
      </tp>
      <tp>
        <v>140.80021916300299</v>
        <stp/>
        <stp>##V3_BDPV12</stp>
        <stp>an8093246 corp</stp>
        <stp>OAS_SPREAD_MID</stp>
        <stp>[E_and_P_Relative_Value_Workbook_v1.xlsx]Refining Comps!R7C30</stp>
        <tr r="AD7" s="4"/>
      </tp>
      <tp>
        <v>91.248999999999995</v>
        <stp/>
        <stp>##V3_BDPV12</stp>
        <stp>ap9675491 corp</stp>
        <stp>PX_LAST</stp>
        <stp>[E_and_P_Relative_Value_Workbook_v1.xlsx]Midstream Comps!R5C6</stp>
        <tr r="F5" s="2"/>
      </tp>
      <tp>
        <v>97.733000000000004</v>
        <stp/>
        <stp>##V3_BDPV12</stp>
        <stp>aq0125759 corp</stp>
        <stp>PX_LAST</stp>
        <stp>[E_and_P_Relative_Value_Workbook_v1.xlsx]E&amp;P Comps!R5C10</stp>
        <tr r="J5" s="1"/>
      </tp>
      <tp>
        <v>214.36587550508699</v>
        <stp/>
        <stp>##V3_BDPV12</stp>
        <stp>lw1068706 corp</stp>
        <stp>OAS_SPREAD_MID</stp>
        <stp>[E_and_P_Relative_Value_Workbook_v1.xlsx]Midstream Comps!R7C4</stp>
        <tr r="D7" s="2"/>
      </tp>
      <tp>
        <v>101.883</v>
        <stp/>
        <stp>##V3_BDPV12</stp>
        <stp>as5835499 corp</stp>
        <stp>PX_LAST</stp>
        <stp>[E_and_P_Relative_Value_Workbook_v1.xlsx]E&amp;P Comps!R5C59</stp>
        <tr r="BG5" s="1"/>
      </tp>
      <tp>
        <v>106.462</v>
        <stp/>
        <stp>##V3_BDPV12</stp>
        <stp>jv6007332 corp</stp>
        <stp>PX_LAST</stp>
        <stp>[E_and_P_Relative_Value_Workbook_v1.xlsx]E&amp;P Comps!R5C81</stp>
        <tr r="CC5" s="1"/>
      </tp>
      <tp>
        <v>102.73</v>
        <stp/>
        <stp>##V3_BDPV12</stp>
        <stp>as3194220 corp</stp>
        <stp>PX_LAST</stp>
        <stp>[E_and_P_Relative_Value_Workbook_v1.xlsx]E&amp;P Comps!R5C75</stp>
        <tr r="BW5" s="1"/>
      </tp>
      <tp>
        <v>7.4570307164413867</v>
        <stp/>
        <stp>##V3_BDPV12</stp>
        <stp>as4470579 corp</stp>
        <stp>YLD_CNV_OPEN</stp>
        <stp>[EP Relative Value 1 (003).xlsx]E&amp;P Comps!R7C40</stp>
        <tr r="AN7" s="1"/>
      </tp>
      <tp>
        <v>154.83432942955801</v>
        <stp/>
        <stp>##V3_BDPV12</stp>
        <stp>ao3535017 corp</stp>
        <stp>OAS_SPREAD_MID</stp>
        <stp>[E_and_P_Relative_Value_Workbook_v1.xlsx]E&amp;P Comps!R7C87</stp>
        <tr r="CI7" s="1"/>
      </tp>
      <tp>
        <v>5.7778398400000004</v>
        <stp/>
        <stp>##V3_BDPV12</stp>
        <stp>av7264519 corp</stp>
        <stp>YLD_CNV_OPEN</stp>
        <stp>[EP Relative Value 1 (003).xlsx]E&amp;P Comps!R7C36</stp>
        <tr r="AJ7" s="1"/>
      </tp>
      <tp>
        <v>6.6141991872640329</v>
        <stp/>
        <stp>##V3_BDPV12</stp>
        <stp>jk4439317 corp</stp>
        <stp>YLD_CNV_OPEN</stp>
        <stp>[EP Relative Value 1 (003).xlsx]E&amp;P Comps!R7C49</stp>
        <tr r="AW7" s="1"/>
      </tp>
      <tp>
        <v>141.783759427804</v>
        <stp/>
        <stp>##V3_BDPV12</stp>
        <stp>an1132447 corp</stp>
        <stp>OAS_SPREAD_MID</stp>
        <stp>[E_and_P_Relative_Value_Workbook_v1.xlsx]E&amp;P Comps!R7C69</stp>
        <tr r="BQ7" s="1"/>
      </tp>
      <tp>
        <v>80.534386272078095</v>
        <stp/>
        <stp>##V3_BDPV12</stp>
        <stp>AL7282349 corp</stp>
        <stp>OAS_SPREAD_MID</stp>
        <stp>[E_and_P_Relative_Value_Workbook_v1.xlsx]E&amp;P Comps!R7C71</stp>
        <tr r="BS7" s="1"/>
      </tp>
      <tp>
        <v>7.1598344460909784</v>
        <stp/>
        <stp>##V3_BDPV12</stp>
        <stp>as9994474 corp</stp>
        <stp>YLD_CNV_OPEN</stp>
        <stp>[EP Relative Value 1 (003).xlsx]E&amp;P Comps!R7C57</stp>
        <tr r="BE7" s="1"/>
      </tp>
      <tp>
        <v>7.7837212806013136</v>
        <stp/>
        <stp>##V3_BDPV12</stp>
        <stp>at9394434 corp</stp>
        <stp>YLD_CNV_OPEN</stp>
        <stp>[EP Relative Value 1 (003).xlsx]E&amp;P Comps!R7C51</stp>
        <tr r="AY7" s="1"/>
      </tp>
      <tp>
        <v>5.2257254599999996</v>
        <stp/>
        <stp>##V3_BDPV12</stp>
        <stp>as5835499 corp</stp>
        <stp>YLD_CNV_OPEN</stp>
        <stp>[EP Relative Value 1 (003).xlsx]E&amp;P Comps!R7C59</stp>
        <tr r="BG7" s="1"/>
      </tp>
      <tp>
        <v>124.01732067472599</v>
        <stp/>
        <stp>##V3_BDPV12</stp>
        <stp>al0940299 corp</stp>
        <stp>OAS_SPREAD_MID</stp>
        <stp>[E_and_P_Relative_Value_Workbook_v1.xlsx]E&amp;P Comps!R7C91</stp>
        <tr r="CM7" s="1"/>
      </tp>
      <tp>
        <v>139.64135838887699</v>
        <stp/>
        <stp>##V3_BDPV12</stp>
        <stp>jk4486045 corp</stp>
        <stp>OAS_SPREAD_MID</stp>
        <stp>[E_and_P_Relative_Value_Workbook_v1.xlsx]E&amp;P Comps!R7C63</stp>
        <tr r="BK7" s="1"/>
      </tp>
      <tp>
        <v>215.33438417055899</v>
        <stp/>
        <stp>##V3_BDPV12</stp>
        <stp>ed5603961 corp</stp>
        <stp>OAS_SPREAD_MID</stp>
        <stp>[E_and_P_Relative_Value_Workbook_v1.xlsx]E&amp;P Comps!R7C77</stp>
        <tr r="BY7" s="1"/>
      </tp>
      <tp>
        <v>180.28808843976299</v>
        <stp/>
        <stp>##V3_BDPV12</stp>
        <stp>au0590557 corp</stp>
        <stp>OAS_SPREAD_MID</stp>
        <stp>[E_and_P_Relative_Value_Workbook_v1.xlsx]E&amp;P Comps!R7C65</stp>
        <tr r="BM7" s="1"/>
      </tp>
      <tp>
        <v>5.813165425025792</v>
        <stp/>
        <stp>##V3_BDPV12</stp>
        <stp>aq0125759 corp</stp>
        <stp>YLD_CNV_OPEN</stp>
        <stp>[EP Relative Value 1 (003).xlsx]E&amp;P Comps!R7C10</stp>
        <tr r="J7" s="1"/>
      </tp>
      <tp>
        <v>190.84368381760399</v>
        <stp/>
        <stp>##V3_BDPV12</stp>
        <stp>ap9549274 corp</stp>
        <stp>OAS_SPREAD_MID</stp>
        <stp>[E_and_P_Relative_Value_Workbook_v1.xlsx]E&amp;P Comps!R7C67</stp>
        <tr r="BO7" s="1"/>
      </tp>
      <tp>
        <v>75.9177622257222</v>
        <stp/>
        <stp>##V3_BDPV12</stp>
        <stp>jv6007332 corp</stp>
        <stp>OAS_SPREAD_MID</stp>
        <stp>[E_and_P_Relative_Value_Workbook_v1.xlsx]E&amp;P Comps!R7C81</stp>
        <tr r="CC7" s="1"/>
      </tp>
      <tp>
        <v>164.34690374525101</v>
        <stp/>
        <stp>##V3_BDPV12</stp>
        <stp>as3194220 corp</stp>
        <stp>OAS_SPREAD_MID</stp>
        <stp>[E_and_P_Relative_Value_Workbook_v1.xlsx]E&amp;P Comps!R7C75</stp>
        <tr r="BW7" s="1"/>
      </tp>
      <tp>
        <v>74.755151358172</v>
        <stp/>
        <stp>##V3_BDPV12</stp>
        <stp>jk3436074 corp</stp>
        <stp>OAS_SPREAD_MID</stp>
        <stp>[E_and_P_Relative_Value_Workbook_v1.xlsx]E&amp;P Comps!R7C73</stp>
        <tr r="BU7" s="1"/>
      </tp>
      <tp>
        <v>102.88472856958001</v>
        <stp/>
        <stp>##V3_BDPV12</stp>
        <stp>jv2587196 corp</stp>
        <stp>OAS_SPREAD_MID</stp>
        <stp>[E_and_P_Relative_Value_Workbook_v1.xlsx]E&amp;P Comps!R7C79</stp>
        <tr r="CA7" s="1"/>
      </tp>
      <tp>
        <v>6.6335645077387229</v>
        <stp/>
        <stp>##V3_BDPV12</stp>
        <stp>ap8909974 corp</stp>
        <stp>YLD_CNV_OPEN</stp>
        <stp>[EP Relative Value 1 (003).xlsx]E&amp;P Comps!R7C55</stp>
        <tr r="BC7" s="1"/>
      </tp>
      <tp>
        <v>152.682698386472</v>
        <stp/>
        <stp>##V3_BDPV12</stp>
        <stp>am7761993 corp</stp>
        <stp>OAS_SPREAD_MID</stp>
        <stp>[E_and_P_Relative_Value_Workbook_v1.xlsx]E&amp;P Comps!R7C85</stp>
        <tr r="CG7" s="1"/>
      </tp>
      <tp>
        <v>107.638664084448</v>
        <stp/>
        <stp>##V3_BDPV12</stp>
        <stp>qj9978017 corp</stp>
        <stp>OAS_SPREAD_MID</stp>
        <stp>[E_and_P_Relative_Value_Workbook_v1.xlsx]E&amp;P Comps!R7C93</stp>
        <tr r="CO7" s="1"/>
      </tp>
      <tp>
        <v>5.3626418000000005</v>
        <stp/>
        <stp>##V3_BDPV12</stp>
        <stp>ao6537143 corp</stp>
        <stp>YLD_CNV_OPEN</stp>
        <stp>[EP Relative Value 1 (003).xlsx]E&amp;P Comps!R7C38</stp>
        <tr r="AL7" s="1"/>
      </tp>
      <tp>
        <v>4.9610411299999999</v>
        <stp/>
        <stp>##V3_BDPV12</stp>
        <stp>al5956845 corp</stp>
        <stp>YLD_CNV_OPEN</stp>
        <stp>[EP Relative Value 1 (003).xlsx]E&amp;P Comps!R7C45</stp>
        <tr r="AS7" s="1"/>
      </tp>
      <tp>
        <v>5.8379890300000001</v>
        <stp/>
        <stp>##V3_BDPV12</stp>
        <stp>ax0971496 corp</stp>
        <stp>YLD_CNV_OPEN</stp>
        <stp>[EP Relative Value 1 (003).xlsx]E&amp;P Comps!R7C30</stp>
        <tr r="AD7" s="1"/>
      </tp>
      <tp>
        <v>7.4083314700000003</v>
        <stp/>
        <stp>##V3_BDPV12</stp>
        <stp>ap0996078 corp</stp>
        <stp>YLD_CNV_OPEN</stp>
        <stp>[EP Relative Value 1 (003).xlsx]E&amp;P Comps!R7C53</stp>
        <tr r="BA7" s="1"/>
      </tp>
      <tp>
        <v>6.1179289994660246</v>
        <stp/>
        <stp>##V3_BDPV12</stp>
        <stp>at3081839 corp</stp>
        <stp>YLD_CNV_OPEN</stp>
        <stp>[EP Relative Value 1 (003).xlsx]E&amp;P Comps!R7C47</stp>
        <tr r="AU7" s="1"/>
      </tp>
      <tp>
        <v>5.8444969719745075</v>
        <stp/>
        <stp>##V3_BDPV12</stp>
        <stp>ap2883829 corp</stp>
        <stp>YLD_CNV_OPEN</stp>
        <stp>[EP Relative Value 1 (003).xlsx]E&amp;P Comps!R7C43</stp>
        <tr r="AQ7" s="1"/>
      </tp>
      <tp>
        <v>104.81399999999999</v>
        <stp/>
        <stp>##V3_BDPV12</stp>
        <stp>AO0955093 corp</stp>
        <stp>PX_LAST</stp>
        <stp>[E_and_P_Relative_Value_Workbook_v1.xlsx]E&amp;P Comps!R5C22</stp>
        <tr r="V5" s="1"/>
      </tp>
      <tp>
        <v>103.943</v>
        <stp/>
        <stp>##V3_BDPV12</stp>
        <stp>AQ2229047 corp</stp>
        <stp>PX_LAST</stp>
        <stp>[E_and_P_Relative_Value_Workbook_v1.xlsx]E&amp;P Comps!R5C20</stp>
        <tr r="T5" s="1"/>
      </tp>
      <tp>
        <v>11.757</v>
        <stp/>
        <stp>##V3_BDPV12</stp>
        <stp>AF2041107 corp</stp>
        <stp>PX_LAST</stp>
        <stp>[E_and_P_Relative_Value_Workbook_v1.xlsx]E&amp;P Comps!R5C24</stp>
        <tr r="X5" s="1"/>
      </tp>
      <tp>
        <v>103.221</v>
        <stp/>
        <stp>##V3_BDPV12</stp>
        <stp>AL7282349 corp</stp>
        <stp>PX_LAST</stp>
        <stp>[E_and_P_Relative_Value_Workbook_v1.xlsx]E&amp;P Comps!R5C16</stp>
        <tr r="P5" s="1"/>
      </tp>
      <tp>
        <v>103.221</v>
        <stp/>
        <stp>##V3_BDPV12</stp>
        <stp>AL7282349 corp</stp>
        <stp>PX_LAST</stp>
        <stp>[E_and_P_Relative_Value_Workbook_v1.xlsx]E&amp;P Comps!R5C71</stp>
        <tr r="BS5" s="1"/>
      </tp>
      <tp>
        <v>94.343999999999994</v>
        <stp/>
        <stp>##V3_BDPV12</stp>
        <stp>EK7884373 corp</stp>
        <stp>PX_LAST</stp>
        <stp>[E_and_P_Relative_Value_Workbook_v1.xlsx]E&amp;P Comps!R5C34</stp>
        <tr r="AH5" s="1"/>
      </tp>
      <tp>
        <v>87.369</v>
        <stp/>
        <stp>##V3_BDPV12</stp>
        <stp>AO6542499 corp</stp>
        <stp>PX_LAST</stp>
        <stp>[E_and_P_Relative_Value_Workbook_v1.xlsx]E&amp;P Comps!R5C26</stp>
        <tr r="Z5" s="1"/>
      </tp>
      <tp t="b">
        <v>0</v>
        <stp/>
        <stp>##V3_BDPV12</stp>
        <stp/>
        <stp>PX_LAST</stp>
        <stp>[EP Relative Value 1 (003).xlsx]Refining Comps!R5C18</stp>
        <tr r="R5" s="4"/>
      </tp>
      <tp t="b">
        <v>0</v>
        <stp/>
        <stp>##V3_BDPV12</stp>
        <stp/>
        <stp>PX_LAST</stp>
        <stp>[EP Relative Value 1 (003).xlsx]Refining Comps!R5C12</stp>
        <tr r="L5" s="4"/>
      </tp>
      <tp t="b">
        <v>0</v>
        <stp/>
        <stp>##V3_BDPV12</stp>
        <stp/>
        <stp>PX_LAST</stp>
        <stp>[EP Relative Value 1 (003).xlsx]Refining Comps!R5C24</stp>
        <tr r="X5" s="4"/>
      </tp>
      <tp t="b">
        <v>0</v>
        <stp/>
        <stp>##V3_BDPV12</stp>
        <stp/>
        <stp>PX_LAST</stp>
        <stp>[EP Relative Value 1 (003).xlsx]Refining Comps!R5C20</stp>
        <tr r="T5" s="4"/>
      </tp>
      <tp t="b">
        <v>0</v>
        <stp/>
        <stp>##V3_BDPV12</stp>
        <stp/>
        <stp>PX_LAST</stp>
        <stp>[EP Relative Value 1 (003).xlsx]Refining Comps!R5C22</stp>
        <tr r="V5" s="4"/>
      </tp>
      <tp>
        <v>97.628</v>
        <stp/>
        <stp>##V3_BDPV12</stp>
        <stp>EK6583927 corp</stp>
        <stp>PX_LAST</stp>
        <stp>[E_and_P_Relative_Value_Workbook_v1.xlsx]E&amp;P Comps!R5C14</stp>
        <tr r="N5" s="1"/>
      </tp>
      <tp>
        <v>100.649</v>
        <stp/>
        <stp>##V3_BDPV12</stp>
        <stp>EK9287666 corp</stp>
        <stp>PX_LAST</stp>
        <stp>[E_and_P_Relative_Value_Workbook_v1.xlsx]E&amp;P Comps!R5C28</stp>
        <tr r="AB5" s="1"/>
      </tp>
      <tp>
        <v>96.415999999999997</v>
        <stp/>
        <stp>##V3_BDPV12</stp>
        <stp>AU6889052 corp</stp>
        <stp>PX_LAST</stp>
        <stp>[E_and_P_Relative_Value_Workbook_v1.xlsx]E&amp;P Comps!R5C12</stp>
        <tr r="L5" s="1"/>
      </tp>
      <tp>
        <v>99.837999999999994</v>
        <stp/>
        <stp>##V3_BDPV12</stp>
        <stp>AQ2692491 corp</stp>
        <stp>PX_LAST</stp>
        <stp>[E_and_P_Relative_Value_Workbook_v1.xlsx]E&amp;P Comps!R5C18</stp>
        <tr r="R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PDP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'E&amp;P Sensitivity Rankings'!$C$9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'E&amp;P Sensitivity Rankings'!$B$10:$B$37</c:f>
              <c:strCache>
                <c:ptCount val="28"/>
                <c:pt idx="0">
                  <c:v>Antero Resources</c:v>
                </c:pt>
                <c:pt idx="1">
                  <c:v>California Resources</c:v>
                </c:pt>
                <c:pt idx="2">
                  <c:v>Carrizo Oil&amp;Gas</c:v>
                </c:pt>
                <c:pt idx="3">
                  <c:v>Centennial Resource</c:v>
                </c:pt>
                <c:pt idx="4">
                  <c:v>Chesapeake Energy</c:v>
                </c:pt>
                <c:pt idx="5">
                  <c:v>CNX Resources</c:v>
                </c:pt>
                <c:pt idx="6">
                  <c:v>Denbury Resources</c:v>
                </c:pt>
                <c:pt idx="7">
                  <c:v>Endeavor Energy</c:v>
                </c:pt>
                <c:pt idx="8">
                  <c:v>Diamondback Energy</c:v>
                </c:pt>
                <c:pt idx="9">
                  <c:v>EP Energy</c:v>
                </c:pt>
                <c:pt idx="10">
                  <c:v> Gulfport </c:v>
                </c:pt>
                <c:pt idx="11">
                  <c:v>Hilcorp Exploration</c:v>
                </c:pt>
                <c:pt idx="12">
                  <c:v>Jagged Peak</c:v>
                </c:pt>
                <c:pt idx="13">
                  <c:v>Kosmos Energy</c:v>
                </c:pt>
                <c:pt idx="14">
                  <c:v>Laredo Petroleum</c:v>
                </c:pt>
                <c:pt idx="15">
                  <c:v>Matador Resources</c:v>
                </c:pt>
                <c:pt idx="16">
                  <c:v>Murphy Oil</c:v>
                </c:pt>
                <c:pt idx="17">
                  <c:v>Oasis Petroleum</c:v>
                </c:pt>
                <c:pt idx="18">
                  <c:v>Newfield Exploration</c:v>
                </c:pt>
                <c:pt idx="19">
                  <c:v>Paramount Resources</c:v>
                </c:pt>
                <c:pt idx="20">
                  <c:v>Parsley Energy</c:v>
                </c:pt>
                <c:pt idx="21">
                  <c:v>PDC Energy</c:v>
                </c:pt>
                <c:pt idx="22">
                  <c:v>Range Resources</c:v>
                </c:pt>
                <c:pt idx="23">
                  <c:v>SM Energy</c:v>
                </c:pt>
                <c:pt idx="24">
                  <c:v>Southwestern</c:v>
                </c:pt>
                <c:pt idx="25">
                  <c:v>QEP Resources</c:v>
                </c:pt>
                <c:pt idx="26">
                  <c:v>Whiting Petroleum</c:v>
                </c:pt>
                <c:pt idx="27">
                  <c:v>WPX Energy</c:v>
                </c:pt>
              </c:strCache>
            </c:strRef>
          </c:cat>
          <c:val>
            <c:numRef>
              <c:f>'E&amp;P Sensitivity Rankings'!$C$10:$C$37</c:f>
              <c:numCache>
                <c:formatCode>0%</c:formatCode>
                <c:ptCount val="28"/>
                <c:pt idx="0">
                  <c:v>0.9688330743741973</c:v>
                </c:pt>
                <c:pt idx="1">
                  <c:v>0.5783441657754822</c:v>
                </c:pt>
                <c:pt idx="2">
                  <c:v>0.84398636960010798</c:v>
                </c:pt>
                <c:pt idx="3">
                  <c:v>1.1331680512400217</c:v>
                </c:pt>
                <c:pt idx="4">
                  <c:v>0.68463784764994517</c:v>
                </c:pt>
                <c:pt idx="5">
                  <c:v>1.0562915799272665</c:v>
                </c:pt>
                <c:pt idx="6">
                  <c:v>0.61616116703726742</c:v>
                </c:pt>
                <c:pt idx="7">
                  <c:v>0</c:v>
                </c:pt>
                <c:pt idx="8">
                  <c:v>1.1977125618426698</c:v>
                </c:pt>
                <c:pt idx="9">
                  <c:v>0.38632288723293789</c:v>
                </c:pt>
                <c:pt idx="10">
                  <c:v>0</c:v>
                </c:pt>
                <c:pt idx="11">
                  <c:v>1</c:v>
                </c:pt>
                <c:pt idx="12">
                  <c:v>1.7850832653358051</c:v>
                </c:pt>
                <c:pt idx="13">
                  <c:v>0.92580394480849038</c:v>
                </c:pt>
                <c:pt idx="14">
                  <c:v>0.99175645680289737</c:v>
                </c:pt>
                <c:pt idx="15">
                  <c:v>0.6646844498294332</c:v>
                </c:pt>
                <c:pt idx="16">
                  <c:v>0</c:v>
                </c:pt>
                <c:pt idx="17">
                  <c:v>0.6965124679395609</c:v>
                </c:pt>
                <c:pt idx="18">
                  <c:v>0</c:v>
                </c:pt>
                <c:pt idx="19">
                  <c:v>0</c:v>
                </c:pt>
                <c:pt idx="20">
                  <c:v>1.2158490552059686</c:v>
                </c:pt>
                <c:pt idx="21">
                  <c:v>0</c:v>
                </c:pt>
                <c:pt idx="22">
                  <c:v>1.1794118915568557</c:v>
                </c:pt>
                <c:pt idx="23">
                  <c:v>0.64224064148989024</c:v>
                </c:pt>
                <c:pt idx="24">
                  <c:v>1.9905055553801603</c:v>
                </c:pt>
                <c:pt idx="25">
                  <c:v>0.89963615998733948</c:v>
                </c:pt>
                <c:pt idx="26">
                  <c:v>1.0358014698025135</c:v>
                </c:pt>
                <c:pt idx="27">
                  <c:v>0.95222872267666259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4667-AA5C-78D2ADEA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7231"/>
        <c:axId val="59048215"/>
      </c:barChart>
      <c:catAx>
        <c:axId val="590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8215"/>
        <c:crossesAt val="0"/>
        <c:auto val="1"/>
        <c:lblAlgn val="ctr"/>
        <c:lblOffset val="100"/>
        <c:noMultiLvlLbl val="0"/>
      </c:catAx>
      <c:valAx>
        <c:axId val="5904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161925</xdr:rowOff>
    </xdr:from>
    <xdr:to>
      <xdr:col>14</xdr:col>
      <xdr:colOff>38100</xdr:colOff>
      <xdr:row>31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123825</xdr:rowOff>
    </xdr:from>
    <xdr:to>
      <xdr:col>3</xdr:col>
      <xdr:colOff>1198301</xdr:colOff>
      <xdr:row>50</xdr:row>
      <xdr:rowOff>46979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19900"/>
          <a:ext cx="3150926" cy="239965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50</xdr:row>
      <xdr:rowOff>161924</xdr:rowOff>
    </xdr:from>
    <xdr:to>
      <xdr:col>11</xdr:col>
      <xdr:colOff>235372</xdr:colOff>
      <xdr:row>64</xdr:row>
      <xdr:rowOff>142145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0" y="9334499"/>
          <a:ext cx="3892972" cy="264722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37</xdr:row>
      <xdr:rowOff>133350</xdr:rowOff>
    </xdr:from>
    <xdr:to>
      <xdr:col>19</xdr:col>
      <xdr:colOff>371475</xdr:colOff>
      <xdr:row>52</xdr:row>
      <xdr:rowOff>94261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6829425"/>
          <a:ext cx="3762375" cy="2818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S144"/>
  <sheetViews>
    <sheetView showGridLines="0" zoomScaleNormal="100" workbookViewId="0">
      <pane xSplit="3" ySplit="8" topLeftCell="D101" activePane="bottomRight" state="frozen"/>
      <selection pane="topRight" activeCell="D1" sqref="D1"/>
      <selection pane="bottomLeft" activeCell="A9" sqref="A9"/>
      <selection pane="bottomRight" activeCell="B117" sqref="B117"/>
    </sheetView>
  </sheetViews>
  <sheetFormatPr defaultRowHeight="15" outlineLevelRow="2" outlineLevelCol="1" x14ac:dyDescent="0.25"/>
  <cols>
    <col min="1" max="1" width="16" customWidth="1"/>
    <col min="2" max="2" width="31.7109375" customWidth="1"/>
    <col min="3" max="3" width="30.42578125" hidden="1" customWidth="1"/>
    <col min="4" max="4" width="16.7109375" customWidth="1"/>
    <col min="5" max="5" width="16.7109375" hidden="1" customWidth="1"/>
    <col min="6" max="6" width="19.28515625" customWidth="1"/>
    <col min="7" max="7" width="19.28515625" hidden="1" customWidth="1"/>
    <col min="8" max="8" width="16.7109375" customWidth="1"/>
    <col min="9" max="9" width="16.7109375" hidden="1" customWidth="1" outlineLevel="1"/>
    <col min="10" max="10" width="19.5703125" customWidth="1" collapsed="1"/>
    <col min="11" max="11" width="16.7109375" hidden="1" customWidth="1" outlineLevel="1"/>
    <col min="12" max="12" width="18.42578125" customWidth="1" collapsed="1"/>
    <col min="13" max="13" width="18.42578125" hidden="1" customWidth="1" outlineLevel="1"/>
    <col min="14" max="14" width="16.7109375" customWidth="1" collapsed="1"/>
    <col min="15" max="15" width="16.7109375" hidden="1" customWidth="1" outlineLevel="1"/>
    <col min="16" max="16" width="17.7109375" customWidth="1" collapsed="1"/>
    <col min="17" max="17" width="17.7109375" hidden="1" customWidth="1" outlineLevel="1"/>
    <col min="18" max="18" width="18.140625" customWidth="1" collapsed="1"/>
    <col min="19" max="19" width="20.7109375" hidden="1" customWidth="1" outlineLevel="1"/>
    <col min="20" max="20" width="20.7109375" hidden="1" customWidth="1" collapsed="1"/>
    <col min="21" max="21" width="20.7109375" hidden="1" customWidth="1" outlineLevel="1"/>
    <col min="22" max="22" width="20.7109375" customWidth="1" collapsed="1"/>
    <col min="23" max="23" width="20.7109375" hidden="1" customWidth="1" outlineLevel="1"/>
    <col min="24" max="24" width="20.7109375" customWidth="1" collapsed="1"/>
    <col min="25" max="25" width="20.7109375" hidden="1" customWidth="1" outlineLevel="1"/>
    <col min="26" max="26" width="20.7109375" hidden="1" customWidth="1" collapsed="1"/>
    <col min="27" max="27" width="20.7109375" hidden="1" customWidth="1" outlineLevel="1"/>
    <col min="28" max="28" width="20.7109375" customWidth="1" collapsed="1"/>
    <col min="29" max="29" width="20.7109375" hidden="1" customWidth="1" outlineLevel="1"/>
    <col min="30" max="30" width="16.5703125" customWidth="1" collapsed="1"/>
    <col min="31" max="31" width="16.5703125" hidden="1" customWidth="1"/>
    <col min="32" max="32" width="16.5703125" customWidth="1"/>
    <col min="33" max="33" width="20.7109375" hidden="1" customWidth="1" outlineLevel="1"/>
    <col min="34" max="34" width="18" customWidth="1" collapsed="1"/>
    <col min="35" max="35" width="20.7109375" hidden="1" customWidth="1"/>
    <col min="36" max="36" width="18.85546875" customWidth="1"/>
    <col min="37" max="39" width="20.7109375" hidden="1" customWidth="1"/>
    <col min="40" max="40" width="20.7109375" customWidth="1"/>
    <col min="41" max="44" width="20.7109375" hidden="1" customWidth="1"/>
    <col min="45" max="45" width="16.5703125" customWidth="1"/>
    <col min="46" max="48" width="20.7109375" hidden="1" customWidth="1"/>
    <col min="49" max="49" width="20.7109375" customWidth="1"/>
    <col min="50" max="50" width="20.7109375" hidden="1" customWidth="1"/>
    <col min="51" max="51" width="15" customWidth="1"/>
    <col min="52" max="52" width="15" hidden="1" customWidth="1"/>
    <col min="53" max="53" width="15" customWidth="1"/>
    <col min="54" max="54" width="15" hidden="1" customWidth="1"/>
    <col min="55" max="55" width="17.5703125" customWidth="1"/>
    <col min="56" max="56" width="17.5703125" hidden="1" customWidth="1"/>
    <col min="57" max="57" width="17.5703125" customWidth="1"/>
    <col min="58" max="58" width="17.5703125" hidden="1" customWidth="1"/>
    <col min="59" max="61" width="17.5703125" customWidth="1"/>
    <col min="62" max="62" width="9.140625" hidden="1" customWidth="1"/>
    <col min="63" max="63" width="19.5703125" bestFit="1" customWidth="1"/>
    <col min="64" max="64" width="16" hidden="1" customWidth="1"/>
    <col min="65" max="65" width="18.85546875" bestFit="1" customWidth="1"/>
    <col min="66" max="66" width="18.85546875" hidden="1" customWidth="1"/>
    <col min="67" max="67" width="18.85546875" customWidth="1"/>
    <col min="68" max="68" width="12.140625" hidden="1" customWidth="1"/>
    <col min="69" max="69" width="18.85546875" bestFit="1" customWidth="1"/>
    <col min="70" max="70" width="18.85546875" hidden="1" customWidth="1"/>
    <col min="71" max="71" width="18.85546875" customWidth="1"/>
    <col min="72" max="72" width="12.140625" hidden="1" customWidth="1"/>
    <col min="73" max="73" width="18.85546875" bestFit="1" customWidth="1"/>
    <col min="74" max="74" width="14.28515625" hidden="1" customWidth="1"/>
    <col min="75" max="75" width="21.140625" bestFit="1" customWidth="1"/>
    <col min="76" max="76" width="21.140625" hidden="1" customWidth="1"/>
    <col min="77" max="77" width="21.140625" customWidth="1"/>
    <col min="78" max="78" width="21.140625" hidden="1" customWidth="1"/>
    <col min="79" max="79" width="18.85546875" bestFit="1" customWidth="1"/>
    <col min="80" max="80" width="15.28515625" hidden="1" customWidth="1"/>
    <col min="81" max="81" width="18.85546875" bestFit="1" customWidth="1"/>
    <col min="82" max="82" width="15.28515625" hidden="1" customWidth="1"/>
    <col min="83" max="84" width="18.85546875" hidden="1" customWidth="1"/>
    <col min="85" max="85" width="15.28515625" customWidth="1"/>
    <col min="86" max="86" width="15.28515625" hidden="1" customWidth="1"/>
    <col min="87" max="87" width="18.85546875" bestFit="1" customWidth="1"/>
    <col min="88" max="89" width="18.85546875" hidden="1" customWidth="1"/>
    <col min="90" max="90" width="14.7109375" hidden="1" customWidth="1"/>
    <col min="91" max="91" width="20.5703125" bestFit="1" customWidth="1"/>
    <col min="92" max="92" width="20.5703125" hidden="1" customWidth="1"/>
    <col min="93" max="93" width="24.85546875" bestFit="1" customWidth="1"/>
  </cols>
  <sheetData>
    <row r="1" spans="2:97" x14ac:dyDescent="0.25">
      <c r="B1" s="12"/>
      <c r="C1" s="12"/>
      <c r="D1" s="40" t="s">
        <v>66</v>
      </c>
      <c r="E1" s="40"/>
      <c r="F1" s="40" t="s">
        <v>72</v>
      </c>
      <c r="G1" s="40"/>
      <c r="H1" s="40" t="s">
        <v>71</v>
      </c>
      <c r="I1" s="40"/>
      <c r="J1" s="40" t="s">
        <v>287</v>
      </c>
      <c r="K1" s="40"/>
      <c r="L1" s="40" t="s">
        <v>91</v>
      </c>
      <c r="M1" s="40"/>
      <c r="N1" s="40" t="s">
        <v>79</v>
      </c>
      <c r="O1" s="40"/>
      <c r="P1" s="40" t="s">
        <v>50</v>
      </c>
      <c r="Q1" s="40"/>
      <c r="R1" s="40" t="s">
        <v>51</v>
      </c>
      <c r="S1" s="40"/>
      <c r="T1" s="40" t="s">
        <v>77</v>
      </c>
      <c r="U1" s="40"/>
      <c r="V1" s="40" t="s">
        <v>68</v>
      </c>
      <c r="W1" s="40"/>
      <c r="X1" s="40" t="s">
        <v>67</v>
      </c>
      <c r="Y1" s="40"/>
      <c r="Z1" s="40" t="s">
        <v>62</v>
      </c>
      <c r="AA1" s="40"/>
      <c r="AB1" s="40" t="s">
        <v>83</v>
      </c>
      <c r="AC1" s="40"/>
      <c r="AD1" s="40" t="s">
        <v>290</v>
      </c>
      <c r="AE1" s="40"/>
      <c r="AF1" s="40" t="s">
        <v>298</v>
      </c>
      <c r="AG1" s="40"/>
      <c r="AH1" s="40" t="s">
        <v>63</v>
      </c>
      <c r="AI1" s="40"/>
      <c r="AJ1" s="40" t="s">
        <v>88</v>
      </c>
      <c r="AK1" s="40"/>
      <c r="AL1" s="40" t="s">
        <v>81</v>
      </c>
      <c r="AM1" s="40"/>
      <c r="AN1" s="40" t="s">
        <v>65</v>
      </c>
      <c r="AO1" s="40" t="s">
        <v>69</v>
      </c>
      <c r="AP1" s="40"/>
      <c r="AQ1" s="40" t="s">
        <v>76</v>
      </c>
      <c r="AR1" s="40"/>
      <c r="AS1" s="40" t="s">
        <v>84</v>
      </c>
      <c r="AT1" s="40"/>
      <c r="AU1" s="40" t="s">
        <v>82</v>
      </c>
      <c r="AV1" s="40"/>
      <c r="AW1" s="40" t="s">
        <v>61</v>
      </c>
      <c r="AX1" s="40"/>
      <c r="AY1" s="40" t="s">
        <v>43</v>
      </c>
      <c r="AZ1" s="40"/>
      <c r="BA1" s="40" t="s">
        <v>60</v>
      </c>
      <c r="BB1" s="40"/>
      <c r="BC1" s="40" t="s">
        <v>49</v>
      </c>
      <c r="BD1" s="40"/>
      <c r="BE1" s="40" t="s">
        <v>59</v>
      </c>
      <c r="BF1" s="40"/>
      <c r="BG1" s="40" t="s">
        <v>70</v>
      </c>
      <c r="BH1" s="12"/>
      <c r="BI1" s="12"/>
      <c r="BJ1" s="12"/>
      <c r="BK1" s="40" t="s">
        <v>54</v>
      </c>
      <c r="BL1" s="40"/>
      <c r="BM1" s="40" t="s">
        <v>53</v>
      </c>
      <c r="BN1" s="40"/>
      <c r="BO1" s="40" t="s">
        <v>360</v>
      </c>
      <c r="BP1" s="40"/>
      <c r="BQ1" s="40" t="s">
        <v>58</v>
      </c>
      <c r="BR1" s="40"/>
      <c r="BS1" s="40" t="s">
        <v>50</v>
      </c>
      <c r="BT1" s="40"/>
      <c r="BU1" s="40" t="s">
        <v>55</v>
      </c>
      <c r="BV1" s="40"/>
      <c r="BW1" s="40" t="s">
        <v>52</v>
      </c>
      <c r="BX1" s="40"/>
      <c r="BY1" s="40" t="s">
        <v>78</v>
      </c>
      <c r="BZ1" s="40"/>
      <c r="CA1" s="40" t="s">
        <v>64</v>
      </c>
      <c r="CB1" s="40"/>
      <c r="CC1" s="40" t="s">
        <v>80</v>
      </c>
      <c r="CD1" s="40"/>
      <c r="CE1" s="40"/>
      <c r="CF1" s="40"/>
      <c r="CG1" s="40" t="s">
        <v>282</v>
      </c>
      <c r="CH1" s="40"/>
      <c r="CI1" s="40" t="s">
        <v>56</v>
      </c>
      <c r="CJ1" s="40"/>
      <c r="CK1" s="40" t="s">
        <v>232</v>
      </c>
      <c r="CL1" s="40"/>
      <c r="CM1" s="40" t="s">
        <v>57</v>
      </c>
      <c r="CN1" s="40"/>
      <c r="CO1" s="40" t="s">
        <v>90</v>
      </c>
      <c r="CP1" s="40"/>
      <c r="CQ1" s="40"/>
      <c r="CR1" s="40"/>
      <c r="CS1" s="40"/>
    </row>
    <row r="2" spans="2:97" x14ac:dyDescent="0.25">
      <c r="B2" t="s">
        <v>0</v>
      </c>
      <c r="D2" s="37" t="s">
        <v>100</v>
      </c>
      <c r="E2" s="37"/>
      <c r="F2" s="37" t="s">
        <v>98</v>
      </c>
      <c r="G2" s="37"/>
      <c r="H2" s="37" t="s">
        <v>103</v>
      </c>
      <c r="I2" s="37"/>
      <c r="J2" s="37" t="s">
        <v>109</v>
      </c>
      <c r="K2" s="37"/>
      <c r="L2" s="37" t="s">
        <v>107</v>
      </c>
      <c r="M2" s="37"/>
      <c r="N2" s="37" t="s">
        <v>109</v>
      </c>
      <c r="O2" s="37"/>
      <c r="P2" s="37" t="s">
        <v>112</v>
      </c>
      <c r="Q2" s="37"/>
      <c r="R2" s="37" t="s">
        <v>107</v>
      </c>
      <c r="S2" s="37"/>
      <c r="T2" s="37" t="s">
        <v>117</v>
      </c>
      <c r="U2" s="37"/>
      <c r="V2" s="37" t="s">
        <v>120</v>
      </c>
      <c r="W2" s="37"/>
      <c r="X2" s="37" t="s">
        <v>123</v>
      </c>
      <c r="Y2" s="37"/>
      <c r="Z2" s="37" t="s">
        <v>92</v>
      </c>
      <c r="AA2" s="37"/>
      <c r="AB2" s="37" t="s">
        <v>128</v>
      </c>
      <c r="AC2" s="37"/>
      <c r="AD2" s="37" t="s">
        <v>296</v>
      </c>
      <c r="AE2" s="37"/>
      <c r="AF2" s="37"/>
      <c r="AG2" s="37"/>
      <c r="AH2" s="37" t="s">
        <v>103</v>
      </c>
      <c r="AI2" s="37"/>
      <c r="AJ2" s="37" t="s">
        <v>117</v>
      </c>
      <c r="AK2" s="37"/>
      <c r="AL2" s="37" t="s">
        <v>135</v>
      </c>
      <c r="AM2" s="37"/>
      <c r="AN2" s="37" t="s">
        <v>109</v>
      </c>
      <c r="AO2" s="37"/>
      <c r="AP2" s="37"/>
      <c r="AQ2" s="37" t="s">
        <v>140</v>
      </c>
      <c r="AR2" s="37"/>
      <c r="AS2" s="37" t="s">
        <v>92</v>
      </c>
      <c r="AT2" s="37"/>
      <c r="AU2" s="37" t="s">
        <v>92</v>
      </c>
      <c r="AV2" s="37"/>
      <c r="AW2" s="37" t="s">
        <v>93</v>
      </c>
      <c r="AX2" s="37"/>
      <c r="AY2" s="37" t="s">
        <v>145</v>
      </c>
      <c r="AZ2" s="37"/>
      <c r="BA2" s="37" t="s">
        <v>148</v>
      </c>
      <c r="BB2" s="37"/>
      <c r="BC2" s="37" t="s">
        <v>151</v>
      </c>
      <c r="BD2" s="37"/>
      <c r="BE2" s="37" t="s">
        <v>154</v>
      </c>
      <c r="BF2" s="37"/>
      <c r="BG2" s="37" t="s">
        <v>92</v>
      </c>
      <c r="BJ2" s="37"/>
      <c r="BK2" s="37" t="s">
        <v>165</v>
      </c>
      <c r="BL2" s="37"/>
      <c r="BM2" s="37" t="s">
        <v>163</v>
      </c>
      <c r="BN2" s="37"/>
      <c r="BO2" s="37" t="s">
        <v>365</v>
      </c>
      <c r="BP2" s="37"/>
      <c r="BQ2" s="37" t="s">
        <v>167</v>
      </c>
      <c r="BR2" s="37"/>
      <c r="BS2" s="37" t="s">
        <v>112</v>
      </c>
      <c r="BT2" s="37"/>
      <c r="BU2" s="37" t="s">
        <v>170</v>
      </c>
      <c r="BV2" s="37"/>
      <c r="BW2" s="37" t="s">
        <v>224</v>
      </c>
      <c r="BX2" s="37"/>
      <c r="BY2" s="37" t="s">
        <v>179</v>
      </c>
      <c r="BZ2" s="37"/>
      <c r="CA2" s="37" t="s">
        <v>174</v>
      </c>
      <c r="CB2" s="37"/>
      <c r="CC2" s="37" t="s">
        <v>176</v>
      </c>
      <c r="CD2" s="37"/>
      <c r="CE2" s="37"/>
      <c r="CF2" s="37"/>
      <c r="CG2" s="37" t="s">
        <v>283</v>
      </c>
      <c r="CH2" s="37"/>
      <c r="CI2" s="37" t="s">
        <v>179</v>
      </c>
      <c r="CJ2" s="37"/>
      <c r="CK2" s="37"/>
      <c r="CL2" s="37"/>
      <c r="CM2" s="37" t="s">
        <v>170</v>
      </c>
      <c r="CN2" s="37"/>
      <c r="CO2" s="37" t="s">
        <v>187</v>
      </c>
      <c r="CP2" s="37"/>
      <c r="CQ2" s="37"/>
    </row>
    <row r="3" spans="2:97" x14ac:dyDescent="0.25">
      <c r="B3" t="s">
        <v>1</v>
      </c>
      <c r="D3" s="37" t="s">
        <v>101</v>
      </c>
      <c r="E3" s="37"/>
      <c r="F3" s="37" t="s">
        <v>99</v>
      </c>
      <c r="G3" s="37"/>
      <c r="H3" s="37" t="s">
        <v>104</v>
      </c>
      <c r="I3" s="37"/>
      <c r="J3" s="37" t="s">
        <v>288</v>
      </c>
      <c r="K3" s="37"/>
      <c r="L3" s="37" t="s">
        <v>108</v>
      </c>
      <c r="M3" s="37"/>
      <c r="N3" s="37" t="s">
        <v>110</v>
      </c>
      <c r="O3" s="37"/>
      <c r="P3" s="37" t="s">
        <v>113</v>
      </c>
      <c r="Q3" s="37"/>
      <c r="R3" s="37" t="s">
        <v>115</v>
      </c>
      <c r="S3" s="37"/>
      <c r="T3" s="37" t="s">
        <v>118</v>
      </c>
      <c r="U3" s="37"/>
      <c r="V3" s="37" t="s">
        <v>121</v>
      </c>
      <c r="W3" s="37"/>
      <c r="X3" s="37" t="s">
        <v>124</v>
      </c>
      <c r="Y3" s="37"/>
      <c r="Z3" s="37" t="s">
        <v>126</v>
      </c>
      <c r="AA3" s="37"/>
      <c r="AB3" s="37" t="s">
        <v>129</v>
      </c>
      <c r="AC3" s="37"/>
      <c r="AD3" s="37" t="s">
        <v>134</v>
      </c>
      <c r="AE3" s="37"/>
      <c r="AF3" s="37"/>
      <c r="AG3" s="37"/>
      <c r="AH3" s="37" t="s">
        <v>131</v>
      </c>
      <c r="AI3" s="37"/>
      <c r="AJ3" s="37" t="s">
        <v>134</v>
      </c>
      <c r="AK3" s="37"/>
      <c r="AL3" s="37" t="s">
        <v>129</v>
      </c>
      <c r="AM3" s="37"/>
      <c r="AN3" s="37" t="s">
        <v>137</v>
      </c>
      <c r="AO3" s="37"/>
      <c r="AP3" s="37"/>
      <c r="AQ3" s="37" t="s">
        <v>121</v>
      </c>
      <c r="AR3" s="37"/>
      <c r="AS3" s="37" t="s">
        <v>121</v>
      </c>
      <c r="AT3" s="37"/>
      <c r="AU3" s="37" t="s">
        <v>94</v>
      </c>
      <c r="AV3" s="37"/>
      <c r="AW3" s="37" t="s">
        <v>143</v>
      </c>
      <c r="AX3" s="37"/>
      <c r="AY3" s="37" t="s">
        <v>146</v>
      </c>
      <c r="AZ3" s="37"/>
      <c r="BA3" s="37" t="s">
        <v>149</v>
      </c>
      <c r="BB3" s="37"/>
      <c r="BC3" s="37" t="s">
        <v>152</v>
      </c>
      <c r="BD3" s="37"/>
      <c r="BE3" s="37" t="s">
        <v>155</v>
      </c>
      <c r="BF3" s="37"/>
      <c r="BG3" s="37" t="s">
        <v>94</v>
      </c>
      <c r="BJ3" s="37"/>
      <c r="BK3" s="37" t="s">
        <v>159</v>
      </c>
      <c r="BL3" s="37"/>
      <c r="BM3" s="37" t="s">
        <v>164</v>
      </c>
      <c r="BN3" s="37"/>
      <c r="BO3" s="37" t="s">
        <v>363</v>
      </c>
      <c r="BP3" s="37"/>
      <c r="BQ3" s="37" t="s">
        <v>166</v>
      </c>
      <c r="BR3" s="37"/>
      <c r="BS3" s="37" t="s">
        <v>113</v>
      </c>
      <c r="BT3" s="37"/>
      <c r="BU3" s="37" t="s">
        <v>171</v>
      </c>
      <c r="BV3" s="37"/>
      <c r="BW3" s="37" t="s">
        <v>164</v>
      </c>
      <c r="BX3" s="37"/>
      <c r="BY3" s="37" t="s">
        <v>180</v>
      </c>
      <c r="BZ3" s="37"/>
      <c r="CA3" s="37" t="s">
        <v>173</v>
      </c>
      <c r="CB3" s="37"/>
      <c r="CC3" s="37" t="s">
        <v>177</v>
      </c>
      <c r="CD3" s="37"/>
      <c r="CE3" s="37"/>
      <c r="CF3" s="37"/>
      <c r="CG3" s="37" t="s">
        <v>284</v>
      </c>
      <c r="CH3" s="37"/>
      <c r="CI3" s="37" t="s">
        <v>185</v>
      </c>
      <c r="CJ3" s="37"/>
      <c r="CK3" s="37"/>
      <c r="CL3" s="37"/>
      <c r="CM3" s="37" t="s">
        <v>183</v>
      </c>
      <c r="CN3" s="37"/>
      <c r="CO3" s="37" t="s">
        <v>186</v>
      </c>
      <c r="CP3" s="37"/>
      <c r="CQ3" s="37"/>
    </row>
    <row r="4" spans="2:97" hidden="1" outlineLevel="1" x14ac:dyDescent="0.25">
      <c r="D4" s="37" t="s">
        <v>95</v>
      </c>
      <c r="E4" s="37"/>
      <c r="F4" s="37" t="s">
        <v>95</v>
      </c>
      <c r="G4" s="37"/>
      <c r="H4" s="37" t="s">
        <v>95</v>
      </c>
      <c r="I4" s="37"/>
      <c r="J4" s="37" t="s">
        <v>95</v>
      </c>
      <c r="K4" s="37"/>
      <c r="L4" s="37" t="s">
        <v>95</v>
      </c>
      <c r="M4" s="37"/>
      <c r="N4" s="37" t="s">
        <v>95</v>
      </c>
      <c r="O4" s="37"/>
      <c r="P4" s="37" t="s">
        <v>95</v>
      </c>
      <c r="Q4" s="37"/>
      <c r="R4" s="37" t="s">
        <v>95</v>
      </c>
      <c r="S4" s="37"/>
      <c r="T4" s="37" t="s">
        <v>95</v>
      </c>
      <c r="U4" s="37"/>
      <c r="V4" s="37" t="s">
        <v>95</v>
      </c>
      <c r="W4" s="37"/>
      <c r="X4" s="37" t="s">
        <v>95</v>
      </c>
      <c r="Y4" s="37"/>
      <c r="Z4" s="37" t="s">
        <v>95</v>
      </c>
      <c r="AA4" s="37"/>
      <c r="AB4" s="37" t="s">
        <v>95</v>
      </c>
      <c r="AC4" s="37"/>
      <c r="AD4" s="37" t="s">
        <v>95</v>
      </c>
      <c r="AE4" s="37"/>
      <c r="AF4" s="37"/>
      <c r="AG4" s="37"/>
      <c r="AH4" s="37" t="s">
        <v>95</v>
      </c>
      <c r="AI4" s="37"/>
      <c r="AJ4" s="37" t="s">
        <v>95</v>
      </c>
      <c r="AK4" s="37"/>
      <c r="AL4" s="37" t="s">
        <v>95</v>
      </c>
      <c r="AM4" s="37"/>
      <c r="AN4" s="37" t="s">
        <v>95</v>
      </c>
      <c r="AO4" s="37"/>
      <c r="AP4" s="37"/>
      <c r="AQ4" s="37" t="s">
        <v>95</v>
      </c>
      <c r="AR4" s="37"/>
      <c r="AS4" s="37" t="s">
        <v>95</v>
      </c>
      <c r="AT4" s="37"/>
      <c r="AU4" s="37" t="s">
        <v>95</v>
      </c>
      <c r="AV4" s="37"/>
      <c r="AW4" s="37" t="s">
        <v>95</v>
      </c>
      <c r="AX4" s="37"/>
      <c r="AY4" s="37" t="s">
        <v>95</v>
      </c>
      <c r="AZ4" s="37"/>
      <c r="BA4" s="37" t="s">
        <v>95</v>
      </c>
      <c r="BB4" s="37"/>
      <c r="BC4" s="37" t="s">
        <v>95</v>
      </c>
      <c r="BD4" s="37"/>
      <c r="BE4" s="37" t="s">
        <v>95</v>
      </c>
      <c r="BF4" s="37"/>
      <c r="BG4" s="37" t="s">
        <v>95</v>
      </c>
      <c r="BJ4" s="37"/>
      <c r="BK4" s="37" t="s">
        <v>95</v>
      </c>
      <c r="BL4" s="37"/>
      <c r="BM4" s="37" t="s">
        <v>95</v>
      </c>
      <c r="BN4" s="37"/>
      <c r="BO4" s="37" t="s">
        <v>95</v>
      </c>
      <c r="BP4" s="37"/>
      <c r="BQ4" s="37" t="s">
        <v>95</v>
      </c>
      <c r="BR4" s="37"/>
      <c r="BS4" s="37" t="s">
        <v>95</v>
      </c>
      <c r="BT4" s="37"/>
      <c r="BU4" s="37" t="s">
        <v>95</v>
      </c>
      <c r="BV4" s="37"/>
      <c r="BW4" s="37" t="s">
        <v>95</v>
      </c>
      <c r="BX4" s="37"/>
      <c r="BY4" s="37" t="s">
        <v>95</v>
      </c>
      <c r="BZ4" s="37"/>
      <c r="CA4" s="37" t="s">
        <v>95</v>
      </c>
      <c r="CB4" s="37"/>
      <c r="CC4" s="37" t="s">
        <v>95</v>
      </c>
      <c r="CD4" s="37"/>
      <c r="CE4" s="37"/>
      <c r="CF4" s="37"/>
      <c r="CG4" s="37" t="s">
        <v>95</v>
      </c>
      <c r="CH4" s="37"/>
      <c r="CI4" s="37" t="s">
        <v>95</v>
      </c>
      <c r="CJ4" s="37"/>
      <c r="CK4" s="37"/>
      <c r="CL4" s="37"/>
      <c r="CM4" s="37" t="s">
        <v>95</v>
      </c>
      <c r="CN4" s="37"/>
      <c r="CO4" s="37" t="s">
        <v>95</v>
      </c>
      <c r="CP4" s="37"/>
      <c r="CQ4" s="37"/>
    </row>
    <row r="5" spans="2:97" collapsed="1" x14ac:dyDescent="0.25">
      <c r="B5" t="s">
        <v>89</v>
      </c>
      <c r="C5" t="s">
        <v>102</v>
      </c>
      <c r="D5" s="39">
        <f>_xll.BDP(C5,D4)</f>
        <v>97.784000000000006</v>
      </c>
      <c r="E5" s="39" t="s">
        <v>97</v>
      </c>
      <c r="F5" s="39">
        <f>_xll.BDP(E5,F4)</f>
        <v>79.018000000000001</v>
      </c>
      <c r="G5" s="39" t="s">
        <v>105</v>
      </c>
      <c r="H5" s="39">
        <f>_xll.BDP(G5,H4)</f>
        <v>100.151</v>
      </c>
      <c r="I5" s="39" t="s">
        <v>289</v>
      </c>
      <c r="J5" s="39">
        <f>_xll.BDP(I5,J4)</f>
        <v>97.733000000000004</v>
      </c>
      <c r="K5" s="39" t="s">
        <v>106</v>
      </c>
      <c r="L5" s="39">
        <f>_xll.BDP(K5,L4)</f>
        <v>96.415999999999997</v>
      </c>
      <c r="M5" s="39" t="s">
        <v>111</v>
      </c>
      <c r="N5" s="39">
        <f>_xll.BDP(M5,N4)</f>
        <v>97.628</v>
      </c>
      <c r="O5" s="39" t="s">
        <v>114</v>
      </c>
      <c r="P5" s="39">
        <f>_xll.BDP(O5,P4)</f>
        <v>103.221</v>
      </c>
      <c r="Q5" s="39" t="s">
        <v>116</v>
      </c>
      <c r="R5" s="39">
        <f>_xll.BDP(Q5,R4)</f>
        <v>99.837999999999994</v>
      </c>
      <c r="S5" s="39" t="s">
        <v>119</v>
      </c>
      <c r="T5" s="39">
        <f>_xll.BDP(S5,T4)</f>
        <v>103.943</v>
      </c>
      <c r="U5" s="39" t="s">
        <v>122</v>
      </c>
      <c r="V5" s="39">
        <f>_xll.BDP(U5,V4)</f>
        <v>104.81399999999999</v>
      </c>
      <c r="W5" s="39" t="s">
        <v>125</v>
      </c>
      <c r="X5" s="39">
        <f>_xll.BDP(W5,X4)</f>
        <v>11.757</v>
      </c>
      <c r="Y5" s="39" t="s">
        <v>127</v>
      </c>
      <c r="Z5" s="39">
        <f>_xll.BDP(Y5,Z4)</f>
        <v>87.369</v>
      </c>
      <c r="AA5" s="39" t="s">
        <v>130</v>
      </c>
      <c r="AB5" s="39">
        <f>_xll.BDP(AA5,AB4)</f>
        <v>100.649</v>
      </c>
      <c r="AC5" s="39" t="s">
        <v>297</v>
      </c>
      <c r="AD5" s="39">
        <f>_xll.BDP(AC5,AD4)</f>
        <v>100.262</v>
      </c>
      <c r="AE5" s="39"/>
      <c r="AF5" s="39"/>
      <c r="AG5" s="39" t="s">
        <v>132</v>
      </c>
      <c r="AH5" s="39">
        <f>_xll.BDP(AG5,AH4)</f>
        <v>94.343999999999994</v>
      </c>
      <c r="AI5" s="39" t="s">
        <v>133</v>
      </c>
      <c r="AJ5" s="39">
        <f>_xll.BDP(AI5,AJ4)</f>
        <v>100.52800000000001</v>
      </c>
      <c r="AK5" s="39" t="s">
        <v>136</v>
      </c>
      <c r="AL5" s="39">
        <f>_xll.BDP(AK5,AL4)</f>
        <v>101.277</v>
      </c>
      <c r="AM5" s="39" t="s">
        <v>138</v>
      </c>
      <c r="AN5" s="39">
        <f>_xll.BDP(AM5,AN4)</f>
        <v>92.787000000000006</v>
      </c>
      <c r="AO5" s="39"/>
      <c r="AP5" s="39" t="s">
        <v>139</v>
      </c>
      <c r="AQ5" s="39">
        <f>_xll.BDP(AP5,AQ4)</f>
        <v>97.658000000000001</v>
      </c>
      <c r="AR5" s="39" t="s">
        <v>141</v>
      </c>
      <c r="AS5" s="39">
        <f>_xll.BDP(AR5,AS4)</f>
        <v>101.29900000000001</v>
      </c>
      <c r="AT5" s="39" t="s">
        <v>142</v>
      </c>
      <c r="AU5" s="39">
        <f>_xll.BDP(AT5,AU4)</f>
        <v>98.078999999999994</v>
      </c>
      <c r="AV5" s="39" t="s">
        <v>144</v>
      </c>
      <c r="AW5" s="39">
        <f>_xll.BDP(AV5,AW4)</f>
        <v>91.028000000000006</v>
      </c>
      <c r="AX5" s="39" t="s">
        <v>147</v>
      </c>
      <c r="AY5" s="39">
        <f>_xll.BDP(AX5,AY4)</f>
        <v>92.77</v>
      </c>
      <c r="AZ5" s="39" t="s">
        <v>150</v>
      </c>
      <c r="BA5" s="39">
        <f>_xll.BDP(AZ5,BA4)</f>
        <v>99.998999999999995</v>
      </c>
      <c r="BB5" s="39" t="s">
        <v>153</v>
      </c>
      <c r="BC5" s="39">
        <f>_xll.BDP(BB5,BC4)</f>
        <v>94.379000000000005</v>
      </c>
      <c r="BD5" s="39" t="s">
        <v>156</v>
      </c>
      <c r="BE5" s="39">
        <f>_xll.BDP(BD5,BE4)</f>
        <v>95.864999999999995</v>
      </c>
      <c r="BF5" s="39" t="s">
        <v>157</v>
      </c>
      <c r="BG5" s="39">
        <f>_xll.BDP(BF5,BG4)</f>
        <v>101.883</v>
      </c>
      <c r="BJ5" s="39" t="s">
        <v>160</v>
      </c>
      <c r="BK5" s="39">
        <f>_xll.BDP(BJ5,BK4)</f>
        <v>110.889</v>
      </c>
      <c r="BL5" s="39" t="s">
        <v>162</v>
      </c>
      <c r="BM5" s="39">
        <f>_xll.BDP(BL5,BM4)</f>
        <v>101.512</v>
      </c>
      <c r="BN5" s="39" t="s">
        <v>364</v>
      </c>
      <c r="BO5" s="39">
        <f>_xll.BDP(BN5,BO4)</f>
        <v>100.099</v>
      </c>
      <c r="BP5" s="39" t="s">
        <v>168</v>
      </c>
      <c r="BQ5" s="39">
        <f>_xll.BDP(BP5,BQ4)</f>
        <v>101.05200000000001</v>
      </c>
      <c r="BR5" s="39" t="s">
        <v>114</v>
      </c>
      <c r="BS5" s="39">
        <f>_xll.BDP(BR5,BS4)</f>
        <v>103.221</v>
      </c>
      <c r="BT5" s="39" t="s">
        <v>169</v>
      </c>
      <c r="BU5" s="39">
        <f>_xll.BDP(BT5,BU4)</f>
        <v>111.396</v>
      </c>
      <c r="BV5" s="39" t="s">
        <v>172</v>
      </c>
      <c r="BW5" s="39">
        <f>_xll.BDP(BV5,BW4)</f>
        <v>102.73</v>
      </c>
      <c r="BX5" s="39" t="s">
        <v>181</v>
      </c>
      <c r="BY5" s="39">
        <f>_xll.BDP(BX5,BY4)</f>
        <v>120.297</v>
      </c>
      <c r="BZ5" s="39" t="s">
        <v>175</v>
      </c>
      <c r="CA5" s="39">
        <f>_xll.BDP(BZ5,CA4)</f>
        <v>114.54600000000001</v>
      </c>
      <c r="CB5" s="39" t="s">
        <v>178</v>
      </c>
      <c r="CC5" s="39">
        <f>_xll.BDP(CB5,CC4)</f>
        <v>106.462</v>
      </c>
      <c r="CD5" s="39"/>
      <c r="CE5" s="39"/>
      <c r="CF5" s="39" t="s">
        <v>285</v>
      </c>
      <c r="CG5" s="39">
        <f>_xll.BDP(CF5,CG4)</f>
        <v>102.255</v>
      </c>
      <c r="CH5" s="39" t="s">
        <v>182</v>
      </c>
      <c r="CI5" s="39">
        <f>_xll.BDP(CH5,CI4)</f>
        <v>103.523</v>
      </c>
      <c r="CJ5" s="39"/>
      <c r="CK5" s="39"/>
      <c r="CL5" s="39" t="s">
        <v>184</v>
      </c>
      <c r="CM5" s="39">
        <f>_xll.BDP(CL5,CM4)</f>
        <v>96.254999999999995</v>
      </c>
      <c r="CN5" s="39" t="s">
        <v>188</v>
      </c>
      <c r="CO5" s="39">
        <f>_xll.BDP(CN5,CO4)</f>
        <v>106.301</v>
      </c>
      <c r="CP5" s="39"/>
      <c r="CQ5" s="39"/>
    </row>
    <row r="6" spans="2:97" hidden="1" outlineLevel="1" x14ac:dyDescent="0.25">
      <c r="D6" s="39" t="s">
        <v>96</v>
      </c>
      <c r="E6" s="39"/>
      <c r="F6" s="39" t="s">
        <v>96</v>
      </c>
      <c r="G6" s="39"/>
      <c r="H6" s="39" t="s">
        <v>96</v>
      </c>
      <c r="I6" s="39"/>
      <c r="J6" s="39" t="s">
        <v>96</v>
      </c>
      <c r="K6" s="39"/>
      <c r="L6" s="39" t="s">
        <v>96</v>
      </c>
      <c r="M6" s="39"/>
      <c r="N6" s="39" t="s">
        <v>96</v>
      </c>
      <c r="O6" s="39"/>
      <c r="P6" s="39" t="s">
        <v>96</v>
      </c>
      <c r="Q6" s="39"/>
      <c r="R6" s="39" t="s">
        <v>96</v>
      </c>
      <c r="S6" s="39"/>
      <c r="T6" s="39" t="s">
        <v>96</v>
      </c>
      <c r="U6" s="39"/>
      <c r="V6" s="39" t="s">
        <v>96</v>
      </c>
      <c r="W6" s="39"/>
      <c r="X6" s="39" t="s">
        <v>96</v>
      </c>
      <c r="Y6" s="39"/>
      <c r="Z6" s="39" t="s">
        <v>96</v>
      </c>
      <c r="AA6" s="39"/>
      <c r="AB6" s="39" t="s">
        <v>96</v>
      </c>
      <c r="AC6" s="39"/>
      <c r="AD6" s="39" t="s">
        <v>96</v>
      </c>
      <c r="AE6" s="39"/>
      <c r="AF6" s="39"/>
      <c r="AG6" s="39"/>
      <c r="AH6" s="39" t="s">
        <v>96</v>
      </c>
      <c r="AI6" s="39"/>
      <c r="AJ6" s="39" t="s">
        <v>96</v>
      </c>
      <c r="AK6" s="39"/>
      <c r="AL6" s="39" t="s">
        <v>96</v>
      </c>
      <c r="AM6" s="39"/>
      <c r="AN6" s="39" t="s">
        <v>96</v>
      </c>
      <c r="AO6" s="39"/>
      <c r="AP6" s="39"/>
      <c r="AQ6" s="39" t="s">
        <v>96</v>
      </c>
      <c r="AR6" s="39"/>
      <c r="AS6" s="39" t="s">
        <v>96</v>
      </c>
      <c r="AT6" s="39"/>
      <c r="AU6" s="39" t="s">
        <v>96</v>
      </c>
      <c r="AV6" s="39"/>
      <c r="AW6" s="39" t="s">
        <v>96</v>
      </c>
      <c r="AX6" s="39"/>
      <c r="AY6" s="39" t="s">
        <v>96</v>
      </c>
      <c r="AZ6" s="39"/>
      <c r="BA6" s="39" t="s">
        <v>96</v>
      </c>
      <c r="BB6" s="39"/>
      <c r="BC6" s="39" t="s">
        <v>96</v>
      </c>
      <c r="BD6" s="39"/>
      <c r="BE6" s="39" t="s">
        <v>96</v>
      </c>
      <c r="BF6" s="39"/>
      <c r="BG6" s="39" t="s">
        <v>96</v>
      </c>
      <c r="BJ6" s="39"/>
      <c r="BK6" s="39" t="s">
        <v>161</v>
      </c>
      <c r="BL6" s="39"/>
      <c r="BM6" s="39" t="s">
        <v>161</v>
      </c>
      <c r="BN6" s="39"/>
      <c r="BO6" s="39" t="s">
        <v>161</v>
      </c>
      <c r="BP6" s="39"/>
      <c r="BQ6" s="39" t="s">
        <v>161</v>
      </c>
      <c r="BR6" s="39"/>
      <c r="BS6" s="39" t="s">
        <v>161</v>
      </c>
      <c r="BT6" s="39"/>
      <c r="BU6" s="39" t="s">
        <v>161</v>
      </c>
      <c r="BV6" s="39"/>
      <c r="BW6" s="39" t="s">
        <v>161</v>
      </c>
      <c r="BX6" s="39"/>
      <c r="BY6" s="39" t="s">
        <v>161</v>
      </c>
      <c r="BZ6" s="39"/>
      <c r="CA6" s="39" t="s">
        <v>161</v>
      </c>
      <c r="CB6" s="39"/>
      <c r="CC6" s="39" t="s">
        <v>161</v>
      </c>
      <c r="CD6" s="39"/>
      <c r="CE6" s="39"/>
      <c r="CF6" s="39"/>
      <c r="CG6" s="39" t="s">
        <v>161</v>
      </c>
      <c r="CH6" s="39"/>
      <c r="CI6" s="39" t="s">
        <v>161</v>
      </c>
      <c r="CJ6" s="39"/>
      <c r="CK6" s="39"/>
      <c r="CL6" s="39"/>
      <c r="CM6" s="39" t="s">
        <v>161</v>
      </c>
      <c r="CN6" s="39"/>
      <c r="CO6" s="39" t="s">
        <v>161</v>
      </c>
      <c r="CP6" s="39"/>
      <c r="CQ6" s="39"/>
    </row>
    <row r="7" spans="2:97" collapsed="1" x14ac:dyDescent="0.25">
      <c r="B7" t="s">
        <v>158</v>
      </c>
      <c r="C7" t="str">
        <f>+C5</f>
        <v>AO1126629 corp</v>
      </c>
      <c r="D7" s="39">
        <f>_xll.BDP(C7,D6)</f>
        <v>5.4289677100557192</v>
      </c>
      <c r="E7" s="39" t="s">
        <v>97</v>
      </c>
      <c r="F7" s="39">
        <f>_xll.BDP(E7,F6)</f>
        <v>15.804256032544945</v>
      </c>
      <c r="G7" s="39" t="str">
        <f>+G5</f>
        <v>AO1652376 corp</v>
      </c>
      <c r="H7" s="39">
        <f>_xll.BDP(G7,H6)</f>
        <v>8.2443855300000006</v>
      </c>
      <c r="I7" s="39" t="str">
        <f>+I5</f>
        <v>aq0125759 corp</v>
      </c>
      <c r="J7" s="39">
        <f>_xll.BDP(I7,J6)</f>
        <v>5.813165425025792</v>
      </c>
      <c r="K7" s="39" t="str">
        <f>+K5</f>
        <v>AU6889052 corp</v>
      </c>
      <c r="L7" s="39">
        <f>_xll.BDP(K7,L6)</f>
        <v>7.6528307636761346</v>
      </c>
      <c r="M7" s="39" t="str">
        <f>+M5</f>
        <v>EK6583927 corp</v>
      </c>
      <c r="N7" s="39">
        <f>_xll.BDP(M7,N6)</f>
        <v>6.6685543952483082</v>
      </c>
      <c r="O7" s="39" t="str">
        <f>+O5</f>
        <v>AL7282349 corp</v>
      </c>
      <c r="P7" s="39">
        <f>_xll.BDP(O7,P6)</f>
        <v>3.4396152799999999</v>
      </c>
      <c r="Q7" s="39" t="str">
        <f>+Q5</f>
        <v>AQ2692491 corp</v>
      </c>
      <c r="R7" s="39">
        <f>_xll.BDP(Q7,R6)</f>
        <v>8.8874652800000007</v>
      </c>
      <c r="S7" s="39" t="str">
        <f>+S5</f>
        <v>AQ2229047 corp</v>
      </c>
      <c r="T7" s="39">
        <f>_xll.BDP(S7,T6)</f>
        <v>4.57735585</v>
      </c>
      <c r="U7" s="39" t="str">
        <f>+U5</f>
        <v>AO0955093 corp</v>
      </c>
      <c r="V7" s="39">
        <f>_xll.BDP(U7,V6)</f>
        <v>4.06012664</v>
      </c>
      <c r="W7" s="39" t="str">
        <f>+W5</f>
        <v>AF2041107 corp</v>
      </c>
      <c r="X7" s="39">
        <f>_xll.BDP(W7,X6)</f>
        <v>94.671626098979161</v>
      </c>
      <c r="Y7" s="39" t="str">
        <f>+Y5</f>
        <v>AO6542499 corp</v>
      </c>
      <c r="Z7" s="39">
        <f>_xll.BDP(Y7,Z6)</f>
        <v>9.1715179525744066</v>
      </c>
      <c r="AA7" s="39" t="str">
        <f>+AA5</f>
        <v>EK9287666 corp</v>
      </c>
      <c r="AB7" s="39">
        <f>_xll.BDP(AA7,AB6)</f>
        <v>5.5697056099999998</v>
      </c>
      <c r="AC7" s="39" t="str">
        <f>+AC5</f>
        <v>ax0971496 corp</v>
      </c>
      <c r="AD7" s="39">
        <f>_xll.BDP(AC7,AD6)</f>
        <v>5.8379890300000001</v>
      </c>
      <c r="AE7" s="39"/>
      <c r="AF7" s="39"/>
      <c r="AG7" s="39" t="str">
        <f>+AG5</f>
        <v>EK7884373 corp</v>
      </c>
      <c r="AH7" s="39">
        <f>_xll.BDP(AG7,AH6)</f>
        <v>7.7381602468984347</v>
      </c>
      <c r="AI7" s="39" t="str">
        <f>+AI5</f>
        <v>av7264519 corp</v>
      </c>
      <c r="AJ7" s="39">
        <f>_xll.BDP(AI7,AJ6)</f>
        <v>5.7778398400000004</v>
      </c>
      <c r="AK7" s="39" t="str">
        <f>+AK5</f>
        <v>ao6537143 corp</v>
      </c>
      <c r="AL7" s="39">
        <f>_xll.BDP(AK7,AL6)</f>
        <v>5.3626418000000005</v>
      </c>
      <c r="AM7" s="39" t="str">
        <f>+AM5</f>
        <v>as4470579 corp</v>
      </c>
      <c r="AN7" s="39">
        <f>_xll.BDP(AM7,AN6)</f>
        <v>7.4570307164413867</v>
      </c>
      <c r="AO7" s="39"/>
      <c r="AP7" s="39" t="str">
        <f>+AP5</f>
        <v>ap2883829 corp</v>
      </c>
      <c r="AQ7" s="39">
        <f>_xll.BDP(AP7,AQ6)</f>
        <v>5.8444969719745075</v>
      </c>
      <c r="AR7" s="39" t="str">
        <f>+AR5</f>
        <v>al5956845 corp</v>
      </c>
      <c r="AS7" s="39">
        <f>_xll.BDP(AR7,AS6)</f>
        <v>4.9610411299999999</v>
      </c>
      <c r="AT7" s="39" t="str">
        <f>+AT5</f>
        <v>at3081839 corp</v>
      </c>
      <c r="AU7" s="39">
        <f>_xll.BDP(AT7,AU6)</f>
        <v>6.1179289994660246</v>
      </c>
      <c r="AV7" s="39" t="str">
        <f>+AV5</f>
        <v>jk4439317 corp</v>
      </c>
      <c r="AW7" s="39">
        <f>_xll.BDP(AV7,AW6)</f>
        <v>6.6141991872640329</v>
      </c>
      <c r="AX7" s="39" t="str">
        <f>+AX5</f>
        <v>at9394434 corp</v>
      </c>
      <c r="AY7" s="39">
        <f>_xll.BDP(AX7,AY6)</f>
        <v>7.7837212806013136</v>
      </c>
      <c r="AZ7" s="39" t="str">
        <f>+AZ5</f>
        <v>ap0996078 corp</v>
      </c>
      <c r="BA7" s="39">
        <f>_xll.BDP(AZ7,BA6)</f>
        <v>7.4083314700000003</v>
      </c>
      <c r="BB7" s="39" t="str">
        <f>+BB5</f>
        <v>ap8909974 corp</v>
      </c>
      <c r="BC7" s="39">
        <f>_xll.BDP(BB7,BC6)</f>
        <v>6.6335645077387229</v>
      </c>
      <c r="BD7" s="39" t="str">
        <f>+BD5</f>
        <v>as9994474 corp</v>
      </c>
      <c r="BE7" s="39">
        <f>_xll.BDP(BD7,BE6)</f>
        <v>7.1598344460909784</v>
      </c>
      <c r="BF7" s="39" t="str">
        <f>+BF5</f>
        <v>as5835499 corp</v>
      </c>
      <c r="BG7" s="39">
        <f>_xll.BDP(BF7,BG6)</f>
        <v>5.2257254599999996</v>
      </c>
      <c r="BJ7" s="39" t="str">
        <f>+BJ5</f>
        <v>jk4486045 corp</v>
      </c>
      <c r="BK7" s="39">
        <f>_xll.BDP(BJ7,BK6)</f>
        <v>139.64135838887699</v>
      </c>
      <c r="BL7" s="39" t="str">
        <f>+BL5</f>
        <v>au0590557 corp</v>
      </c>
      <c r="BM7" s="39">
        <f>_xll.BDP(BL7,BM6)</f>
        <v>180.28808843976299</v>
      </c>
      <c r="BN7" s="39" t="str">
        <f>+BN5</f>
        <v>ap9549274 corp</v>
      </c>
      <c r="BO7" s="39">
        <f>_xll.BDP(BN7,BO6)</f>
        <v>190.84368381760399</v>
      </c>
      <c r="BP7" s="39" t="str">
        <f>+BP5</f>
        <v>an1132447 corp</v>
      </c>
      <c r="BQ7" s="39">
        <f>_xll.BDP(BP7,BQ6)</f>
        <v>141.783759427804</v>
      </c>
      <c r="BR7" s="39" t="str">
        <f>+BR5</f>
        <v>AL7282349 corp</v>
      </c>
      <c r="BS7" s="39">
        <f>_xll.BDP(BR7,BS6)</f>
        <v>80.534386272078095</v>
      </c>
      <c r="BT7" s="39" t="str">
        <f>+BT5</f>
        <v>jk3436074 corp</v>
      </c>
      <c r="BU7" s="39">
        <f>_xll.BDP(BT7,BU6)</f>
        <v>74.755151358172</v>
      </c>
      <c r="BV7" s="39" t="str">
        <f>+BV5</f>
        <v>as3194220 corp</v>
      </c>
      <c r="BW7" s="39">
        <f>_xll.BDP(BV7,BW6)</f>
        <v>164.34690374525101</v>
      </c>
      <c r="BX7" s="39" t="str">
        <f>+BX5</f>
        <v>ed5603961 corp</v>
      </c>
      <c r="BY7" s="39">
        <f>_xll.BDP(BX7,BY6)</f>
        <v>215.33438417055899</v>
      </c>
      <c r="BZ7" s="39" t="str">
        <f>+BZ5</f>
        <v>jv2587196 corp</v>
      </c>
      <c r="CA7" s="39">
        <f>_xll.BDP(BZ7,CA6)</f>
        <v>102.88472856958001</v>
      </c>
      <c r="CB7" s="39" t="str">
        <f>+CB5</f>
        <v>jv6007332 corp</v>
      </c>
      <c r="CC7" s="39">
        <f>_xll.BDP(CB7,CC6)</f>
        <v>75.9177622257222</v>
      </c>
      <c r="CD7" s="39"/>
      <c r="CE7" s="39"/>
      <c r="CF7" s="39" t="str">
        <f>+CF5</f>
        <v>am7761993 corp</v>
      </c>
      <c r="CG7" s="39">
        <f>_xll.BDP(CF7,CG6)</f>
        <v>152.682698386472</v>
      </c>
      <c r="CH7" s="39" t="str">
        <f>+CH5</f>
        <v>ao3535017 corp</v>
      </c>
      <c r="CI7" s="39">
        <f>_xll.BDP(CH7,CI6)</f>
        <v>154.83432942955801</v>
      </c>
      <c r="CJ7" s="39"/>
      <c r="CK7" s="39"/>
      <c r="CL7" s="39" t="str">
        <f>+CL5</f>
        <v>al0940299 corp</v>
      </c>
      <c r="CM7" s="39">
        <f>_xll.BDP(CL7,CM6)</f>
        <v>124.01732067472599</v>
      </c>
      <c r="CN7" s="39" t="str">
        <f>+CN5</f>
        <v>qj9978017 corp</v>
      </c>
      <c r="CO7" s="39">
        <f>_xll.BDP(CN7,CO6)</f>
        <v>107.638664084448</v>
      </c>
      <c r="CP7" s="39"/>
      <c r="CQ7" s="39"/>
    </row>
    <row r="8" spans="2:97" x14ac:dyDescent="0.25">
      <c r="B8" t="s">
        <v>246</v>
      </c>
      <c r="F8" s="25"/>
      <c r="G8" s="25"/>
      <c r="H8" s="25"/>
      <c r="I8" s="25"/>
      <c r="J8" s="25"/>
      <c r="K8" s="25"/>
      <c r="L8" s="25"/>
      <c r="M8" s="25"/>
      <c r="N8" s="25"/>
      <c r="O8" s="25"/>
      <c r="R8" s="25"/>
      <c r="S8" s="25"/>
      <c r="T8" s="25"/>
      <c r="U8" s="25"/>
      <c r="V8" s="26"/>
      <c r="W8" s="26"/>
      <c r="X8" s="25"/>
      <c r="Y8" s="25"/>
      <c r="Z8" s="25"/>
      <c r="AA8" s="25"/>
      <c r="AB8" s="25"/>
      <c r="AC8" s="25"/>
      <c r="AG8" s="25"/>
      <c r="AJ8" s="25"/>
      <c r="AK8" s="25"/>
      <c r="AN8" s="25">
        <v>43523</v>
      </c>
      <c r="AQ8" s="25">
        <v>43531</v>
      </c>
      <c r="AR8" s="25"/>
      <c r="AU8" s="25">
        <v>43524</v>
      </c>
      <c r="AV8" s="25"/>
      <c r="AW8" s="25">
        <v>43521</v>
      </c>
      <c r="AX8" s="25"/>
      <c r="BA8" s="25"/>
      <c r="BB8" s="25"/>
      <c r="BE8" s="25"/>
      <c r="BF8" s="25"/>
      <c r="BG8" s="26"/>
      <c r="BK8">
        <v>3</v>
      </c>
      <c r="BM8">
        <v>3</v>
      </c>
      <c r="BN8" s="25"/>
      <c r="BO8">
        <v>2</v>
      </c>
      <c r="BP8" s="25"/>
      <c r="BQ8">
        <v>2</v>
      </c>
      <c r="BR8" s="25"/>
      <c r="BU8">
        <v>2</v>
      </c>
      <c r="BW8">
        <v>1</v>
      </c>
      <c r="BY8">
        <v>2</v>
      </c>
      <c r="CA8">
        <v>1</v>
      </c>
      <c r="CC8">
        <v>1</v>
      </c>
      <c r="CG8">
        <v>3</v>
      </c>
      <c r="CI8">
        <v>2</v>
      </c>
      <c r="CK8">
        <v>3</v>
      </c>
      <c r="CM8">
        <v>3</v>
      </c>
      <c r="CO8">
        <v>2</v>
      </c>
    </row>
    <row r="9" spans="2:97" outlineLevel="1" x14ac:dyDescent="0.25">
      <c r="B9" s="12" t="s">
        <v>2</v>
      </c>
      <c r="C9" s="12"/>
      <c r="D9" s="18">
        <v>43465</v>
      </c>
      <c r="E9" s="18"/>
      <c r="F9" s="18">
        <v>43465</v>
      </c>
      <c r="G9" s="18"/>
      <c r="H9" s="18">
        <v>43465</v>
      </c>
      <c r="I9" s="18"/>
      <c r="J9" s="18">
        <v>43465</v>
      </c>
      <c r="K9" s="18"/>
      <c r="L9" s="18">
        <v>43465</v>
      </c>
      <c r="M9" s="18"/>
      <c r="N9" s="18">
        <v>43465</v>
      </c>
      <c r="O9" s="18"/>
      <c r="P9" s="18">
        <v>43465</v>
      </c>
      <c r="Q9" s="18"/>
      <c r="R9" s="18">
        <v>43465</v>
      </c>
      <c r="S9" s="18"/>
      <c r="T9" s="18"/>
      <c r="U9" s="18"/>
      <c r="V9" s="18">
        <v>43465</v>
      </c>
      <c r="W9" s="18"/>
      <c r="X9" s="18">
        <v>43465</v>
      </c>
      <c r="Y9" s="18"/>
      <c r="Z9" s="18">
        <v>43465</v>
      </c>
      <c r="AA9" s="18"/>
      <c r="AB9" s="18">
        <v>43465</v>
      </c>
      <c r="AC9" s="18"/>
      <c r="AD9" s="18">
        <v>43465</v>
      </c>
      <c r="AE9" s="18"/>
      <c r="AF9" s="18">
        <v>43465</v>
      </c>
      <c r="AG9" s="18"/>
      <c r="AH9" s="18">
        <v>43465</v>
      </c>
      <c r="AI9" s="18"/>
      <c r="AJ9" s="18">
        <v>43465</v>
      </c>
      <c r="AK9" s="18"/>
      <c r="AL9" s="18"/>
      <c r="AM9" s="18"/>
      <c r="AN9" s="18">
        <v>43465</v>
      </c>
      <c r="AO9" s="18">
        <v>43465</v>
      </c>
      <c r="AP9" s="18"/>
      <c r="AQ9" s="18"/>
      <c r="AR9" s="18"/>
      <c r="AS9" s="18">
        <v>43465</v>
      </c>
      <c r="AT9" s="18"/>
      <c r="AU9" s="18"/>
      <c r="AV9" s="18"/>
      <c r="AW9" s="18">
        <v>43465</v>
      </c>
      <c r="AX9" s="18"/>
      <c r="AY9" s="18">
        <v>43465</v>
      </c>
      <c r="AZ9" s="18"/>
      <c r="BA9" s="18">
        <v>43465</v>
      </c>
      <c r="BB9" s="18"/>
      <c r="BC9" s="18">
        <v>43465</v>
      </c>
      <c r="BD9" s="18"/>
      <c r="BE9" s="18">
        <v>43465</v>
      </c>
      <c r="BF9" s="18"/>
      <c r="BG9" s="18">
        <v>43465</v>
      </c>
      <c r="BH9" s="18"/>
      <c r="BI9" s="18"/>
      <c r="BJ9" s="12"/>
      <c r="BK9" s="18">
        <v>43465</v>
      </c>
      <c r="BL9" s="18"/>
      <c r="BM9" s="18">
        <v>43465</v>
      </c>
      <c r="BN9" s="18"/>
      <c r="BO9" s="18">
        <v>43465</v>
      </c>
      <c r="BP9" s="18"/>
      <c r="BQ9" s="18">
        <v>43465</v>
      </c>
      <c r="BR9" s="18"/>
      <c r="BS9" s="18">
        <v>43465</v>
      </c>
      <c r="BT9" s="18"/>
      <c r="BU9" s="18">
        <v>43465</v>
      </c>
      <c r="BV9" s="18"/>
      <c r="BW9" s="18">
        <v>43465</v>
      </c>
      <c r="BX9" s="18"/>
      <c r="BY9" s="18">
        <v>43465</v>
      </c>
      <c r="BZ9" s="18"/>
      <c r="CA9" s="18">
        <v>43465</v>
      </c>
      <c r="CB9" s="18"/>
      <c r="CC9" s="18">
        <v>43465</v>
      </c>
      <c r="CD9" s="18"/>
      <c r="CE9" s="18"/>
      <c r="CF9" s="18"/>
      <c r="CG9" s="18" t="s">
        <v>286</v>
      </c>
      <c r="CH9" s="18"/>
      <c r="CI9" s="18">
        <v>43465</v>
      </c>
      <c r="CJ9" s="18"/>
      <c r="CK9" s="18"/>
      <c r="CL9" s="18"/>
      <c r="CM9" s="18">
        <v>43465</v>
      </c>
      <c r="CN9" s="18"/>
      <c r="CO9" s="18">
        <v>43465</v>
      </c>
      <c r="CP9" s="18"/>
      <c r="CQ9" s="18"/>
      <c r="CR9" s="18"/>
      <c r="CS9" s="18"/>
    </row>
    <row r="10" spans="2:97" outlineLevel="1" x14ac:dyDescent="0.25">
      <c r="B10" t="s">
        <v>362</v>
      </c>
      <c r="D10" s="7">
        <f>4031.065+243.112+72.687-686.055-13.318</f>
        <v>3647.4909999999995</v>
      </c>
      <c r="E10" s="7"/>
      <c r="F10" s="7">
        <f>3064-228-399</f>
        <v>2437</v>
      </c>
      <c r="G10" s="7"/>
      <c r="H10" s="7">
        <f>1065.942-6.709-96.307</f>
        <v>962.92599999999993</v>
      </c>
      <c r="I10" s="7"/>
      <c r="J10" s="7">
        <f>891.045</f>
        <v>891.04499999999996</v>
      </c>
      <c r="K10" s="7"/>
      <c r="L10" s="7">
        <f>10231-5158+26-345</f>
        <v>4754</v>
      </c>
      <c r="M10" s="7"/>
      <c r="N10" s="7">
        <f>1577.937-30.212+65.986+89.781+26.942-64.817+30.212</f>
        <v>1695.829</v>
      </c>
      <c r="O10" s="7"/>
      <c r="P10" s="7">
        <f>4151-218</f>
        <v>3933</v>
      </c>
      <c r="Q10" s="7"/>
      <c r="R10" s="7">
        <f>1422.589-175.248</f>
        <v>1247.3409999999999</v>
      </c>
      <c r="S10" s="7"/>
      <c r="T10" s="7"/>
      <c r="U10" s="7"/>
      <c r="V10" s="7">
        <f>2176.256-71.878</f>
        <v>2104.3779999999997</v>
      </c>
      <c r="W10" s="7"/>
      <c r="X10" s="7">
        <f>1240+84-109</f>
        <v>1215</v>
      </c>
      <c r="Y10" s="7"/>
      <c r="Z10" s="7"/>
      <c r="AA10" s="7"/>
      <c r="AB10" s="7">
        <v>2002.45</v>
      </c>
      <c r="AC10" s="7"/>
      <c r="AD10" s="7">
        <f>581.644</f>
        <v>581.64400000000001</v>
      </c>
      <c r="AE10" s="7"/>
      <c r="AF10" s="7">
        <v>886.66600000000005</v>
      </c>
      <c r="AG10" s="7"/>
      <c r="AH10" s="7">
        <f>1105.775-288.674</f>
        <v>817.10100000000011</v>
      </c>
      <c r="AI10" s="7"/>
      <c r="AJ10" s="7">
        <f>899.599-65.085</f>
        <v>834.51400000000001</v>
      </c>
      <c r="AK10" s="7"/>
      <c r="AL10" s="7"/>
      <c r="AM10" s="7"/>
      <c r="AN10" s="7">
        <f>2321.9-31.912-554.307-215.528</f>
        <v>1520.1530000000002</v>
      </c>
      <c r="AO10" s="7"/>
      <c r="AP10" s="7"/>
      <c r="AQ10" s="7"/>
      <c r="AR10" s="7"/>
      <c r="AS10" s="7">
        <f>1826.431-50.342</f>
        <v>1776.0889999999999</v>
      </c>
      <c r="AT10" s="7"/>
      <c r="AU10" s="7"/>
      <c r="AV10" s="7"/>
      <c r="AW10" s="7">
        <f>3282.645-131.522+51.192-496.047</f>
        <v>2706.268</v>
      </c>
      <c r="AX10" s="7"/>
      <c r="AY10" s="7">
        <f>2067.072-426.917-135.803</f>
        <v>1504.3520000000003</v>
      </c>
      <c r="AZ10" s="7"/>
      <c r="BA10" s="7">
        <f>3862-1229+24-118</f>
        <v>2539</v>
      </c>
      <c r="BB10" s="7"/>
      <c r="BC10" s="7">
        <f>1932.6+90.4-248.5</f>
        <v>1774.5</v>
      </c>
      <c r="BD10" s="7"/>
      <c r="BE10" s="7">
        <f>2081.414-17.17-139.831-61.036</f>
        <v>1863.3770000000002</v>
      </c>
      <c r="BF10" s="7"/>
      <c r="BG10" s="7">
        <f>2025-81-204+182-237</f>
        <v>1685</v>
      </c>
      <c r="BH10" s="7"/>
      <c r="BI10" s="7"/>
      <c r="BJ10" s="7"/>
      <c r="BK10" s="7">
        <f>13382-312-1047+138-545</f>
        <v>11616</v>
      </c>
      <c r="BL10" s="7"/>
      <c r="BM10" s="7">
        <f>7348-103</f>
        <v>7245</v>
      </c>
      <c r="BN10" s="7"/>
      <c r="BO10" s="7">
        <f>20844-8744</f>
        <v>12100</v>
      </c>
      <c r="BP10" s="7"/>
      <c r="BQ10" s="7">
        <f>2339.017-41.964+24.429</f>
        <v>2321.482</v>
      </c>
      <c r="BR10" s="7"/>
      <c r="BS10" s="7">
        <f>4151-218</f>
        <v>3933</v>
      </c>
      <c r="BT10" s="7"/>
      <c r="BU10" s="7">
        <f>38727-14294</f>
        <v>24433</v>
      </c>
      <c r="BV10" s="7"/>
      <c r="BW10" s="7">
        <f>4709.586-13.009</f>
        <v>4696.5770000000002</v>
      </c>
      <c r="BX10" s="7"/>
      <c r="BY10" s="8">
        <f>5939-519-1100</f>
        <v>4320</v>
      </c>
      <c r="BZ10" s="7"/>
      <c r="CA10" s="8">
        <f>10734-4363-608-84</f>
        <v>5679</v>
      </c>
      <c r="CB10" s="8"/>
      <c r="CC10" s="8">
        <f>17275.299-5203.243+165.64-258.906-174.562</f>
        <v>11804.227999999997</v>
      </c>
      <c r="CD10" s="8"/>
      <c r="CE10" s="8"/>
      <c r="CF10" s="8"/>
      <c r="CG10" s="8">
        <f>22252-668+654-150+72</f>
        <v>22160</v>
      </c>
      <c r="CH10" s="8"/>
      <c r="CI10" s="8">
        <f>6582-319-281</f>
        <v>5982</v>
      </c>
      <c r="CJ10" s="8"/>
      <c r="CK10" s="8"/>
      <c r="CL10" s="8"/>
      <c r="CM10" s="8">
        <f>17824+136</f>
        <v>17960</v>
      </c>
      <c r="CN10" s="8"/>
      <c r="CO10">
        <f>9415-290-3930-270</f>
        <v>4925</v>
      </c>
    </row>
    <row r="11" spans="2:97" outlineLevel="1" x14ac:dyDescent="0.25">
      <c r="B11" t="s">
        <v>4</v>
      </c>
      <c r="D11" s="35">
        <f>+D10-142.234-1792.898-122.305-181.305+49.341+159.181+93.019</f>
        <v>1710.2899999999995</v>
      </c>
      <c r="E11" s="35"/>
      <c r="F11" s="7">
        <f>+F10-912-299-149</f>
        <v>1077</v>
      </c>
      <c r="G11" s="7"/>
      <c r="H11" s="7">
        <f>+H10-161.596-50.591-10.422-68.617</f>
        <v>671.69999999999993</v>
      </c>
      <c r="I11" s="7"/>
      <c r="J11" s="7">
        <f>+J10-83.313-56.523-57.624-63.304+20.67</f>
        <v>650.95099999999991</v>
      </c>
      <c r="K11" s="7"/>
      <c r="L11" s="7">
        <f>+L10-539-1398-124-280-10+32</f>
        <v>2435</v>
      </c>
      <c r="M11" s="7"/>
      <c r="N11" s="7">
        <f>+N10-95.139-302.933-32.75-72.412-134.806-112.732-12.033+21.341-69.72</f>
        <v>884.64499999999998</v>
      </c>
      <c r="O11" s="7"/>
      <c r="P11" s="7">
        <f>+P10-590-305-55-311</f>
        <v>2672</v>
      </c>
      <c r="Q11" s="7"/>
      <c r="R11" s="7">
        <f>+R10-489.72-50.002-2.816-104.67-71.495+11.951</f>
        <v>540.58899999999994</v>
      </c>
      <c r="S11" s="7"/>
      <c r="T11" s="7"/>
      <c r="U11" s="7"/>
      <c r="V11" s="7">
        <f>+V10-204.975-132.661-26.113-64.554+26.764-221.732+101.299-99.223</f>
        <v>1483.1829999999995</v>
      </c>
      <c r="W11" s="7"/>
      <c r="X11" s="7">
        <v>813</v>
      </c>
      <c r="Y11" s="7"/>
      <c r="Z11" s="7"/>
      <c r="AA11" s="7"/>
      <c r="AB11" s="7">
        <f>+AB10-688.1-33.132-67.537-0.469-78.27+18.84</f>
        <v>1153.7819999999997</v>
      </c>
      <c r="AC11" s="7"/>
      <c r="AD11" s="7">
        <f>+AD10-42.406-34.642-122.472+83.346</f>
        <v>465.47000000000008</v>
      </c>
      <c r="AE11" s="7"/>
      <c r="AF11" s="7">
        <f>+AF10-224.727-6.955-99.856+31.43-29.96-137.942+35.23+72.881-0.045</f>
        <v>526.72199999999998</v>
      </c>
      <c r="AG11" s="7"/>
      <c r="AH11" s="7">
        <f>+AH10-91.289-49.457-11.704-2.872-96.138</f>
        <v>565.64100000000019</v>
      </c>
      <c r="AI11" s="7"/>
      <c r="AJ11" s="7">
        <f>+AJ10-76.138-92.966-24.609-69.308+17.2-30.386</f>
        <v>558.30700000000002</v>
      </c>
      <c r="AK11" s="7"/>
      <c r="AL11" s="7"/>
      <c r="AM11" s="7"/>
      <c r="AN11" s="7">
        <f>+AN10-193.912-41.2-107.193-133.696-121.346+29.273-21.703</f>
        <v>930.37600000000032</v>
      </c>
      <c r="AO11" s="7"/>
      <c r="AP11" s="7"/>
      <c r="AQ11" s="7"/>
      <c r="AR11" s="7"/>
      <c r="AS11" s="7">
        <f>+AS10-144.292-32.573-108.342-19.863+19.877-47.644-150.955</f>
        <v>1292.2969999999998</v>
      </c>
      <c r="AT11" s="7"/>
      <c r="AU11" s="7"/>
      <c r="AV11" s="7"/>
      <c r="AW11" s="7">
        <f>+AW10-139.531-1117.816-46.149-209.812</f>
        <v>1192.96</v>
      </c>
      <c r="AX11" s="7"/>
      <c r="AY11" s="7">
        <f>+AY10-487.367-116.504+23.908-18.328</f>
        <v>906.06100000000038</v>
      </c>
      <c r="AZ11" s="7"/>
      <c r="BA11" s="7">
        <f>+BA10-785-209-89</f>
        <v>1456</v>
      </c>
      <c r="BB11" s="7"/>
      <c r="BC11" s="7">
        <f>+BC10-51-263.1-117.6-15.5-221.7-130.8</f>
        <v>974.80000000000018</v>
      </c>
      <c r="BD11" s="7"/>
      <c r="BE11" s="7">
        <f>+BE10-311.895-48.105-171.823-123.25+12.669</f>
        <v>1220.9730000000002</v>
      </c>
      <c r="BF11" s="7"/>
      <c r="BG11" s="7">
        <f>+BG10-272-107-157-182+34</f>
        <v>1001</v>
      </c>
      <c r="BH11" s="7"/>
      <c r="BI11" s="7"/>
      <c r="BJ11" s="7"/>
      <c r="BK11" s="7">
        <f>+BK10-1153-878-1084-826-262</f>
        <v>7413</v>
      </c>
      <c r="BL11" s="7"/>
      <c r="BM11" s="7">
        <f>+BM10-1439-348-215-431</f>
        <v>4812</v>
      </c>
      <c r="BN11" s="7"/>
      <c r="BO11" s="7">
        <v>1411</v>
      </c>
      <c r="BP11" s="7"/>
      <c r="BQ11" s="7">
        <f>+BQ10-293.213-200.802-125.169-80.85-15.5</f>
        <v>1605.9480000000001</v>
      </c>
      <c r="BR11" s="7"/>
      <c r="BS11" s="7">
        <f>+BS10-590-305-55-311</f>
        <v>2672</v>
      </c>
      <c r="BT11" s="7"/>
      <c r="BU11" s="7">
        <f>+BU10-5213-1048-375-401</f>
        <v>17396</v>
      </c>
      <c r="BV11" s="7"/>
      <c r="BW11" s="7">
        <f>+BW10-390.423-353.14-191.587-21.639-183.569+47.236</f>
        <v>3603.4550000000004</v>
      </c>
      <c r="BX11" s="7"/>
      <c r="BY11" s="8">
        <v>2479</v>
      </c>
      <c r="BZ11" s="7"/>
      <c r="CA11" s="8">
        <f>+CA10-2225-650+161</f>
        <v>2965</v>
      </c>
      <c r="CB11" s="8"/>
      <c r="CC11" s="8">
        <f>+CC10+155.337-1282.678-746.876-436.973-426.969-772.481</f>
        <v>8293.5879999999979</v>
      </c>
      <c r="CD11" s="8"/>
      <c r="CE11" s="8"/>
      <c r="CF11" s="8"/>
      <c r="CG11" s="8">
        <f>+CG10-14555-2803-654</f>
        <v>4148</v>
      </c>
      <c r="CH11" s="8"/>
      <c r="CI11" s="8">
        <f>+CI10-842-575-299-394+53</f>
        <v>3925</v>
      </c>
      <c r="CJ11" s="8"/>
      <c r="CK11" s="8"/>
      <c r="CL11" s="8"/>
      <c r="CM11" s="8">
        <f>+CM10-6568-1613-439</f>
        <v>9340</v>
      </c>
      <c r="CN11" s="8"/>
      <c r="CO11">
        <f>+CO10-855-284-381-849+658</f>
        <v>3214</v>
      </c>
    </row>
    <row r="12" spans="2:97" outlineLevel="1" x14ac:dyDescent="0.25">
      <c r="B12" s="1" t="s">
        <v>5</v>
      </c>
      <c r="C12" s="1"/>
      <c r="D12" s="23">
        <f>+D11/D10</f>
        <v>0.46889491982296866</v>
      </c>
      <c r="E12" s="23"/>
      <c r="F12" s="23">
        <f>+F11/F10</f>
        <v>0.44193680755026671</v>
      </c>
      <c r="G12" s="23"/>
      <c r="H12" s="23">
        <f>+H11/H10</f>
        <v>0.69756139101031645</v>
      </c>
      <c r="I12" s="23"/>
      <c r="J12" s="23">
        <f>+J11/J10</f>
        <v>0.73054783989585259</v>
      </c>
      <c r="K12" s="23"/>
      <c r="L12" s="23">
        <f>+L11/L10</f>
        <v>0.51220025241901557</v>
      </c>
      <c r="M12" s="23"/>
      <c r="N12" s="23">
        <f>+N11/N10</f>
        <v>0.52165931824494094</v>
      </c>
      <c r="O12" s="23"/>
      <c r="P12" s="23">
        <f>+P11/P10</f>
        <v>0.67937960844139333</v>
      </c>
      <c r="Q12" s="23"/>
      <c r="R12" s="23">
        <f>+R11/R10</f>
        <v>0.43339311383174289</v>
      </c>
      <c r="S12" s="3"/>
      <c r="T12" s="3"/>
      <c r="U12" s="3"/>
      <c r="V12" s="3">
        <f>+V11/V10</f>
        <v>0.70480826163360377</v>
      </c>
      <c r="W12" s="3"/>
      <c r="X12" s="3">
        <f>+X11/X10</f>
        <v>0.66913580246913584</v>
      </c>
      <c r="Y12" s="3"/>
      <c r="Z12" s="3"/>
      <c r="AA12" s="3"/>
      <c r="AB12" s="3">
        <f>+AB11/AB10</f>
        <v>0.57618517316287532</v>
      </c>
      <c r="AC12" s="3"/>
      <c r="AD12" s="3">
        <f>+AD11/AD10</f>
        <v>0.8002661421763142</v>
      </c>
      <c r="AE12" s="3"/>
      <c r="AF12" s="3">
        <f>+AF11/AF10</f>
        <v>0.59404781507354509</v>
      </c>
      <c r="AG12" s="3"/>
      <c r="AH12" s="3">
        <f>+AH11/AH10</f>
        <v>0.69225346682968214</v>
      </c>
      <c r="AI12" s="3"/>
      <c r="AJ12" s="3">
        <f>+AJ11/AJ10</f>
        <v>0.66902053171067233</v>
      </c>
      <c r="AK12" s="3"/>
      <c r="AL12" s="3"/>
      <c r="AM12" s="3"/>
      <c r="AN12" s="3">
        <f>+AN11/AN10</f>
        <v>0.61202786824747257</v>
      </c>
      <c r="AO12" s="3"/>
      <c r="AP12" s="3"/>
      <c r="AQ12" s="3"/>
      <c r="AR12" s="3"/>
      <c r="AS12" s="3">
        <f>+AS11/AS10</f>
        <v>0.72760824485709885</v>
      </c>
      <c r="AT12" s="3"/>
      <c r="AU12" s="3"/>
      <c r="AV12" s="3"/>
      <c r="AW12" s="3">
        <f>+AW11/AW10</f>
        <v>0.44081369620451488</v>
      </c>
      <c r="AX12" s="3"/>
      <c r="AY12" s="3">
        <f>+AY11/AY10</f>
        <v>0.60229321329050656</v>
      </c>
      <c r="AZ12" s="3"/>
      <c r="BA12" s="3">
        <f>+BA11/BA10</f>
        <v>0.57345411579361949</v>
      </c>
      <c r="BB12" s="3"/>
      <c r="BC12" s="3">
        <f>+BC11/BC10</f>
        <v>0.54933784164553401</v>
      </c>
      <c r="BD12" s="3"/>
      <c r="BE12" s="3">
        <f>+BE11/BE10</f>
        <v>0.65524743516744066</v>
      </c>
      <c r="BF12" s="3"/>
      <c r="BG12" s="3">
        <f>+BG11/BG10</f>
        <v>0.59406528189910979</v>
      </c>
      <c r="BH12" s="3"/>
      <c r="BI12" s="3"/>
      <c r="BK12" s="3">
        <f>+BK11/BK10</f>
        <v>0.63817148760330578</v>
      </c>
      <c r="BL12" s="3"/>
      <c r="BM12" s="3">
        <f>+BM11/BM10</f>
        <v>0.66418219461697725</v>
      </c>
      <c r="BO12" s="3">
        <f>+BO11/BO10</f>
        <v>0.11661157024793388</v>
      </c>
      <c r="BQ12" s="3">
        <f>+BQ11/BQ10</f>
        <v>0.69177706310020937</v>
      </c>
      <c r="BR12" s="23"/>
      <c r="BS12" s="49">
        <f>+BS11/BS10</f>
        <v>0.67937960844139333</v>
      </c>
      <c r="BT12" s="3"/>
      <c r="BU12" s="3">
        <f>+BU11/BU10</f>
        <v>0.71198788523717926</v>
      </c>
      <c r="BV12" s="3"/>
      <c r="BW12" s="3">
        <f>+BW11/BW10</f>
        <v>0.76725134071047918</v>
      </c>
      <c r="BX12" s="3"/>
      <c r="BY12" s="50">
        <f>+BY11/BY10</f>
        <v>0.57384259259259263</v>
      </c>
      <c r="BZ12" s="3"/>
      <c r="CA12" s="50">
        <f>+CA11/CA10</f>
        <v>0.522098961084698</v>
      </c>
      <c r="CB12" s="3"/>
      <c r="CC12" s="3">
        <f>+CC11/CC10</f>
        <v>0.70259469742536318</v>
      </c>
      <c r="CD12" s="3"/>
      <c r="CE12" s="3"/>
      <c r="CF12" s="3"/>
      <c r="CG12" s="3">
        <f>+CG11/CG10</f>
        <v>0.1871841155234657</v>
      </c>
      <c r="CH12" s="3"/>
      <c r="CI12" s="3">
        <f>+CI11/CI10</f>
        <v>0.65613507188231357</v>
      </c>
      <c r="CJ12" s="3"/>
      <c r="CK12" s="3"/>
      <c r="CL12" s="3"/>
      <c r="CM12" s="3">
        <f>+CM11/CM10</f>
        <v>0.52004454342984407</v>
      </c>
      <c r="CN12" s="3"/>
      <c r="CO12" s="3">
        <f>+CO11/CO10</f>
        <v>0.6525888324873097</v>
      </c>
    </row>
    <row r="13" spans="2:97" outlineLevel="1" x14ac:dyDescent="0.25"/>
    <row r="14" spans="2:97" outlineLevel="1" x14ac:dyDescent="0.25">
      <c r="B14" t="s">
        <v>6</v>
      </c>
      <c r="D14" s="7">
        <v>4800.09</v>
      </c>
      <c r="E14" s="7"/>
      <c r="F14" s="7">
        <v>5251</v>
      </c>
      <c r="G14" s="7"/>
      <c r="H14" s="7">
        <v>1633.5909999999999</v>
      </c>
      <c r="I14" s="7"/>
      <c r="J14" s="7">
        <v>900</v>
      </c>
      <c r="K14" s="7"/>
      <c r="L14" s="7">
        <v>8168</v>
      </c>
      <c r="M14" s="7"/>
      <c r="N14" s="7">
        <v>2378.2049999999999</v>
      </c>
      <c r="O14" s="7"/>
      <c r="P14" s="7">
        <v>4194</v>
      </c>
      <c r="Q14" s="7"/>
      <c r="R14" s="7">
        <f>614.919+455.668+450+203.545+314.662+307.978</f>
        <v>2346.7719999999999</v>
      </c>
      <c r="S14" s="7"/>
      <c r="T14" s="7"/>
      <c r="U14" s="7"/>
      <c r="V14" s="7">
        <f>4464.338+26.645-10.483</f>
        <v>4480.5</v>
      </c>
      <c r="W14" s="7"/>
      <c r="X14" s="7">
        <v>4438</v>
      </c>
      <c r="Y14" s="7"/>
      <c r="Z14" s="7"/>
      <c r="AA14" s="7"/>
      <c r="AB14" s="7">
        <f>600+500+500</f>
        <v>1600</v>
      </c>
      <c r="AC14" s="7"/>
      <c r="AD14" s="7">
        <v>500</v>
      </c>
      <c r="AE14" s="7"/>
      <c r="AF14" s="7">
        <v>2120.547</v>
      </c>
      <c r="AG14" s="7"/>
      <c r="AH14" s="7">
        <v>990</v>
      </c>
      <c r="AI14" s="7"/>
      <c r="AJ14" s="7">
        <f>40+220+1037.837</f>
        <v>1297.837</v>
      </c>
      <c r="AK14" s="7"/>
      <c r="AL14" s="7"/>
      <c r="AM14" s="7"/>
      <c r="AN14" s="7">
        <f>2039.409+318+468</f>
        <v>2825.4090000000001</v>
      </c>
      <c r="AO14" s="7"/>
      <c r="AP14" s="7"/>
      <c r="AQ14" s="7"/>
      <c r="AR14" s="7"/>
      <c r="AS14" s="7">
        <v>2204.2020000000002</v>
      </c>
      <c r="AT14" s="7"/>
      <c r="AU14" s="7"/>
      <c r="AV14" s="7"/>
      <c r="AW14" s="7">
        <v>3836.8609999999999</v>
      </c>
      <c r="AX14" s="7"/>
      <c r="AY14" s="7">
        <v>2476.7959999999998</v>
      </c>
      <c r="AZ14" s="7"/>
      <c r="BA14" s="7">
        <v>2342</v>
      </c>
      <c r="BB14" s="7"/>
      <c r="BC14" s="7">
        <v>2507.1</v>
      </c>
      <c r="BD14" s="7"/>
      <c r="BE14" s="7">
        <v>2843.98</v>
      </c>
      <c r="BF14" s="7"/>
      <c r="BG14" s="7">
        <v>2509</v>
      </c>
      <c r="BH14" s="7"/>
      <c r="BI14" s="7"/>
      <c r="BJ14" s="7"/>
      <c r="BK14" s="7">
        <v>12793</v>
      </c>
      <c r="BL14" s="7"/>
      <c r="BM14" s="7">
        <v>8204</v>
      </c>
      <c r="BN14" s="7"/>
      <c r="BO14" s="7">
        <v>9241</v>
      </c>
      <c r="BP14" s="7"/>
      <c r="BQ14" s="7">
        <v>1500</v>
      </c>
      <c r="BR14" s="7"/>
      <c r="BS14" s="7">
        <v>4194</v>
      </c>
      <c r="BT14" s="7"/>
      <c r="BU14" s="7">
        <v>14968</v>
      </c>
      <c r="BV14" s="7"/>
      <c r="BW14" s="7">
        <v>5768.3490000000002</v>
      </c>
      <c r="BX14" s="7"/>
      <c r="BY14" s="7">
        <v>4198</v>
      </c>
      <c r="BZ14" s="7"/>
      <c r="CA14" s="7">
        <v>6011</v>
      </c>
      <c r="CB14" s="7"/>
      <c r="CC14" s="7">
        <v>6040</v>
      </c>
      <c r="CD14" s="7"/>
      <c r="CE14" s="7"/>
      <c r="CF14" s="7"/>
      <c r="CG14" s="7">
        <f>4114+1433+19</f>
        <v>5566</v>
      </c>
      <c r="CH14" s="7"/>
      <c r="CI14" s="7">
        <v>5536</v>
      </c>
      <c r="CJ14" s="7"/>
      <c r="CK14" s="7"/>
      <c r="CL14" s="7"/>
      <c r="CM14" s="7">
        <v>10407</v>
      </c>
      <c r="CN14" s="7"/>
      <c r="CO14" s="7">
        <v>2300</v>
      </c>
    </row>
    <row r="15" spans="2:97" outlineLevel="1" x14ac:dyDescent="0.25">
      <c r="B15" t="s">
        <v>7</v>
      </c>
      <c r="D15" s="6">
        <f>+D14/D11</f>
        <v>2.8065942033222444</v>
      </c>
      <c r="E15" s="6"/>
      <c r="F15" s="6">
        <f>+F14/F11</f>
        <v>4.8755803156917361</v>
      </c>
      <c r="G15" s="6"/>
      <c r="H15" s="6">
        <f>+H14/H11</f>
        <v>2.4320247134137265</v>
      </c>
      <c r="I15" s="6"/>
      <c r="J15" s="6">
        <f>+J14/J11</f>
        <v>1.3825925453682384</v>
      </c>
      <c r="K15" s="6"/>
      <c r="L15" s="6">
        <f>+L14/L11</f>
        <v>3.3544147843942507</v>
      </c>
      <c r="M15" s="6"/>
      <c r="N15" s="6">
        <f>+N14/N11</f>
        <v>2.6883156520412141</v>
      </c>
      <c r="O15" s="6"/>
      <c r="P15" s="6">
        <f>+P14/P11</f>
        <v>1.5696107784431137</v>
      </c>
      <c r="Q15" s="6"/>
      <c r="R15" s="6">
        <f>+R14/R11</f>
        <v>4.3411390168871362</v>
      </c>
      <c r="S15" s="6"/>
      <c r="T15" s="6"/>
      <c r="U15" s="6"/>
      <c r="V15" s="6">
        <f>+V14/V11</f>
        <v>3.020867957628965</v>
      </c>
      <c r="W15" s="6"/>
      <c r="X15" s="6">
        <f>+X14/X11</f>
        <v>5.4587945879458797</v>
      </c>
      <c r="Y15" s="6"/>
      <c r="Z15" s="6"/>
      <c r="AA15" s="6"/>
      <c r="AB15" s="6">
        <f>+AB14/AB11</f>
        <v>1.386743769620258</v>
      </c>
      <c r="AC15" s="6"/>
      <c r="AD15" s="6">
        <f>+AD14/AD11</f>
        <v>1.0741830837647968</v>
      </c>
      <c r="AE15" s="6"/>
      <c r="AF15" s="6">
        <f>+AF14/AF11</f>
        <v>4.0259320856163212</v>
      </c>
      <c r="AG15" s="6"/>
      <c r="AH15" s="6">
        <f>+AH14/AH11</f>
        <v>1.7502267339178024</v>
      </c>
      <c r="AI15" s="6"/>
      <c r="AJ15" s="6">
        <f>+AJ14/AJ11</f>
        <v>2.324593816663592</v>
      </c>
      <c r="AK15" s="6"/>
      <c r="AL15" s="6"/>
      <c r="AM15" s="6"/>
      <c r="AN15" s="6">
        <f>+AN14/AN11</f>
        <v>3.0368463932861545</v>
      </c>
      <c r="AO15" s="6"/>
      <c r="AP15" s="6"/>
      <c r="AQ15" s="6"/>
      <c r="AR15" s="6"/>
      <c r="AS15" s="6">
        <f>+AS14/AS11</f>
        <v>1.7056466121951848</v>
      </c>
      <c r="AT15" s="6"/>
      <c r="AU15" s="6"/>
      <c r="AV15" s="6"/>
      <c r="AW15" s="6">
        <f>+AW14/AW11</f>
        <v>3.2162528500536478</v>
      </c>
      <c r="AX15" s="6"/>
      <c r="AY15" s="6">
        <f>+AY14/AY11</f>
        <v>2.7335863700126137</v>
      </c>
      <c r="AZ15" s="6"/>
      <c r="BA15" s="6">
        <f>+BA14/BA11</f>
        <v>1.6085164835164836</v>
      </c>
      <c r="BB15" s="6"/>
      <c r="BC15" s="6">
        <f>+BC14/BC11</f>
        <v>2.5719121871153052</v>
      </c>
      <c r="BD15" s="6"/>
      <c r="BE15" s="6">
        <f>+BE14/BE11</f>
        <v>2.3292734564973996</v>
      </c>
      <c r="BF15" s="6"/>
      <c r="BG15" s="6">
        <f>+BG14/BG11</f>
        <v>2.5064935064935066</v>
      </c>
      <c r="BH15" s="6"/>
      <c r="BI15" s="6"/>
      <c r="BK15" s="6">
        <f>+BK14/BK11</f>
        <v>1.7257520571968163</v>
      </c>
      <c r="BL15" s="6"/>
      <c r="BM15" s="6">
        <f>+BM14/BM11</f>
        <v>1.7049044056525353</v>
      </c>
      <c r="BO15" s="6">
        <f>+BO14/BO11</f>
        <v>6.5492558469170801</v>
      </c>
      <c r="BQ15" s="6">
        <f>+BQ14/BQ11</f>
        <v>0.93402775183256237</v>
      </c>
      <c r="BR15" s="6"/>
      <c r="BS15" s="6">
        <f>+BS14/BS11</f>
        <v>1.5696107784431137</v>
      </c>
      <c r="BT15" s="6"/>
      <c r="BU15" s="6">
        <f>+BU14/BU11</f>
        <v>0.86042768452517815</v>
      </c>
      <c r="BV15" s="6"/>
      <c r="BW15" s="6">
        <f>+BW14/BW11</f>
        <v>1.6007828597831801</v>
      </c>
      <c r="BX15" s="6"/>
      <c r="BY15" s="6">
        <f>+BY14/BY11</f>
        <v>1.6934247680516337</v>
      </c>
      <c r="BZ15" s="6"/>
      <c r="CA15" s="6">
        <f>+CA14/CA11</f>
        <v>2.027318718381113</v>
      </c>
      <c r="CB15" s="6"/>
      <c r="CC15" s="6">
        <f>+CC14/CC11</f>
        <v>0.72827345655463005</v>
      </c>
      <c r="CD15" s="6"/>
      <c r="CE15" s="6"/>
      <c r="CF15" s="6"/>
      <c r="CG15" s="6">
        <f>+CG14/CG11</f>
        <v>1.3418514946962392</v>
      </c>
      <c r="CH15" s="6"/>
      <c r="CI15" s="6">
        <f>+CI14/CI11</f>
        <v>1.4104458598726115</v>
      </c>
      <c r="CJ15" s="6"/>
      <c r="CK15" s="6"/>
      <c r="CL15" s="6"/>
      <c r="CM15" s="6">
        <f>+CM14/CM11</f>
        <v>1.1142398286937902</v>
      </c>
      <c r="CN15" s="6"/>
      <c r="CO15" s="6">
        <f>+CO14/CO11</f>
        <v>0.71561916614810206</v>
      </c>
    </row>
    <row r="16" spans="2:97" outlineLevel="1" x14ac:dyDescent="0.25">
      <c r="B16" t="s">
        <v>8</v>
      </c>
      <c r="D16" s="6">
        <f>+D11/D22</f>
        <v>7.6020659889677589</v>
      </c>
      <c r="E16" s="6"/>
      <c r="F16" s="6">
        <f>+F11/F22</f>
        <v>2.841688654353562</v>
      </c>
      <c r="G16" s="6"/>
      <c r="H16" s="6">
        <f>+H11/H22</f>
        <v>11.223807773284763</v>
      </c>
      <c r="I16" s="6"/>
      <c r="J16" s="6">
        <f>+J11/J22</f>
        <v>26.451745296436258</v>
      </c>
      <c r="K16" s="6"/>
      <c r="L16" s="6">
        <f>+L11/L22</f>
        <v>5</v>
      </c>
      <c r="M16" s="6"/>
      <c r="N16" s="6">
        <f>+N11/N22</f>
        <v>6.4303678774178064</v>
      </c>
      <c r="O16" s="6"/>
      <c r="P16" s="6">
        <f>+P11/P22</f>
        <v>22.64406779661017</v>
      </c>
      <c r="Q16" s="6"/>
      <c r="R16" s="6">
        <f>+R11/R22</f>
        <v>2.89655043079429</v>
      </c>
      <c r="S16" s="6"/>
      <c r="T16" s="6"/>
      <c r="U16" s="6"/>
      <c r="V16" s="6">
        <f>+V11/V22</f>
        <v>16.994167927036067</v>
      </c>
      <c r="W16" s="6"/>
      <c r="X16" s="6">
        <f>+X11/X22</f>
        <v>2.4124629080118694</v>
      </c>
      <c r="Y16" s="6"/>
      <c r="Z16" s="6"/>
      <c r="AA16" s="6"/>
      <c r="AB16" s="6">
        <f>+AB11/AB22</f>
        <v>13.10460678751533</v>
      </c>
      <c r="AC16" s="6"/>
      <c r="AD16" s="6">
        <f>+AD11/AD22</f>
        <v>18.506281806615778</v>
      </c>
      <c r="AE16" s="6"/>
      <c r="AF16" s="6">
        <f>+AF11/AF22</f>
        <v>5.2059974697556726</v>
      </c>
      <c r="AG16" s="6"/>
      <c r="AH16" s="6">
        <f>+AH11/AH22</f>
        <v>9.7685997513125198</v>
      </c>
      <c r="AI16" s="6"/>
      <c r="AJ16" s="6">
        <f>+AJ11/AJ22</f>
        <v>13.509497422992233</v>
      </c>
      <c r="AK16" s="6"/>
      <c r="AL16" s="6"/>
      <c r="AM16" s="6"/>
      <c r="AN16" s="6">
        <f>+AN11/AN22</f>
        <v>5.8482949366690784</v>
      </c>
      <c r="AO16" s="6"/>
      <c r="AP16" s="6"/>
      <c r="AQ16" s="6"/>
      <c r="AR16" s="6"/>
      <c r="AS16" s="6">
        <f>+AS11/AS22</f>
        <v>9.8303438308230611</v>
      </c>
      <c r="AT16" s="6"/>
      <c r="AU16" s="6"/>
      <c r="AV16" s="6"/>
      <c r="AW16" s="6">
        <f>+AW11/AW22</f>
        <v>5.7919114434140893</v>
      </c>
      <c r="AX16" s="6"/>
      <c r="AY16" s="6">
        <f>+AY11/AY22</f>
        <v>6.011272034870994</v>
      </c>
      <c r="AZ16" s="6"/>
      <c r="BA16" s="6">
        <f>+BA11/BA22</f>
        <v>11.741935483870968</v>
      </c>
      <c r="BB16" s="6"/>
      <c r="BC16" s="6">
        <f>+BC11/BC22</f>
        <v>7.1205259313367435</v>
      </c>
      <c r="BD16" s="6"/>
      <c r="BE16" s="6">
        <f>+BE11/BE22</f>
        <v>7.3211231966613513</v>
      </c>
      <c r="BF16" s="6"/>
      <c r="BG16" s="6">
        <f>+BG11/BG22</f>
        <v>6.1411042944785272</v>
      </c>
      <c r="BH16" s="6"/>
      <c r="BI16" s="6"/>
      <c r="BK16" s="6">
        <f>+BK11/BK22</f>
        <v>7.8278775079197462</v>
      </c>
      <c r="BL16" s="6"/>
      <c r="BM16" s="6">
        <f>+BM11/BM22</f>
        <v>11.970149253731343</v>
      </c>
      <c r="BO16" s="6">
        <f>+BO11/BO22</f>
        <v>2.2503987240829346</v>
      </c>
      <c r="BQ16" s="6">
        <f>+BQ11/BQ22</f>
        <v>33.902932297494146</v>
      </c>
      <c r="BR16" s="6"/>
      <c r="BS16" s="6">
        <f>+BS11/BS22</f>
        <v>22.64406779661017</v>
      </c>
      <c r="BT16" s="6"/>
      <c r="BU16" s="6">
        <f>+BU11/BU22</f>
        <v>23.668027210884354</v>
      </c>
      <c r="BV16" s="6"/>
      <c r="BW16" s="6">
        <f>+BW11/BW22</f>
        <v>12.297138196510963</v>
      </c>
      <c r="BX16" s="6"/>
      <c r="BY16" s="6">
        <f>+BY11/BY22</f>
        <v>7.0626780626780628</v>
      </c>
      <c r="BZ16" s="6"/>
      <c r="CA16" s="6">
        <f>+CA11/CA22</f>
        <v>5.5628517823639774</v>
      </c>
      <c r="CB16" s="6"/>
      <c r="CC16" s="6">
        <f>+CC11/CC22</f>
        <v>33.844196333839342</v>
      </c>
      <c r="CD16" s="6"/>
      <c r="CE16" s="6"/>
      <c r="CF16" s="6"/>
      <c r="CG16" s="6">
        <f>+CG11/CG22</f>
        <v>13.210191082802547</v>
      </c>
      <c r="CH16" s="6"/>
      <c r="CI16" s="6">
        <f>+CI11/CI22</f>
        <v>14.537037037037036</v>
      </c>
      <c r="CJ16" s="6"/>
      <c r="CK16" s="6"/>
      <c r="CL16" s="6"/>
      <c r="CM16" s="6">
        <f>+CM11/CM22</f>
        <v>24.010282776349616</v>
      </c>
      <c r="CN16" s="6"/>
      <c r="CO16" s="6">
        <f>+CO11/CO22</f>
        <v>25.50793650793651</v>
      </c>
    </row>
    <row r="17" spans="2:97" outlineLevel="1" x14ac:dyDescent="0.25">
      <c r="B17" t="s">
        <v>9</v>
      </c>
      <c r="D17" s="7">
        <f>2500-405-685+245.979</f>
        <v>1655.979</v>
      </c>
      <c r="E17" s="7"/>
      <c r="F17" s="7">
        <f>298+17</f>
        <v>315</v>
      </c>
      <c r="G17" s="7"/>
      <c r="H17" s="7">
        <f>1100-744.4+2282</f>
        <v>2637.6</v>
      </c>
      <c r="I17" s="7"/>
      <c r="J17" s="7">
        <f>18.157+499.2</f>
        <v>517.35699999999997</v>
      </c>
      <c r="K17" s="7"/>
      <c r="L17" s="7">
        <f>2474+4</f>
        <v>2478</v>
      </c>
      <c r="M17" s="7"/>
      <c r="N17" s="7">
        <f>1289.604+17.198</f>
        <v>1306.8020000000001</v>
      </c>
      <c r="O17" s="7"/>
      <c r="P17" s="7">
        <v>1800</v>
      </c>
      <c r="Q17" s="7"/>
      <c r="R17" s="35">
        <f>38.56+553</f>
        <v>591.55999999999995</v>
      </c>
      <c r="S17" s="7"/>
      <c r="T17" s="7"/>
      <c r="U17" s="7"/>
      <c r="V17" s="7">
        <f>214.516+2000-1500</f>
        <v>714.51600000000008</v>
      </c>
      <c r="W17" s="7"/>
      <c r="X17" s="7">
        <f>510+27</f>
        <v>537</v>
      </c>
      <c r="Y17" s="7"/>
      <c r="Z17" s="7"/>
      <c r="AA17" s="7"/>
      <c r="AB17" s="7">
        <f>1246.5+59.021</f>
        <v>1305.521</v>
      </c>
      <c r="AC17" s="7"/>
      <c r="AD17" s="7"/>
      <c r="AE17" s="7"/>
      <c r="AF17" s="7">
        <v>623.51499999999999</v>
      </c>
      <c r="AG17" s="7"/>
      <c r="AH17" s="7">
        <v>957.3</v>
      </c>
      <c r="AI17" s="7"/>
      <c r="AJ17" s="7">
        <f>13.8+500-40-3+64.545</f>
        <v>535.34499999999991</v>
      </c>
      <c r="AK17" s="7"/>
      <c r="AL17" s="7"/>
      <c r="AM17" s="7"/>
      <c r="AN17" s="7">
        <f>22.2+1350-468-14</f>
        <v>890.2</v>
      </c>
      <c r="AO17" s="7"/>
      <c r="AP17" s="7"/>
      <c r="AQ17" s="7"/>
      <c r="AR17" s="7"/>
      <c r="AS17" s="7">
        <v>1154.2</v>
      </c>
      <c r="AT17" s="7"/>
      <c r="AU17" s="7"/>
      <c r="AV17" s="7"/>
      <c r="AW17" s="7">
        <f>943+545</f>
        <v>1488</v>
      </c>
      <c r="AX17" s="7"/>
      <c r="AY17" s="7">
        <f>77.965+999.8</f>
        <v>1077.7649999999999</v>
      </c>
      <c r="AZ17" s="7"/>
      <c r="BA17" s="7">
        <f>2000-112+201</f>
        <v>2089</v>
      </c>
      <c r="BB17" s="7"/>
      <c r="BC17" s="7">
        <f>1250-430-0.3+0</f>
        <v>819.7</v>
      </c>
      <c r="BD17" s="7"/>
      <c r="BE17" s="7">
        <f>14+1750</f>
        <v>1764</v>
      </c>
      <c r="BF17" s="7"/>
      <c r="BG17" s="7">
        <f>1118+3</f>
        <v>1121</v>
      </c>
      <c r="BH17" s="7"/>
      <c r="BI17" s="7"/>
      <c r="BJ17" s="7"/>
      <c r="BK17" s="7">
        <f>1295+3000</f>
        <v>4295</v>
      </c>
      <c r="BL17" s="7"/>
      <c r="BM17" s="7"/>
      <c r="BN17" s="7"/>
      <c r="BO17" s="7">
        <f>781+1200+3300</f>
        <v>5281</v>
      </c>
      <c r="BP17" s="7"/>
      <c r="BQ17" s="7">
        <f>800.666+997.5</f>
        <v>1798.1660000000002</v>
      </c>
      <c r="BR17" s="7"/>
      <c r="BS17" s="7">
        <v>1800</v>
      </c>
      <c r="BT17" s="7"/>
      <c r="BU17" s="7">
        <f>6151+6000</f>
        <v>12151</v>
      </c>
      <c r="BV17" s="7"/>
      <c r="BW17" s="7">
        <f>1500+282.749</f>
        <v>1782.749</v>
      </c>
      <c r="BX17" s="7"/>
      <c r="BY17" s="7">
        <v>5058</v>
      </c>
      <c r="BZ17" s="7"/>
      <c r="CA17" s="7">
        <f>3000-48+2414</f>
        <v>5366</v>
      </c>
      <c r="CB17" s="7"/>
      <c r="CC17" s="7">
        <f>2000+1555.634</f>
        <v>3555.634</v>
      </c>
      <c r="CD17" s="7"/>
      <c r="CE17" s="10"/>
      <c r="CF17" s="10"/>
      <c r="CG17" s="10">
        <f>2000+2866</f>
        <v>4866</v>
      </c>
      <c r="CH17" s="10"/>
      <c r="CI17" s="7">
        <v>4900</v>
      </c>
      <c r="CJ17" s="7"/>
      <c r="CK17" s="7"/>
      <c r="CL17" s="7"/>
      <c r="CM17" s="7">
        <f>3033+2000</f>
        <v>5033</v>
      </c>
      <c r="CN17" s="7"/>
      <c r="CO17" s="7">
        <f>1500+826</f>
        <v>2326</v>
      </c>
    </row>
    <row r="18" spans="2:97" outlineLevel="1" x14ac:dyDescent="0.25"/>
    <row r="19" spans="2:97" outlineLevel="1" x14ac:dyDescent="0.25">
      <c r="B19" s="12" t="s">
        <v>10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</row>
    <row r="20" spans="2:97" outlineLevel="1" x14ac:dyDescent="0.25">
      <c r="B20" t="s">
        <v>11</v>
      </c>
      <c r="D20" s="7">
        <f>+D11</f>
        <v>1710.2899999999995</v>
      </c>
      <c r="E20" s="7"/>
      <c r="F20" s="7">
        <f>+F11</f>
        <v>1077</v>
      </c>
      <c r="G20" s="7"/>
      <c r="H20" s="7">
        <f>+H11</f>
        <v>671.69999999999993</v>
      </c>
      <c r="I20" s="7"/>
      <c r="J20" s="7">
        <f>+J11</f>
        <v>650.95099999999991</v>
      </c>
      <c r="K20" s="7"/>
      <c r="L20" s="7">
        <f>+L11</f>
        <v>2435</v>
      </c>
      <c r="M20" s="7"/>
      <c r="N20" s="7">
        <f>+N11</f>
        <v>884.64499999999998</v>
      </c>
      <c r="O20" s="7"/>
      <c r="P20" s="19">
        <f>+P11</f>
        <v>2672</v>
      </c>
      <c r="Q20" s="19"/>
      <c r="R20" s="19">
        <f>+R11</f>
        <v>540.58899999999994</v>
      </c>
      <c r="S20" s="19"/>
      <c r="T20" s="19"/>
      <c r="U20" s="19"/>
      <c r="V20" s="19">
        <f>+V11</f>
        <v>1483.1829999999995</v>
      </c>
      <c r="W20" s="19"/>
      <c r="X20" s="19">
        <f>+X11</f>
        <v>813</v>
      </c>
      <c r="Y20" s="19"/>
      <c r="Z20" s="19"/>
      <c r="AA20" s="19"/>
      <c r="AB20" s="19">
        <f>+AB11</f>
        <v>1153.7819999999997</v>
      </c>
      <c r="AC20" s="19"/>
      <c r="AD20" s="19">
        <f>+AD11</f>
        <v>465.47000000000008</v>
      </c>
      <c r="AE20" s="19"/>
      <c r="AF20" s="19">
        <f>+AF11</f>
        <v>526.72199999999998</v>
      </c>
      <c r="AG20" s="19"/>
      <c r="AH20" s="19">
        <f>+AH11</f>
        <v>565.64100000000019</v>
      </c>
      <c r="AI20" s="19"/>
      <c r="AJ20" s="19">
        <f>+AJ11</f>
        <v>558.30700000000002</v>
      </c>
      <c r="AK20" s="19"/>
      <c r="AL20" s="19"/>
      <c r="AM20" s="19"/>
      <c r="AN20" s="19">
        <f>+AN11</f>
        <v>930.37600000000032</v>
      </c>
      <c r="AO20" s="19"/>
      <c r="AP20" s="19"/>
      <c r="AQ20" s="19"/>
      <c r="AR20" s="19"/>
      <c r="AS20" s="19">
        <f>+AS11</f>
        <v>1292.2969999999998</v>
      </c>
      <c r="AT20" s="19"/>
      <c r="AU20" s="19"/>
      <c r="AV20" s="19"/>
      <c r="AW20" s="19">
        <f>+AW11</f>
        <v>1192.96</v>
      </c>
      <c r="AX20" s="19"/>
      <c r="AY20" s="19">
        <f>+AY11</f>
        <v>906.06100000000038</v>
      </c>
      <c r="AZ20" s="19"/>
      <c r="BA20" s="19">
        <f>+BA11</f>
        <v>1456</v>
      </c>
      <c r="BB20" s="19"/>
      <c r="BC20" s="19">
        <f>+BC11</f>
        <v>974.80000000000018</v>
      </c>
      <c r="BD20" s="19"/>
      <c r="BE20" s="19">
        <f>+BE11</f>
        <v>1220.9730000000002</v>
      </c>
      <c r="BF20" s="19"/>
      <c r="BG20" s="19">
        <f>+BG11</f>
        <v>1001</v>
      </c>
      <c r="BH20" s="19"/>
      <c r="BI20" s="19"/>
      <c r="BK20" s="7">
        <f>+BK11</f>
        <v>7413</v>
      </c>
      <c r="BL20" s="7"/>
      <c r="BM20" s="7">
        <f>+BM11</f>
        <v>4812</v>
      </c>
      <c r="BN20" s="36"/>
      <c r="BO20" s="7">
        <f>+BO11</f>
        <v>1411</v>
      </c>
      <c r="BP20" s="36"/>
      <c r="BQ20" s="7">
        <f>+BQ11</f>
        <v>1605.9480000000001</v>
      </c>
      <c r="BR20" s="7"/>
      <c r="BS20" s="19">
        <f>+BS11</f>
        <v>2672</v>
      </c>
      <c r="BT20" s="7"/>
      <c r="BU20" s="7">
        <f>+BU11</f>
        <v>17396</v>
      </c>
      <c r="BV20" s="7"/>
      <c r="BW20" s="7">
        <f>+BW11</f>
        <v>3603.4550000000004</v>
      </c>
      <c r="BX20" s="7"/>
      <c r="BY20" s="7">
        <f>+BY11</f>
        <v>2479</v>
      </c>
      <c r="BZ20" s="7"/>
      <c r="CA20" s="7">
        <f>+CA11</f>
        <v>2965</v>
      </c>
      <c r="CB20" s="7"/>
      <c r="CC20" s="7">
        <f>+CC11</f>
        <v>8293.5879999999979</v>
      </c>
      <c r="CD20" s="7"/>
      <c r="CE20" s="7"/>
      <c r="CF20" s="7"/>
      <c r="CG20" s="7">
        <f>+CG11</f>
        <v>4148</v>
      </c>
      <c r="CH20" s="7"/>
      <c r="CI20" s="7">
        <f>+CI11</f>
        <v>3925</v>
      </c>
      <c r="CJ20" s="7"/>
      <c r="CK20" s="7"/>
      <c r="CL20" s="7"/>
      <c r="CM20" s="7">
        <f>+CM11</f>
        <v>9340</v>
      </c>
      <c r="CN20" s="7"/>
      <c r="CO20" s="7">
        <f>+CO11</f>
        <v>3214</v>
      </c>
    </row>
    <row r="21" spans="2:97" outlineLevel="1" x14ac:dyDescent="0.25">
      <c r="B21" t="s">
        <v>12</v>
      </c>
      <c r="D21" s="7">
        <v>1743.587</v>
      </c>
      <c r="E21" s="7"/>
      <c r="F21" s="7">
        <v>690</v>
      </c>
      <c r="G21" s="7"/>
      <c r="H21" s="7">
        <v>968.82799999999997</v>
      </c>
      <c r="I21" s="7"/>
      <c r="J21" s="7">
        <v>998.24199999999996</v>
      </c>
      <c r="K21" s="7"/>
      <c r="L21" s="7">
        <v>1958</v>
      </c>
      <c r="M21" s="7"/>
      <c r="N21" s="7">
        <v>1116.3969999999999</v>
      </c>
      <c r="O21" s="7"/>
      <c r="P21" s="19">
        <v>2496</v>
      </c>
      <c r="Q21" s="19"/>
      <c r="R21" s="19">
        <v>316.64699999999999</v>
      </c>
      <c r="S21" s="19"/>
      <c r="T21" s="19"/>
      <c r="U21" s="19"/>
      <c r="V21" s="19">
        <v>1460.509</v>
      </c>
      <c r="W21" s="19"/>
      <c r="X21" s="19">
        <v>690</v>
      </c>
      <c r="Y21" s="19"/>
      <c r="Z21" s="19"/>
      <c r="AA21" s="19"/>
      <c r="AB21" s="19">
        <v>493.16399999999999</v>
      </c>
      <c r="AC21" s="19"/>
      <c r="AD21" s="19">
        <v>706.68899999999996</v>
      </c>
      <c r="AE21" s="19"/>
      <c r="AF21" s="19">
        <f>213.806+301.492-123.199</f>
        <v>392.09899999999999</v>
      </c>
      <c r="AG21" s="19"/>
      <c r="AH21" s="19">
        <v>673.58399999999995</v>
      </c>
      <c r="AI21" s="19"/>
      <c r="AJ21" s="19">
        <v>1357.8019999999999</v>
      </c>
      <c r="AK21" s="19"/>
      <c r="AL21" s="19"/>
      <c r="AM21" s="19"/>
      <c r="AN21" s="19">
        <v>1148.961</v>
      </c>
      <c r="AO21" s="19"/>
      <c r="AP21" s="19"/>
      <c r="AQ21" s="19"/>
      <c r="AR21" s="19"/>
      <c r="AS21" s="19">
        <v>1787.673</v>
      </c>
      <c r="AT21" s="19"/>
      <c r="AU21" s="19"/>
      <c r="AV21" s="19"/>
      <c r="AW21" s="19">
        <v>960.91600000000005</v>
      </c>
      <c r="AX21" s="19"/>
      <c r="AY21" s="19">
        <v>1303.1880000000001</v>
      </c>
      <c r="AZ21" s="19"/>
      <c r="BA21" s="19">
        <v>1290</v>
      </c>
      <c r="BB21" s="19"/>
      <c r="BC21" s="19">
        <v>1234.0999999999999</v>
      </c>
      <c r="BD21" s="19"/>
      <c r="BE21" s="19">
        <v>813.98099999999999</v>
      </c>
      <c r="BF21" s="19"/>
      <c r="BG21" s="19">
        <v>1476</v>
      </c>
      <c r="BH21" s="19"/>
      <c r="BI21" s="19"/>
      <c r="BK21" s="7">
        <v>6183</v>
      </c>
      <c r="BL21" s="7"/>
      <c r="BM21" s="7">
        <v>3190</v>
      </c>
      <c r="BO21" s="7">
        <f>55+1322</f>
        <v>1377</v>
      </c>
      <c r="BQ21" s="7">
        <v>1566.5830000000001</v>
      </c>
      <c r="BR21" s="7"/>
      <c r="BS21" s="19">
        <v>2496</v>
      </c>
      <c r="BT21" s="7"/>
      <c r="BU21" s="7">
        <v>6750</v>
      </c>
      <c r="BV21" s="7"/>
      <c r="BW21" s="7">
        <v>2840.88</v>
      </c>
      <c r="BX21" s="7"/>
      <c r="BY21" s="7">
        <v>1975</v>
      </c>
      <c r="BZ21" s="7"/>
      <c r="CA21" s="7">
        <v>2451</v>
      </c>
      <c r="CB21" s="7"/>
      <c r="CC21" s="7">
        <v>5839.2939999999999</v>
      </c>
      <c r="CD21" s="7"/>
      <c r="CE21" s="7"/>
      <c r="CF21" s="7"/>
      <c r="CG21" s="7">
        <v>3578</v>
      </c>
      <c r="CH21" s="7"/>
      <c r="CI21" s="7">
        <v>2753</v>
      </c>
      <c r="CJ21" s="7"/>
      <c r="CK21" s="7"/>
      <c r="CL21" s="7"/>
      <c r="CM21" s="7">
        <v>4975</v>
      </c>
      <c r="CN21" s="7"/>
      <c r="CO21" s="7">
        <v>3520</v>
      </c>
    </row>
    <row r="22" spans="2:97" outlineLevel="1" x14ac:dyDescent="0.25">
      <c r="B22" t="s">
        <v>13</v>
      </c>
      <c r="D22" s="7">
        <v>224.977</v>
      </c>
      <c r="E22" s="7"/>
      <c r="F22" s="7">
        <v>379</v>
      </c>
      <c r="G22" s="7"/>
      <c r="H22" s="7">
        <f>62.413-2.567</f>
        <v>59.845999999999997</v>
      </c>
      <c r="I22" s="7"/>
      <c r="J22" s="7">
        <f>26.358-1.749</f>
        <v>24.609000000000002</v>
      </c>
      <c r="K22" s="7"/>
      <c r="L22" s="7">
        <v>487</v>
      </c>
      <c r="M22" s="7"/>
      <c r="N22" s="7">
        <f>145.934-8.361</f>
        <v>137.57300000000001</v>
      </c>
      <c r="O22" s="7"/>
      <c r="P22" s="19">
        <v>118</v>
      </c>
      <c r="Q22" s="19"/>
      <c r="R22" s="19">
        <v>186.63200000000001</v>
      </c>
      <c r="S22" s="19"/>
      <c r="T22" s="19"/>
      <c r="U22" s="19"/>
      <c r="V22" s="10">
        <v>87.275999999999996</v>
      </c>
      <c r="W22" s="19"/>
      <c r="X22" s="19">
        <v>337</v>
      </c>
      <c r="Y22" s="19"/>
      <c r="Z22" s="19"/>
      <c r="AA22" s="19"/>
      <c r="AB22" s="19">
        <v>88.043999999999997</v>
      </c>
      <c r="AC22" s="19"/>
      <c r="AD22" s="19">
        <v>25.152000000000001</v>
      </c>
      <c r="AE22" s="19"/>
      <c r="AF22" s="19">
        <v>101.176</v>
      </c>
      <c r="AG22" s="19"/>
      <c r="AH22" s="19">
        <f>57.904</f>
        <v>57.904000000000003</v>
      </c>
      <c r="AI22" s="19"/>
      <c r="AJ22" s="19">
        <v>41.326999999999998</v>
      </c>
      <c r="AK22" s="19"/>
      <c r="AL22" s="19"/>
      <c r="AM22" s="19"/>
      <c r="AN22" s="19">
        <v>159.08500000000001</v>
      </c>
      <c r="AO22" s="19"/>
      <c r="AP22" s="19"/>
      <c r="AQ22" s="19"/>
      <c r="AR22" s="19"/>
      <c r="AS22" s="19">
        <v>131.46</v>
      </c>
      <c r="AT22" s="19"/>
      <c r="AU22" s="19"/>
      <c r="AV22" s="19"/>
      <c r="AW22" s="19">
        <v>205.97</v>
      </c>
      <c r="AX22" s="19"/>
      <c r="AY22" s="19">
        <v>150.727</v>
      </c>
      <c r="AZ22" s="19"/>
      <c r="BA22" s="19">
        <v>124</v>
      </c>
      <c r="BB22" s="19"/>
      <c r="BC22" s="19">
        <v>136.9</v>
      </c>
      <c r="BD22" s="19"/>
      <c r="BE22" s="19">
        <f>197.474-30.7</f>
        <v>166.774</v>
      </c>
      <c r="BF22" s="19"/>
      <c r="BG22" s="19">
        <v>163</v>
      </c>
      <c r="BH22" s="19"/>
      <c r="BI22" s="19"/>
      <c r="BK22" s="7">
        <v>947</v>
      </c>
      <c r="BL22" s="7"/>
      <c r="BM22" s="7">
        <v>402</v>
      </c>
      <c r="BO22" s="7">
        <v>627</v>
      </c>
      <c r="BQ22" s="7">
        <f>68.224-20.855</f>
        <v>47.369</v>
      </c>
      <c r="BR22" s="7"/>
      <c r="BS22" s="19">
        <v>118</v>
      </c>
      <c r="BT22" s="7"/>
      <c r="BU22" s="7">
        <v>735</v>
      </c>
      <c r="BV22" s="7"/>
      <c r="BW22" s="7">
        <v>293.03199999999998</v>
      </c>
      <c r="BX22" s="7"/>
      <c r="BY22" s="7">
        <v>351</v>
      </c>
      <c r="BZ22" s="7"/>
      <c r="CA22" s="7">
        <f>594-61</f>
        <v>533</v>
      </c>
      <c r="CB22" s="7"/>
      <c r="CC22" s="7">
        <v>245.05199999999999</v>
      </c>
      <c r="CD22" s="7"/>
      <c r="CE22" s="7"/>
      <c r="CF22" s="7"/>
      <c r="CG22" s="7">
        <v>314</v>
      </c>
      <c r="CH22" s="7"/>
      <c r="CI22" s="7">
        <v>270</v>
      </c>
      <c r="CJ22" s="7"/>
      <c r="CK22" s="7"/>
      <c r="CL22" s="7"/>
      <c r="CM22" s="7">
        <v>389</v>
      </c>
      <c r="CN22" s="7"/>
      <c r="CO22" s="7">
        <v>126</v>
      </c>
    </row>
    <row r="23" spans="2:97" outlineLevel="1" x14ac:dyDescent="0.25">
      <c r="B23" s="17" t="s">
        <v>18</v>
      </c>
      <c r="C23" s="17"/>
      <c r="D23" s="21">
        <f>-128.857+128.857</f>
        <v>0</v>
      </c>
      <c r="E23" s="21"/>
      <c r="F23" s="21">
        <v>0</v>
      </c>
      <c r="G23" s="21"/>
      <c r="H23" s="21">
        <f>5.173-4.216</f>
        <v>0.95699999999999985</v>
      </c>
      <c r="I23" s="21"/>
      <c r="J23" s="21">
        <f>59.44-59.44</f>
        <v>0</v>
      </c>
      <c r="K23" s="21"/>
      <c r="L23" s="21">
        <v>0</v>
      </c>
      <c r="M23" s="21"/>
      <c r="N23" s="21">
        <f>215.557-345.56</f>
        <v>-130.00300000000001</v>
      </c>
      <c r="O23" s="21"/>
      <c r="P23" s="20">
        <v>2</v>
      </c>
      <c r="Q23" s="20"/>
      <c r="R23" s="21">
        <f>87.233-103.234</f>
        <v>-16.000999999999991</v>
      </c>
      <c r="S23" s="21"/>
      <c r="T23" s="21"/>
      <c r="U23" s="21"/>
      <c r="V23" s="21">
        <f>168.362-169.357</f>
        <v>-0.99500000000000455</v>
      </c>
      <c r="W23" s="21"/>
      <c r="X23" s="21">
        <v>-9</v>
      </c>
      <c r="Y23" s="21"/>
      <c r="Z23" s="21"/>
      <c r="AA23" s="21"/>
      <c r="AB23" s="21">
        <f>12.434-11.293</f>
        <v>1.141</v>
      </c>
      <c r="AC23" s="21"/>
      <c r="AD23" s="21">
        <f>66.475-66.475</f>
        <v>0</v>
      </c>
      <c r="AE23" s="21"/>
      <c r="AF23" s="21">
        <f>43.131-9.145</f>
        <v>33.986000000000004</v>
      </c>
      <c r="AG23" s="21"/>
      <c r="AH23" s="21">
        <v>-0.80700000000000005</v>
      </c>
      <c r="AI23" s="21"/>
      <c r="AJ23" s="21">
        <v>0.45500000000000002</v>
      </c>
      <c r="AK23" s="21"/>
      <c r="AL23" s="21"/>
      <c r="AM23" s="21"/>
      <c r="AN23" s="21">
        <f>-5.843+5.866</f>
        <v>2.2999999999999687E-2</v>
      </c>
      <c r="AO23" s="21"/>
      <c r="AP23" s="21"/>
      <c r="AQ23" s="21"/>
      <c r="AR23" s="21"/>
      <c r="AS23" s="21">
        <f>105.475-105.475</f>
        <v>0</v>
      </c>
      <c r="AT23" s="21"/>
      <c r="AU23" s="21"/>
      <c r="AV23" s="21"/>
      <c r="AW23" s="21">
        <v>0</v>
      </c>
      <c r="AX23" s="21"/>
      <c r="AY23" s="21">
        <v>-2.9950000000000001</v>
      </c>
      <c r="AZ23" s="21"/>
      <c r="BA23" s="21">
        <v>1</v>
      </c>
      <c r="BB23" s="21"/>
      <c r="BC23" s="21">
        <v>0.8</v>
      </c>
      <c r="BD23" s="21"/>
      <c r="BE23" s="21">
        <v>0</v>
      </c>
      <c r="BF23" s="21"/>
      <c r="BG23" s="21">
        <f>74-84</f>
        <v>-10</v>
      </c>
      <c r="BH23" s="21"/>
      <c r="BI23" s="21"/>
      <c r="BJ23" s="21"/>
      <c r="BK23" s="21">
        <f>733-139</f>
        <v>594</v>
      </c>
      <c r="BL23" s="21"/>
      <c r="BM23" s="21">
        <v>867</v>
      </c>
      <c r="BN23" s="21"/>
      <c r="BO23" s="21">
        <f>-1010+794</f>
        <v>-216</v>
      </c>
      <c r="BP23" s="21"/>
      <c r="BQ23" s="21">
        <f>230.656-233.28</f>
        <v>-2.6239999999999952</v>
      </c>
      <c r="BR23" s="21"/>
      <c r="BS23" s="20">
        <v>2</v>
      </c>
      <c r="BT23" s="21"/>
      <c r="BU23" s="21">
        <v>3668</v>
      </c>
      <c r="BV23" s="21"/>
      <c r="BW23" s="21">
        <f>307.102-314.878</f>
        <v>-7.7760000000000105</v>
      </c>
      <c r="BX23" s="21"/>
      <c r="BY23" s="21">
        <f>94-149</f>
        <v>-55</v>
      </c>
      <c r="BZ23" s="21"/>
      <c r="CA23" s="21">
        <f>156-226</f>
        <v>-70</v>
      </c>
      <c r="CB23" s="21"/>
      <c r="CC23" s="21">
        <f>821.958-894.156</f>
        <v>-72.197999999999979</v>
      </c>
      <c r="CD23" s="21"/>
      <c r="CE23" s="21"/>
      <c r="CF23" s="21"/>
      <c r="CG23" s="21">
        <v>75</v>
      </c>
      <c r="CH23" s="21"/>
      <c r="CI23" s="21">
        <v>323</v>
      </c>
      <c r="CJ23" s="21"/>
      <c r="CK23" s="21"/>
      <c r="CL23" s="21"/>
      <c r="CM23" s="21">
        <v>1477</v>
      </c>
      <c r="CN23" s="21"/>
      <c r="CO23" s="21">
        <f>276-274</f>
        <v>2</v>
      </c>
    </row>
    <row r="24" spans="2:97" outlineLevel="1" x14ac:dyDescent="0.25">
      <c r="B24" t="s">
        <v>75</v>
      </c>
      <c r="D24" s="19">
        <f>+D20-D21-D22-D23</f>
        <v>-258.27400000000046</v>
      </c>
      <c r="E24" s="19"/>
      <c r="F24" s="19">
        <f>+F20-F21-F22-F23</f>
        <v>8</v>
      </c>
      <c r="G24" s="19"/>
      <c r="H24" s="19">
        <f>+H20-H21-H22-H23</f>
        <v>-357.93100000000004</v>
      </c>
      <c r="I24" s="19"/>
      <c r="J24" s="19">
        <f>+J20-J21-J22-J23</f>
        <v>-371.90000000000003</v>
      </c>
      <c r="K24" s="19"/>
      <c r="L24" s="19">
        <f>+L20-L21-L22-L23</f>
        <v>-10</v>
      </c>
      <c r="M24" s="19"/>
      <c r="N24" s="19">
        <f>+N20-N21-N22-N23</f>
        <v>-239.32199999999992</v>
      </c>
      <c r="O24" s="19"/>
      <c r="P24" s="19">
        <f>+P20-P21-P22-P23</f>
        <v>56</v>
      </c>
      <c r="Q24" s="19"/>
      <c r="R24" s="19">
        <f>+R20-R21-R22-R23</f>
        <v>53.310999999999936</v>
      </c>
      <c r="S24" s="19"/>
      <c r="T24" s="19"/>
      <c r="U24" s="19"/>
      <c r="V24" s="19">
        <f>+V20-V21-V22-V23</f>
        <v>-63.607000000000468</v>
      </c>
      <c r="W24" s="19"/>
      <c r="X24" s="19">
        <f>+X20-X21-X22-X23</f>
        <v>-205</v>
      </c>
      <c r="Y24" s="19"/>
      <c r="Z24" s="19"/>
      <c r="AA24" s="19"/>
      <c r="AB24" s="19">
        <f>+AB20-AB21-AB22-AB23</f>
        <v>571.43299999999977</v>
      </c>
      <c r="AC24" s="19"/>
      <c r="AD24" s="19">
        <f>+AD20-AD21-AD22-AD23</f>
        <v>-266.37099999999987</v>
      </c>
      <c r="AE24" s="19"/>
      <c r="AF24" s="19">
        <f>+AF20-AF21-AF22-AF23</f>
        <v>-0.53900000000001569</v>
      </c>
      <c r="AG24" s="19"/>
      <c r="AH24" s="19">
        <f>+AH20-AH21-AH22-AH23</f>
        <v>-165.03999999999976</v>
      </c>
      <c r="AI24" s="19"/>
      <c r="AJ24" s="19">
        <f>+AJ20-AJ21-AJ22-AJ23</f>
        <v>-841.27699999999993</v>
      </c>
      <c r="AK24" s="19"/>
      <c r="AL24" s="19"/>
      <c r="AM24" s="19"/>
      <c r="AN24" s="19">
        <f>+AN20-AN21-AN22-AN23</f>
        <v>-377.69299999999976</v>
      </c>
      <c r="AO24" s="19"/>
      <c r="AP24" s="19"/>
      <c r="AQ24" s="19"/>
      <c r="AR24" s="19"/>
      <c r="AS24" s="19">
        <f>+AS20-AS21-AS22-AS23</f>
        <v>-626.83600000000024</v>
      </c>
      <c r="AT24" s="19"/>
      <c r="AU24" s="19"/>
      <c r="AV24" s="19"/>
      <c r="AW24" s="19">
        <f>+AW20-AW21-AW22-AW23</f>
        <v>26.073999999999984</v>
      </c>
      <c r="AX24" s="19"/>
      <c r="AY24" s="19">
        <f>+AY20-AY21-AY22-AY23</f>
        <v>-544.8589999999997</v>
      </c>
      <c r="AZ24" s="19"/>
      <c r="BA24" s="19">
        <f>+BA20-BA21-BA22-BA23</f>
        <v>41</v>
      </c>
      <c r="BB24" s="19"/>
      <c r="BC24" s="19">
        <f>+BC20-BC21-BC22-BC23</f>
        <v>-396.99999999999972</v>
      </c>
      <c r="BD24" s="19"/>
      <c r="BE24" s="19">
        <f>+BE20-BE21-BE22-BE23</f>
        <v>240.21800000000019</v>
      </c>
      <c r="BF24" s="19"/>
      <c r="BG24" s="19">
        <f>+BG20-BG21-BG22-BG23</f>
        <v>-628</v>
      </c>
      <c r="BH24" s="19"/>
      <c r="BI24" s="19"/>
      <c r="BK24" s="7">
        <f>+BK20-BK21-BK22-BK23</f>
        <v>-311</v>
      </c>
      <c r="BL24" s="7"/>
      <c r="BM24" s="7">
        <f>+BM20-BM21-BM22-BM23</f>
        <v>353</v>
      </c>
      <c r="BO24" s="7">
        <f>+BO20-BO21-BO22-BO23</f>
        <v>-377</v>
      </c>
      <c r="BQ24" s="7">
        <f>+BQ20-BQ21-BQ22-BQ23</f>
        <v>-5.3799999999999955</v>
      </c>
      <c r="BR24" s="19"/>
      <c r="BS24" s="19">
        <f>+BS20-BS21-BS22-BS23</f>
        <v>56</v>
      </c>
      <c r="BT24" s="7"/>
      <c r="BU24" s="7">
        <f>+BU20-BU21-BU22-BU23</f>
        <v>6243</v>
      </c>
      <c r="BV24" s="7"/>
      <c r="BW24" s="7">
        <f>+BW20-BW21-BW22-BW23</f>
        <v>477.3190000000003</v>
      </c>
      <c r="BX24" s="7"/>
      <c r="BY24" s="7">
        <f>+BY20-BY21-BY22-BY23</f>
        <v>208</v>
      </c>
      <c r="BZ24" s="7"/>
      <c r="CA24" s="7">
        <f>+CA20-CA21-CA22-CA23</f>
        <v>51</v>
      </c>
      <c r="CB24" s="7"/>
      <c r="CC24" s="7">
        <f>+CC20-CC21-CC22-CC23</f>
        <v>2281.4399999999978</v>
      </c>
      <c r="CD24" s="7"/>
      <c r="CE24" s="7"/>
      <c r="CF24" s="7"/>
      <c r="CG24" s="7">
        <f>+CG20-CG21-CG22-CG23</f>
        <v>181</v>
      </c>
      <c r="CH24" s="7"/>
      <c r="CI24" s="7">
        <f>+CI20-CI21-CI22-CI23</f>
        <v>579</v>
      </c>
      <c r="CJ24" s="7"/>
      <c r="CK24" s="7"/>
      <c r="CL24" s="7"/>
      <c r="CM24" s="7">
        <f>+CM20-CM21-CM22-CM23</f>
        <v>2499</v>
      </c>
      <c r="CN24" s="7"/>
      <c r="CO24" s="7">
        <f>+CO20-CO21-CO22-CO23</f>
        <v>-434</v>
      </c>
    </row>
    <row r="25" spans="2:97" outlineLevel="1" x14ac:dyDescent="0.25">
      <c r="B25" t="s">
        <v>73</v>
      </c>
      <c r="D25" s="19"/>
      <c r="E25" s="19"/>
      <c r="F25" s="19">
        <v>0</v>
      </c>
      <c r="G25" s="19"/>
      <c r="H25" s="19">
        <v>18.161000000000001</v>
      </c>
      <c r="I25" s="19"/>
      <c r="J25" s="19">
        <v>0</v>
      </c>
      <c r="K25" s="19"/>
      <c r="L25" s="19">
        <v>92</v>
      </c>
      <c r="M25" s="19"/>
      <c r="N25" s="19"/>
      <c r="O25" s="19"/>
      <c r="P25" s="19"/>
      <c r="Q25" s="19"/>
      <c r="R25" s="19">
        <v>0</v>
      </c>
      <c r="S25" s="19"/>
      <c r="T25" s="19"/>
      <c r="U25" s="19"/>
      <c r="V25" s="19">
        <v>0</v>
      </c>
      <c r="W25" s="19"/>
      <c r="X25" s="19">
        <v>0</v>
      </c>
      <c r="Y25" s="19"/>
      <c r="Z25" s="19"/>
      <c r="AA25" s="19"/>
      <c r="AB25" s="19">
        <v>334.45</v>
      </c>
      <c r="AC25" s="19"/>
      <c r="AD25" s="19">
        <v>0</v>
      </c>
      <c r="AE25" s="19"/>
      <c r="AF25" s="19">
        <v>0</v>
      </c>
      <c r="AG25" s="19"/>
      <c r="AH25" s="19">
        <v>0</v>
      </c>
      <c r="AI25" s="19"/>
      <c r="AJ25" s="19">
        <v>0</v>
      </c>
      <c r="AK25" s="19"/>
      <c r="AL25" s="19"/>
      <c r="AM25" s="19"/>
      <c r="AN25" s="19">
        <v>0</v>
      </c>
      <c r="AO25" s="19"/>
      <c r="AP25" s="19"/>
      <c r="AQ25" s="19"/>
      <c r="AR25" s="19"/>
      <c r="AS25" s="19">
        <v>0</v>
      </c>
      <c r="AT25" s="19"/>
      <c r="AU25" s="19"/>
      <c r="AV25" s="19"/>
      <c r="AW25" s="19">
        <v>19.940000000000001</v>
      </c>
      <c r="AX25" s="19"/>
      <c r="AY25" s="19"/>
      <c r="AZ25" s="19"/>
      <c r="BA25" s="19">
        <v>27</v>
      </c>
      <c r="BB25" s="19"/>
      <c r="BC25" s="19"/>
      <c r="BD25" s="19"/>
      <c r="BE25" s="19">
        <v>0</v>
      </c>
      <c r="BF25" s="19"/>
      <c r="BG25" s="19"/>
      <c r="BH25" s="19"/>
      <c r="BI25" s="19"/>
      <c r="BK25" s="7">
        <v>528</v>
      </c>
      <c r="BL25" s="7"/>
      <c r="BM25" s="7">
        <v>382</v>
      </c>
      <c r="BO25" s="7">
        <v>245</v>
      </c>
      <c r="BQ25" s="7">
        <v>55.243000000000002</v>
      </c>
      <c r="BR25" s="19"/>
      <c r="BS25" s="19"/>
      <c r="BT25" s="7"/>
      <c r="BU25" s="7">
        <v>1363</v>
      </c>
      <c r="BV25" s="7"/>
      <c r="BW25" s="7">
        <v>0</v>
      </c>
      <c r="BX25" s="7"/>
      <c r="BY25" s="7">
        <v>56</v>
      </c>
      <c r="BZ25" s="7"/>
      <c r="CA25" s="7">
        <v>149</v>
      </c>
      <c r="CB25" s="7"/>
      <c r="CC25" s="7">
        <v>438.04500000000002</v>
      </c>
      <c r="CD25" s="7"/>
      <c r="CE25" s="7"/>
      <c r="CF25" s="7"/>
      <c r="CG25" s="7">
        <f>402+35</f>
        <v>437</v>
      </c>
      <c r="CH25" s="7"/>
      <c r="CI25" s="7"/>
      <c r="CJ25" s="7"/>
      <c r="CK25" s="7"/>
      <c r="CL25" s="7"/>
      <c r="CM25" s="7">
        <v>1248</v>
      </c>
      <c r="CN25" s="7"/>
      <c r="CO25">
        <v>55</v>
      </c>
    </row>
    <row r="26" spans="2:97" ht="17.25" outlineLevel="1" x14ac:dyDescent="0.4">
      <c r="B26" s="17" t="s">
        <v>74</v>
      </c>
      <c r="C26" s="17"/>
      <c r="D26" s="19"/>
      <c r="E26" s="19"/>
      <c r="F26" s="31">
        <v>0</v>
      </c>
      <c r="G26" s="19"/>
      <c r="H26" s="31">
        <v>0</v>
      </c>
      <c r="I26" s="31"/>
      <c r="J26" s="31">
        <v>0</v>
      </c>
      <c r="K26" s="31"/>
      <c r="L26" s="31">
        <v>0</v>
      </c>
      <c r="M26" s="31"/>
      <c r="N26" s="19"/>
      <c r="O26" s="19"/>
      <c r="P26" s="19"/>
      <c r="Q26" s="19"/>
      <c r="R26" s="31">
        <v>0</v>
      </c>
      <c r="S26" s="31"/>
      <c r="T26" s="31"/>
      <c r="U26" s="31"/>
      <c r="V26" s="31">
        <v>0</v>
      </c>
      <c r="W26" s="19"/>
      <c r="X26" s="31">
        <v>0</v>
      </c>
      <c r="Y26" s="19"/>
      <c r="Z26" s="19"/>
      <c r="AA26" s="19"/>
      <c r="AB26" s="31">
        <v>0</v>
      </c>
      <c r="AC26" s="19"/>
      <c r="AD26" s="31">
        <v>0</v>
      </c>
      <c r="AE26" s="31"/>
      <c r="AF26" s="31">
        <v>206.05099999999999</v>
      </c>
      <c r="AG26" s="19"/>
      <c r="AH26" s="31">
        <v>97.055000000000007</v>
      </c>
      <c r="AI26" s="31"/>
      <c r="AJ26" s="31">
        <v>0</v>
      </c>
      <c r="AK26" s="31"/>
      <c r="AL26" s="31"/>
      <c r="AM26" s="31"/>
      <c r="AN26" s="31">
        <v>6.8460000000000001</v>
      </c>
      <c r="AO26" s="31"/>
      <c r="AP26" s="31"/>
      <c r="AQ26" s="31"/>
      <c r="AR26" s="31"/>
      <c r="AS26" s="31">
        <v>11.013999999999999</v>
      </c>
      <c r="AT26" s="31"/>
      <c r="AU26" s="31"/>
      <c r="AV26" s="31"/>
      <c r="AW26" s="31">
        <v>0</v>
      </c>
      <c r="AX26" s="31"/>
      <c r="AY26" s="31"/>
      <c r="AZ26" s="31"/>
      <c r="BA26" s="31">
        <v>180</v>
      </c>
      <c r="BB26" s="31"/>
      <c r="BC26" s="31"/>
      <c r="BD26" s="31"/>
      <c r="BE26" s="31">
        <v>0</v>
      </c>
      <c r="BF26" s="19"/>
      <c r="BG26" s="19"/>
      <c r="BH26" s="19"/>
      <c r="BI26" s="19"/>
      <c r="BK26" s="30">
        <v>2732</v>
      </c>
      <c r="BL26" s="30"/>
      <c r="BM26" s="30">
        <v>305</v>
      </c>
      <c r="BO26" s="30">
        <v>0</v>
      </c>
      <c r="BQ26" s="30">
        <v>0</v>
      </c>
      <c r="BR26" s="19"/>
      <c r="BS26" s="19"/>
      <c r="BT26" s="30"/>
      <c r="BU26" s="30">
        <v>2999</v>
      </c>
      <c r="BV26" s="30"/>
      <c r="BW26" s="30">
        <v>0</v>
      </c>
      <c r="BX26" s="7"/>
      <c r="BY26" s="30">
        <v>250</v>
      </c>
      <c r="BZ26" s="7"/>
      <c r="CA26" s="30">
        <v>2956</v>
      </c>
      <c r="CB26" s="7"/>
      <c r="CC26" s="30">
        <v>63.456000000000003</v>
      </c>
      <c r="CD26" s="30"/>
      <c r="CE26" s="7"/>
      <c r="CF26" s="7"/>
      <c r="CG26" s="30">
        <v>0</v>
      </c>
      <c r="CH26" s="7"/>
      <c r="CI26" s="7"/>
      <c r="CJ26" s="7"/>
      <c r="CK26" s="7"/>
      <c r="CL26" s="7"/>
      <c r="CM26" s="30">
        <v>2374</v>
      </c>
      <c r="CN26" s="30"/>
      <c r="CO26" s="30">
        <v>179</v>
      </c>
    </row>
    <row r="27" spans="2:97" outlineLevel="1" x14ac:dyDescent="0.25">
      <c r="B27" t="s">
        <v>20</v>
      </c>
      <c r="D27" s="19"/>
      <c r="E27" s="19"/>
      <c r="F27" s="19">
        <f>+F24-F25-F26</f>
        <v>8</v>
      </c>
      <c r="G27" s="19"/>
      <c r="H27" s="19">
        <f>+H24-H25-H26</f>
        <v>-376.09200000000004</v>
      </c>
      <c r="I27" s="19"/>
      <c r="J27" s="19">
        <f>+J24-J25-J26</f>
        <v>-371.90000000000003</v>
      </c>
      <c r="K27" s="19"/>
      <c r="L27" s="19">
        <f>+L24-L25-L26</f>
        <v>-102</v>
      </c>
      <c r="M27" s="19"/>
      <c r="N27" s="19"/>
      <c r="O27" s="19"/>
      <c r="P27" s="19"/>
      <c r="Q27" s="19"/>
      <c r="R27" s="19">
        <f>+R24-R25-R26</f>
        <v>53.310999999999936</v>
      </c>
      <c r="S27" s="19"/>
      <c r="T27" s="19"/>
      <c r="U27" s="19"/>
      <c r="V27" s="19">
        <f>+V24-V25-V26</f>
        <v>-63.607000000000468</v>
      </c>
      <c r="W27" s="19"/>
      <c r="X27" s="19">
        <f>+X24-X25-X26</f>
        <v>-205</v>
      </c>
      <c r="Y27" s="19"/>
      <c r="Z27" s="19"/>
      <c r="AA27" s="19"/>
      <c r="AB27" s="19">
        <f>+AB24-AB25-AB26</f>
        <v>236.98299999999978</v>
      </c>
      <c r="AC27" s="19"/>
      <c r="AD27" s="19">
        <f>+AD24-AD25-AD26</f>
        <v>-266.37099999999987</v>
      </c>
      <c r="AE27" s="19"/>
      <c r="AF27" s="19">
        <f>+AF24-AF25-AF26</f>
        <v>-206.59</v>
      </c>
      <c r="AG27" s="19"/>
      <c r="AH27" s="19">
        <f>+AH24-AH26-AH25</f>
        <v>-262.0949999999998</v>
      </c>
      <c r="AI27" s="19"/>
      <c r="AJ27" s="19">
        <f>+AJ24-AJ26-AJ25</f>
        <v>-841.27699999999993</v>
      </c>
      <c r="AK27" s="19"/>
      <c r="AL27" s="19"/>
      <c r="AM27" s="19"/>
      <c r="AN27" s="19">
        <f>+AN24-AN26-AN25</f>
        <v>-384.53899999999976</v>
      </c>
      <c r="AO27" s="19"/>
      <c r="AP27" s="19"/>
      <c r="AQ27" s="19"/>
      <c r="AR27" s="19"/>
      <c r="AS27" s="19">
        <f>AS24-AS25-AS26</f>
        <v>-637.85000000000025</v>
      </c>
      <c r="AT27" s="19"/>
      <c r="AU27" s="19"/>
      <c r="AV27" s="19"/>
      <c r="AW27" s="19">
        <f>AW24-AW25-AW26</f>
        <v>6.1339999999999826</v>
      </c>
      <c r="AX27" s="19"/>
      <c r="AY27" s="19"/>
      <c r="AZ27" s="19"/>
      <c r="BA27" s="19">
        <f>BA24-BA25-BA26</f>
        <v>-166</v>
      </c>
      <c r="BB27" s="19"/>
      <c r="BC27" s="19"/>
      <c r="BD27" s="19"/>
      <c r="BE27" s="19">
        <f>+BE24-BE25-BE26</f>
        <v>240.21800000000019</v>
      </c>
      <c r="BF27" s="19"/>
      <c r="BG27" s="19"/>
      <c r="BH27" s="19"/>
      <c r="BI27" s="19"/>
      <c r="BK27" s="7">
        <f>+BK24-BK25-BK26</f>
        <v>-3571</v>
      </c>
      <c r="BL27" s="7"/>
      <c r="BM27" s="7">
        <f>+BM24-BM25-BM26</f>
        <v>-334</v>
      </c>
      <c r="BO27" s="7">
        <f>+BO24-BO25-BO26</f>
        <v>-622</v>
      </c>
      <c r="BQ27" s="7">
        <f>+BQ24-BQ25-BQ26</f>
        <v>-60.622999999999998</v>
      </c>
      <c r="BR27" s="19"/>
      <c r="BS27" s="19"/>
      <c r="BT27" s="7"/>
      <c r="BU27" s="7">
        <f>+BU24-BU25-BU26</f>
        <v>1881</v>
      </c>
      <c r="BV27" s="7"/>
      <c r="BW27" s="7">
        <f>+BW24-BW25-BW26</f>
        <v>477.3190000000003</v>
      </c>
      <c r="BX27" s="7"/>
      <c r="BY27" s="7">
        <f>+BY24-BY25-BY26</f>
        <v>-98</v>
      </c>
      <c r="BZ27" s="7"/>
      <c r="CA27" s="7">
        <f>+CA24-CA25-CA26</f>
        <v>-3054</v>
      </c>
      <c r="CB27" s="7"/>
      <c r="CC27" s="7">
        <f>+CC24-CC25-CC26</f>
        <v>1779.9389999999978</v>
      </c>
      <c r="CD27" s="7"/>
      <c r="CE27" s="7"/>
      <c r="CF27" s="7"/>
      <c r="CG27" s="7">
        <f>+CG24-CG25-CG26</f>
        <v>-256</v>
      </c>
      <c r="CH27" s="7"/>
      <c r="CI27" s="7"/>
      <c r="CJ27" s="7"/>
      <c r="CK27" s="7"/>
      <c r="CL27" s="7"/>
      <c r="CM27" s="7">
        <f>+CM24-CM25-CM26</f>
        <v>-1123</v>
      </c>
      <c r="CN27" s="7"/>
      <c r="CO27" s="7">
        <f>+CO24-CO25-CO26</f>
        <v>-668</v>
      </c>
    </row>
    <row r="28" spans="2:97" outlineLevel="1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BR28" s="19"/>
    </row>
    <row r="29" spans="2:97" outlineLevel="1" x14ac:dyDescent="0.25">
      <c r="B29" s="12" t="s">
        <v>14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</row>
    <row r="30" spans="2:97" outlineLevel="1" x14ac:dyDescent="0.25">
      <c r="B30" t="s">
        <v>15</v>
      </c>
      <c r="J30" s="4"/>
    </row>
    <row r="31" spans="2:97" outlineLevel="1" x14ac:dyDescent="0.25">
      <c r="B31" t="s">
        <v>16</v>
      </c>
      <c r="H31" s="4"/>
      <c r="I31" s="4"/>
      <c r="J31" s="4"/>
      <c r="K31" s="4"/>
      <c r="L31" s="4"/>
      <c r="M31" s="4"/>
    </row>
    <row r="32" spans="2:97" outlineLevel="1" x14ac:dyDescent="0.25">
      <c r="B32" t="s">
        <v>17</v>
      </c>
    </row>
    <row r="33" spans="2:97" outlineLevel="1" x14ac:dyDescent="0.25">
      <c r="B33" t="s">
        <v>19</v>
      </c>
    </row>
    <row r="34" spans="2:97" outlineLevel="1" x14ac:dyDescent="0.25">
      <c r="B34" t="s">
        <v>14</v>
      </c>
    </row>
    <row r="35" spans="2:97" outlineLevel="1" x14ac:dyDescent="0.25">
      <c r="B35" t="s">
        <v>323</v>
      </c>
      <c r="BA35">
        <f>+(750+785)/2/6</f>
        <v>127.91666666666667</v>
      </c>
    </row>
    <row r="36" spans="2:97" outlineLevel="1" x14ac:dyDescent="0.25"/>
    <row r="37" spans="2:97" outlineLevel="1" x14ac:dyDescent="0.25">
      <c r="B37" s="12" t="s">
        <v>21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2:97" outlineLevel="1" x14ac:dyDescent="0.25">
      <c r="B38" t="s">
        <v>44</v>
      </c>
      <c r="D38" s="7">
        <f>3213*0.365/6</f>
        <v>195.45749999999998</v>
      </c>
      <c r="E38" s="7"/>
      <c r="F38" s="7">
        <f>136*0.365</f>
        <v>49.64</v>
      </c>
      <c r="G38" s="7"/>
      <c r="H38" s="7">
        <f>6.286*4</f>
        <v>25.143999999999998</v>
      </c>
      <c r="I38" s="7"/>
      <c r="J38" s="7">
        <f>69.609*0.365</f>
        <v>25.407284999999998</v>
      </c>
      <c r="K38" s="7"/>
      <c r="L38" s="7">
        <f>464*0.365</f>
        <v>169.35999999999999</v>
      </c>
      <c r="M38" s="7"/>
      <c r="N38" s="7">
        <f>1479.1/6*365/1000</f>
        <v>89.978583333333333</v>
      </c>
      <c r="O38" s="7"/>
      <c r="P38" s="10">
        <f>28.253*4</f>
        <v>113.012</v>
      </c>
      <c r="Q38" s="10"/>
      <c r="R38" s="10">
        <f>59.867*0.365</f>
        <v>21.851454999999998</v>
      </c>
      <c r="S38" s="10"/>
      <c r="T38" s="10"/>
      <c r="U38" s="10"/>
      <c r="V38" s="10">
        <f>182.8*0.365</f>
        <v>66.722000000000008</v>
      </c>
      <c r="W38" s="10"/>
      <c r="X38" s="10">
        <f>79.5*0.365</f>
        <v>29.017499999999998</v>
      </c>
      <c r="Y38" s="10"/>
      <c r="Z38" s="10"/>
      <c r="AA38" s="10"/>
      <c r="AB38" s="10"/>
      <c r="AC38" s="10"/>
      <c r="AD38" s="10">
        <f>38.413*0.365</f>
        <v>14.020744999999998</v>
      </c>
      <c r="AE38" s="10"/>
      <c r="AF38" s="10">
        <f>6.027*4</f>
        <v>24.108000000000001</v>
      </c>
      <c r="AG38" s="10"/>
      <c r="AH38" s="10">
        <f>70.653*0.365</f>
        <v>25.788345000000003</v>
      </c>
      <c r="AI38" s="10"/>
      <c r="AJ38" s="10">
        <f>55.536*0.365</f>
        <v>20.27064</v>
      </c>
      <c r="AK38" s="10"/>
      <c r="AL38" s="10"/>
      <c r="AM38" s="10"/>
      <c r="AN38" s="10">
        <f>88.288*0.365</f>
        <v>32.225119999999997</v>
      </c>
      <c r="AO38" s="10"/>
      <c r="AP38" s="10"/>
      <c r="AQ38" s="10"/>
      <c r="AR38" s="10"/>
      <c r="AS38" s="10">
        <f>11.026*4</f>
        <v>44.103999999999999</v>
      </c>
      <c r="AT38" s="10"/>
      <c r="AU38" s="10"/>
      <c r="AV38" s="10"/>
      <c r="AW38" s="10">
        <f>197.695*4/6</f>
        <v>131.79666666666665</v>
      </c>
      <c r="AX38" s="10"/>
      <c r="AY38">
        <f>11.3*4</f>
        <v>45.2</v>
      </c>
      <c r="BA38" s="10">
        <f>234/6*4</f>
        <v>156</v>
      </c>
      <c r="BC38" s="10">
        <f>11.6272*4</f>
        <v>46.508800000000001</v>
      </c>
      <c r="BD38" s="10"/>
      <c r="BE38" s="10">
        <f>11.957*4</f>
        <v>47.828000000000003</v>
      </c>
      <c r="BF38" s="10"/>
      <c r="BG38" s="10">
        <f>156.4*365/1000</f>
        <v>57.085999999999999</v>
      </c>
      <c r="BH38" s="10"/>
      <c r="BI38" s="10"/>
      <c r="BO38" s="10"/>
      <c r="BQ38" s="10">
        <f>251.254*0.365</f>
        <v>91.707709999999992</v>
      </c>
      <c r="BR38" s="7"/>
      <c r="BS38" s="10">
        <f>28.253*4</f>
        <v>113.012</v>
      </c>
      <c r="BT38" s="10"/>
      <c r="BU38" s="33"/>
      <c r="BV38" s="33"/>
      <c r="BW38" s="10">
        <f>324.001*365/1000</f>
        <v>118.26036499999999</v>
      </c>
      <c r="BX38" s="10"/>
      <c r="BY38" s="10"/>
      <c r="BZ38" s="10"/>
      <c r="CA38" s="10">
        <f>532*0.365</f>
        <v>194.18</v>
      </c>
      <c r="CB38" s="10"/>
      <c r="CC38" s="10">
        <f>764.5*0.365</f>
        <v>279.04250000000002</v>
      </c>
      <c r="CD38" s="10"/>
      <c r="CE38" s="10"/>
      <c r="CF38" s="10"/>
      <c r="CG38" s="10">
        <f>304.2*0.365</f>
        <v>111.03299999999999</v>
      </c>
      <c r="CH38" s="10"/>
      <c r="CI38" s="33"/>
      <c r="CJ38" s="33"/>
      <c r="CK38" s="33"/>
      <c r="CL38" s="33"/>
      <c r="CM38">
        <f>702*0.365</f>
        <v>256.23</v>
      </c>
    </row>
    <row r="39" spans="2:97" outlineLevel="1" x14ac:dyDescent="0.25">
      <c r="B39" t="s">
        <v>22</v>
      </c>
      <c r="D39" s="2">
        <f>1- 0.697167755991285</f>
        <v>0.302832244008715</v>
      </c>
      <c r="E39" s="2"/>
      <c r="F39" s="2">
        <f>+(82+16)/132</f>
        <v>0.74242424242424243</v>
      </c>
      <c r="G39" s="2"/>
      <c r="H39" s="2">
        <f>+(14.232+3.701)/H40</f>
        <v>0.81365698729582581</v>
      </c>
      <c r="I39" s="2"/>
      <c r="J39" s="2">
        <f>+(12.679+4.332)/J40</f>
        <v>0.7629961874859833</v>
      </c>
      <c r="K39" s="2"/>
      <c r="L39" s="2">
        <f>+(33+19)/L40</f>
        <v>0.27368421052631581</v>
      </c>
      <c r="M39" s="2"/>
      <c r="N39" s="2">
        <f>1-(0.1+14.8+34.4+79.2)/136.1</f>
        <v>5.5841293166789097E-2</v>
      </c>
      <c r="O39" s="2"/>
      <c r="P39" s="2">
        <f>18.304/(P38/4)</f>
        <v>0.64786040420486313</v>
      </c>
      <c r="Q39" s="2"/>
      <c r="R39" s="2">
        <f>+(13.484+7.88)/R40</f>
        <v>0.97001221142034577</v>
      </c>
      <c r="S39" s="2"/>
      <c r="T39" s="2"/>
      <c r="U39" s="2"/>
      <c r="V39" s="2">
        <f>+(34.367+7.465)/V40</f>
        <v>0.87863894139886567</v>
      </c>
      <c r="W39" s="2"/>
      <c r="X39" s="2">
        <f>+(16.726+5.227)/29.439</f>
        <v>0.74571147117768943</v>
      </c>
      <c r="Y39" s="2"/>
      <c r="Z39" s="2"/>
      <c r="AA39" s="2"/>
      <c r="AB39" s="2">
        <v>0.51</v>
      </c>
      <c r="AC39" s="2"/>
      <c r="AD39" s="2">
        <f>+(9.62+1.534)/AD40</f>
        <v>0.89332051898125897</v>
      </c>
      <c r="AE39" s="2"/>
      <c r="AF39" s="2">
        <f>+(17.901+0.179)/AF40</f>
        <v>0.97952107487268392</v>
      </c>
      <c r="AG39" s="2"/>
      <c r="AH39" s="2">
        <f>+(10.175+7.259)/AH40</f>
        <v>0.70069530967404847</v>
      </c>
      <c r="AI39" s="2"/>
      <c r="AJ39" s="2">
        <f>11.141/19.026</f>
        <v>0.58556711867970146</v>
      </c>
      <c r="AK39" s="2"/>
      <c r="AL39" s="2"/>
      <c r="AM39" s="2"/>
      <c r="AN39" s="2">
        <v>0.76200000000000001</v>
      </c>
      <c r="AO39" s="2"/>
      <c r="AP39" s="2"/>
      <c r="AQ39" s="2"/>
      <c r="AR39" s="2"/>
      <c r="AS39" s="2">
        <f>+(25.356+8.353)/AS40</f>
        <v>0.84405438565741053</v>
      </c>
      <c r="AT39" s="2"/>
      <c r="AU39" s="2"/>
      <c r="AV39" s="2"/>
      <c r="AW39" s="2">
        <f>1-(0.682417083144025)</f>
        <v>0.31758291685597495</v>
      </c>
      <c r="AX39" s="2"/>
      <c r="AY39" s="2">
        <f>+(5.1+2)/(AY38/4)</f>
        <v>0.62831858407079644</v>
      </c>
      <c r="AZ39" s="2"/>
      <c r="BA39" s="2">
        <f>1-(0.829059829059829)</f>
        <v>0.170940170940171</v>
      </c>
      <c r="BB39" s="2"/>
      <c r="BC39" s="2">
        <f>+(5749.9+1188.9)/11627.2</f>
        <v>0.59677308380349514</v>
      </c>
      <c r="BD39" s="2"/>
      <c r="BE39" s="2">
        <f>+(31.517+7.394)/BE40</f>
        <v>0.83299794485357082</v>
      </c>
      <c r="BF39" s="2"/>
      <c r="BG39" s="2">
        <f>+(86+26.3)/156.4</f>
        <v>0.71803069053708435</v>
      </c>
      <c r="BH39" s="2"/>
      <c r="BI39" s="2"/>
      <c r="BK39" s="3">
        <f>+(140+38)/BK40</f>
        <v>0.73251028806584362</v>
      </c>
      <c r="BL39" s="3"/>
      <c r="BM39" s="3">
        <f>+(89.6+21.7)/BM40</f>
        <v>0.65457753381689865</v>
      </c>
      <c r="BO39" s="3">
        <f>+(395.45+0.294)/BO41</f>
        <v>0.81807206998627391</v>
      </c>
      <c r="BQ39" s="3">
        <f>+(79.904+67.706)/251.254</f>
        <v>0.58749313443766082</v>
      </c>
      <c r="BR39" s="2"/>
      <c r="BS39" s="2">
        <f>18.304/(BS38/4)</f>
        <v>0.64786040420486313</v>
      </c>
      <c r="BT39" s="3"/>
      <c r="BU39" s="3">
        <f>+(653+102+66)/1283</f>
        <v>0.63990646921278249</v>
      </c>
      <c r="BV39" s="3"/>
      <c r="BW39" s="3">
        <f>(186.934*0.365)/BW38</f>
        <v>0.57695500939811917</v>
      </c>
      <c r="BX39" s="3"/>
      <c r="BY39" s="3">
        <v>0.47</v>
      </c>
      <c r="BZ39" s="3"/>
      <c r="CA39" s="3">
        <f>+((246+106)*365/1000)/CA40</f>
        <v>0.65794392523364476</v>
      </c>
      <c r="CB39" s="3"/>
      <c r="CC39" s="3">
        <f>+(435.6+122.8)/(764.5)</f>
        <v>0.73041203400915633</v>
      </c>
      <c r="CD39" s="3"/>
      <c r="CE39" s="3"/>
      <c r="CF39" s="3"/>
      <c r="CG39" s="3">
        <f>+((9.4+36.8+124.2+21.4+12+8.4+2.5)*0.365)/CG40</f>
        <v>0.71758021390374327</v>
      </c>
      <c r="CH39" s="3"/>
      <c r="CI39" s="3">
        <v>0.77</v>
      </c>
      <c r="CJ39" s="3"/>
      <c r="CK39" s="3"/>
      <c r="CL39" s="3"/>
      <c r="CM39" s="3">
        <f>+(250+67+31+138+31)/658</f>
        <v>0.7857142857142857</v>
      </c>
      <c r="CN39" s="3"/>
      <c r="CO39" s="3">
        <f>+(66.212+19.878)/CO40</f>
        <v>0.83384183253426314</v>
      </c>
    </row>
    <row r="40" spans="2:97" outlineLevel="1" x14ac:dyDescent="0.25">
      <c r="B40" t="s">
        <v>45</v>
      </c>
      <c r="D40" s="10">
        <f>989/6</f>
        <v>164.83333333333334</v>
      </c>
      <c r="E40" s="10"/>
      <c r="F40" s="10">
        <f>132*0.365</f>
        <v>48.18</v>
      </c>
      <c r="G40" s="10"/>
      <c r="H40" s="10">
        <v>22.04</v>
      </c>
      <c r="I40" s="10"/>
      <c r="J40" s="10">
        <v>22.295000000000002</v>
      </c>
      <c r="K40" s="10"/>
      <c r="L40" s="10">
        <v>190</v>
      </c>
      <c r="M40" s="10"/>
      <c r="N40" s="10">
        <f>507.104/6</f>
        <v>84.517333333333326</v>
      </c>
      <c r="O40" s="10"/>
      <c r="P40" s="7">
        <v>95.971999999999994</v>
      </c>
      <c r="Q40" s="7"/>
      <c r="R40" s="7">
        <f>(58.532+10.854/6)*0.365</f>
        <v>22.024464999999996</v>
      </c>
      <c r="S40" s="7"/>
      <c r="T40" s="7"/>
      <c r="U40" s="7"/>
      <c r="V40" s="7">
        <v>47.61</v>
      </c>
      <c r="W40" s="7"/>
      <c r="X40" s="7">
        <f>80.7*0.365</f>
        <v>29.455500000000001</v>
      </c>
      <c r="Y40" s="7"/>
      <c r="Z40" s="7"/>
      <c r="AA40" s="7"/>
      <c r="AB40" s="7">
        <v>42.914000000000001</v>
      </c>
      <c r="AC40" s="7"/>
      <c r="AD40" s="7">
        <v>12.486000000000001</v>
      </c>
      <c r="AE40" s="7"/>
      <c r="AF40" s="7">
        <v>18.457999999999998</v>
      </c>
      <c r="AG40" s="7"/>
      <c r="AH40" s="7">
        <v>24.881</v>
      </c>
      <c r="AI40" s="7"/>
      <c r="AJ40" s="7">
        <f>52.128*0.365</f>
        <v>19.026720000000001</v>
      </c>
      <c r="AK40" s="7"/>
      <c r="AL40" s="7"/>
      <c r="AM40" s="7"/>
      <c r="AN40" s="7">
        <f>82.525*0.365</f>
        <v>30.121625000000002</v>
      </c>
      <c r="AO40" s="7"/>
      <c r="AP40" s="7"/>
      <c r="AQ40" s="7"/>
      <c r="AR40" s="7"/>
      <c r="AS40" s="7">
        <v>39.936999999999998</v>
      </c>
      <c r="AT40" s="7"/>
      <c r="AU40" s="7"/>
      <c r="AV40" s="7"/>
      <c r="AW40" s="7">
        <f>2201*60.8333333333333/1000</f>
        <v>133.89416666666659</v>
      </c>
      <c r="AX40" s="7"/>
      <c r="AY40">
        <v>43.9</v>
      </c>
      <c r="BA40" s="10">
        <f>946/6</f>
        <v>157.66666666666666</v>
      </c>
      <c r="BC40" s="10">
        <v>51.857900000000001</v>
      </c>
      <c r="BD40" s="10"/>
      <c r="BE40" s="10">
        <v>46.712000000000003</v>
      </c>
      <c r="BF40" s="10"/>
      <c r="BG40" s="10">
        <v>46.396000000000001</v>
      </c>
      <c r="BH40" s="10"/>
      <c r="BI40" s="10"/>
      <c r="BK40" s="10">
        <v>243</v>
      </c>
      <c r="BL40" s="10"/>
      <c r="BM40" s="10">
        <f>89.6+21.7+352.4/6</f>
        <v>170.03333333333333</v>
      </c>
      <c r="BO40" s="10">
        <f>483.752*0.365</f>
        <v>176.56948</v>
      </c>
      <c r="BQ40" s="10">
        <f>221.946*0.365</f>
        <v>81.010289999999998</v>
      </c>
      <c r="BR40" s="10"/>
      <c r="BS40" s="7">
        <v>95.971999999999994</v>
      </c>
      <c r="BT40" s="10"/>
      <c r="BU40" s="10">
        <f>1283*0.365</f>
        <v>468.29500000000002</v>
      </c>
      <c r="BV40" s="10"/>
      <c r="BW40" s="10">
        <f>298.19*365/1000</f>
        <v>108.83935000000001</v>
      </c>
      <c r="BX40" s="10"/>
      <c r="BY40" s="10">
        <f>361.2*0.365</f>
        <v>131.83799999999999</v>
      </c>
      <c r="BZ40" s="10"/>
      <c r="CA40" s="10">
        <f>535*0.365</f>
        <v>195.27500000000001</v>
      </c>
      <c r="CB40" s="10"/>
      <c r="CC40" s="10">
        <v>262.5</v>
      </c>
      <c r="CD40" s="10"/>
      <c r="CE40" s="10"/>
      <c r="CF40" s="10"/>
      <c r="CG40" s="10">
        <f>299.2*0.365</f>
        <v>109.208</v>
      </c>
      <c r="CH40" s="10"/>
      <c r="CI40" s="10">
        <f>420*0.365</f>
        <v>153.29999999999998</v>
      </c>
      <c r="CJ40" s="10"/>
      <c r="CK40" s="10"/>
      <c r="CL40" s="10"/>
      <c r="CM40">
        <f>658*0.365</f>
        <v>240.17</v>
      </c>
      <c r="CO40">
        <v>103.245</v>
      </c>
    </row>
    <row r="41" spans="2:97" outlineLevel="1" x14ac:dyDescent="0.25">
      <c r="B41" t="s">
        <v>46</v>
      </c>
      <c r="D41" s="7">
        <f>+D40*1000/365</f>
        <v>451.59817351598178</v>
      </c>
      <c r="E41" s="7"/>
      <c r="F41" s="7">
        <f>+F40*1000/365</f>
        <v>132</v>
      </c>
      <c r="G41" s="7"/>
      <c r="H41" s="7">
        <f>+H40*1000/365</f>
        <v>60.38356164383562</v>
      </c>
      <c r="I41" s="7"/>
      <c r="J41" s="7">
        <f>+J40*1000/365</f>
        <v>61.082191780821915</v>
      </c>
      <c r="K41" s="7"/>
      <c r="L41" s="7">
        <f>+L40*1000/365</f>
        <v>520.54794520547944</v>
      </c>
      <c r="M41" s="7"/>
      <c r="N41" s="10">
        <f>+N40*1000/365</f>
        <v>231.55433789954336</v>
      </c>
      <c r="O41" s="10"/>
      <c r="P41" s="10">
        <f>+P40*1000/365</f>
        <v>262.93698630136987</v>
      </c>
      <c r="Q41" s="10"/>
      <c r="R41" s="10">
        <f>+R40*1000/365</f>
        <v>60.340999999999994</v>
      </c>
      <c r="S41" s="10"/>
      <c r="T41" s="10"/>
      <c r="U41" s="10"/>
      <c r="V41" s="10">
        <f>+V40*1000/365</f>
        <v>130.43835616438355</v>
      </c>
      <c r="W41" s="10"/>
      <c r="X41" s="10">
        <f>+X40*1000/365</f>
        <v>80.7</v>
      </c>
      <c r="Y41" s="10"/>
      <c r="Z41" s="10"/>
      <c r="AA41" s="10"/>
      <c r="AB41" s="10">
        <f>+AB40*1000/365</f>
        <v>117.57260273972602</v>
      </c>
      <c r="AC41" s="10"/>
      <c r="AD41" s="10">
        <f>+AD40*1000/365</f>
        <v>34.208219178082189</v>
      </c>
      <c r="AE41" s="10"/>
      <c r="AF41" s="10">
        <f>+AF40*1000/365</f>
        <v>50.56986301369863</v>
      </c>
      <c r="AG41" s="10"/>
      <c r="AH41" s="10">
        <f>+AH40*1000/365</f>
        <v>68.167123287671231</v>
      </c>
      <c r="AI41" s="10"/>
      <c r="AJ41" s="10">
        <f>+AJ40*1000/365</f>
        <v>52.128</v>
      </c>
      <c r="AK41" s="10"/>
      <c r="AL41" s="10"/>
      <c r="AM41" s="10"/>
      <c r="AN41" s="10">
        <f>+AN40*1000/365</f>
        <v>82.525000000000006</v>
      </c>
      <c r="AO41" s="10"/>
      <c r="AP41" s="10"/>
      <c r="AQ41" s="10"/>
      <c r="AR41" s="10"/>
      <c r="AS41" s="7">
        <f>+AS40*1000/365</f>
        <v>109.41643835616438</v>
      </c>
      <c r="AT41" s="7"/>
      <c r="AU41" s="7"/>
      <c r="AV41" s="7"/>
      <c r="AW41" s="7">
        <f>+AW40*1000/365</f>
        <v>366.83333333333314</v>
      </c>
      <c r="AX41" s="7"/>
      <c r="AY41" s="7">
        <f>+AY40*1000/365</f>
        <v>120.27397260273973</v>
      </c>
      <c r="AZ41" s="7"/>
      <c r="BA41" s="7">
        <f>+BA40*1000/365</f>
        <v>431.96347031963467</v>
      </c>
      <c r="BB41" s="7"/>
      <c r="BC41" s="7">
        <f>+BC40*1000/365</f>
        <v>142.07643835616437</v>
      </c>
      <c r="BD41" s="7"/>
      <c r="BE41" s="7">
        <f>+BE40*1000/365</f>
        <v>127.97808219178083</v>
      </c>
      <c r="BF41" s="7"/>
      <c r="BG41" s="7">
        <f>+BG40*1000/365</f>
        <v>127.11232876712329</v>
      </c>
      <c r="BH41" s="7"/>
      <c r="BI41" s="7"/>
      <c r="BJ41" s="7"/>
      <c r="BK41" s="7">
        <f>+BK40*1000/365</f>
        <v>665.7534246575342</v>
      </c>
      <c r="BL41" s="7"/>
      <c r="BM41" s="7">
        <f>+BM40*1000/365</f>
        <v>465.84474885844753</v>
      </c>
      <c r="BN41" s="7"/>
      <c r="BO41" s="7">
        <f>+BO40*1000/365</f>
        <v>483.75200000000001</v>
      </c>
      <c r="BP41" s="7"/>
      <c r="BQ41" s="7">
        <f>+BQ40*1000/365</f>
        <v>221.94599999999997</v>
      </c>
      <c r="BR41" s="10"/>
      <c r="BS41" s="10">
        <f>+BS40*1000/365</f>
        <v>262.93698630136987</v>
      </c>
      <c r="BT41" s="7"/>
      <c r="BU41" s="7">
        <f>+BU40*1000/365</f>
        <v>1283</v>
      </c>
      <c r="BV41" s="7"/>
      <c r="BW41" s="7">
        <f>+BW40*1000/365</f>
        <v>298.19</v>
      </c>
      <c r="BX41" s="7"/>
      <c r="BY41" s="7">
        <f>+BY40*1000/365</f>
        <v>361.2</v>
      </c>
      <c r="BZ41" s="7"/>
      <c r="CA41" s="7">
        <f>+CA40*1000/365</f>
        <v>535</v>
      </c>
      <c r="CB41" s="7"/>
      <c r="CC41" s="7">
        <f>+CC40*1000/365</f>
        <v>719.17808219178085</v>
      </c>
      <c r="CD41" s="7"/>
      <c r="CE41" s="7"/>
      <c r="CF41" s="7"/>
      <c r="CG41" s="7">
        <f>+CG40*1000/365</f>
        <v>299.2</v>
      </c>
      <c r="CH41" s="7"/>
      <c r="CI41" s="7">
        <f>+CI40*1000/365</f>
        <v>419.99999999999994</v>
      </c>
      <c r="CJ41" s="7"/>
      <c r="CK41" s="7"/>
      <c r="CL41" s="7"/>
      <c r="CM41" s="7">
        <f>+CM40*1000/365</f>
        <v>658</v>
      </c>
      <c r="CN41" s="7"/>
      <c r="CO41" s="7">
        <f>+CO40*1000/365</f>
        <v>282.86301369863014</v>
      </c>
    </row>
    <row r="42" spans="2:97" outlineLevel="1" x14ac:dyDescent="0.25">
      <c r="B42" t="s">
        <v>23</v>
      </c>
    </row>
    <row r="43" spans="2:97" outlineLevel="1" x14ac:dyDescent="0.25">
      <c r="B43" t="s">
        <v>24</v>
      </c>
      <c r="D43" s="8">
        <f>+D14/D38*1000</f>
        <v>24558.228770960442</v>
      </c>
      <c r="E43" s="8"/>
      <c r="F43" s="8">
        <f>+F14/F38*1000</f>
        <v>105781.62771958098</v>
      </c>
      <c r="G43" s="8"/>
      <c r="H43" s="8">
        <f>+H14/H38*1000</f>
        <v>64969.416162901682</v>
      </c>
      <c r="I43" s="8"/>
      <c r="J43" s="8">
        <f>+J14/J38*1000</f>
        <v>35422.91118472517</v>
      </c>
      <c r="K43" s="8"/>
      <c r="L43" s="8">
        <f>+L14/L38*1000</f>
        <v>48228.62541332074</v>
      </c>
      <c r="M43" s="8"/>
      <c r="N43" s="8">
        <f>+N14/N38*1000</f>
        <v>26430.789548994529</v>
      </c>
      <c r="O43" s="8"/>
      <c r="P43" s="8">
        <f>+P14/P38*1000</f>
        <v>37111.103245673032</v>
      </c>
      <c r="Q43" s="8"/>
      <c r="R43" s="8">
        <f>+R14/R38*1000</f>
        <v>107396.60127895373</v>
      </c>
      <c r="S43" s="8"/>
      <c r="T43" s="8"/>
      <c r="U43" s="8"/>
      <c r="V43" s="8">
        <f>+V14/V38*1000</f>
        <v>67151.764035850239</v>
      </c>
      <c r="W43" s="8"/>
      <c r="X43" s="8">
        <f>+X14/X38*1000</f>
        <v>152942.19005772378</v>
      </c>
      <c r="Y43" s="8"/>
      <c r="Z43" s="8"/>
      <c r="AA43" s="8"/>
      <c r="AB43" s="8" t="e">
        <f>+AB14/AB38*1000</f>
        <v>#DIV/0!</v>
      </c>
      <c r="AC43" s="8"/>
      <c r="AD43" s="8">
        <f>+AD14/AD38*1000</f>
        <v>35661.443097353251</v>
      </c>
      <c r="AE43" s="8"/>
      <c r="AF43" s="8">
        <f>+AF14/AF38*1000</f>
        <v>87960.303633648582</v>
      </c>
      <c r="AG43" s="8"/>
      <c r="AH43" s="8">
        <f>+AH14/AH38*1000</f>
        <v>38389.435227425412</v>
      </c>
      <c r="AI43" s="8"/>
      <c r="AJ43" s="8">
        <f>+AJ14/AJ38*1000</f>
        <v>64025.457508988366</v>
      </c>
      <c r="AK43" s="8"/>
      <c r="AL43" s="8"/>
      <c r="AM43" s="8"/>
      <c r="AN43" s="8">
        <f>+AN14/AN38*1000</f>
        <v>87677.2219932773</v>
      </c>
      <c r="AO43" s="8"/>
      <c r="AP43" s="8"/>
      <c r="AQ43" s="8"/>
      <c r="AR43" s="8"/>
      <c r="AS43" s="8">
        <f>+AS14/AS38*1000</f>
        <v>49977.371666968989</v>
      </c>
      <c r="AT43" s="8"/>
      <c r="AU43" s="8"/>
      <c r="AV43" s="8"/>
      <c r="AW43" s="8">
        <f>+AW14/AW38*1000</f>
        <v>29111.97298869471</v>
      </c>
      <c r="AX43" s="8"/>
      <c r="AY43" s="8">
        <f>+AY14/AY38*1000</f>
        <v>54796.37168141592</v>
      </c>
      <c r="AZ43" s="8"/>
      <c r="BA43" s="8">
        <f>+BA14/BA38*1000</f>
        <v>15012.820512820514</v>
      </c>
      <c r="BB43" s="8"/>
      <c r="BC43" s="8">
        <f>+BC14/BC38*1000</f>
        <v>53905.927480390805</v>
      </c>
      <c r="BD43" s="8"/>
      <c r="BE43" s="8">
        <f>+BE14/BE38*1000</f>
        <v>59462.657857322061</v>
      </c>
      <c r="BF43" s="8"/>
      <c r="BG43" s="8">
        <f>+BG14/BG38*1000</f>
        <v>43951.231475317938</v>
      </c>
      <c r="BH43" s="8"/>
      <c r="BI43" s="8"/>
      <c r="BO43" s="8" t="e">
        <f>+BO14/BO38*1000</f>
        <v>#DIV/0!</v>
      </c>
      <c r="BQ43" s="8">
        <f>+BQ14/BQ38*1000</f>
        <v>16356.312898882767</v>
      </c>
      <c r="BR43" s="8"/>
      <c r="BS43" s="8">
        <f>+BS14/BS38*1000</f>
        <v>37111.103245673032</v>
      </c>
      <c r="BT43" s="8"/>
      <c r="BU43" s="34"/>
      <c r="BV43" s="34"/>
      <c r="BW43" s="8">
        <f>+BW14/BW38*1000</f>
        <v>48776.68862259981</v>
      </c>
      <c r="BX43" s="8"/>
      <c r="BY43" s="8" t="e">
        <f>+BY14/BY38*1000</f>
        <v>#DIV/0!</v>
      </c>
      <c r="BZ43" s="8"/>
      <c r="CA43" s="8">
        <f>+CA14/CA38*1000</f>
        <v>30955.814193016788</v>
      </c>
      <c r="CB43" s="8"/>
      <c r="CC43" s="8">
        <f>+CC14/CC38*1000</f>
        <v>21645.448274008439</v>
      </c>
      <c r="CD43" s="8"/>
      <c r="CE43" s="8"/>
      <c r="CF43" s="8"/>
      <c r="CG43" s="8">
        <f>+CG14/CG38*1000</f>
        <v>50129.240856322001</v>
      </c>
      <c r="CH43" s="8"/>
      <c r="CI43" s="34"/>
      <c r="CJ43" s="34"/>
      <c r="CK43" s="34"/>
      <c r="CL43" s="34"/>
      <c r="CM43" s="8">
        <f>+CM14/CM38*1000</f>
        <v>40615.852944620063</v>
      </c>
      <c r="CN43" s="8"/>
    </row>
    <row r="44" spans="2:97" outlineLevel="1" x14ac:dyDescent="0.25">
      <c r="B44" t="s">
        <v>47</v>
      </c>
      <c r="D44" s="8">
        <f>+D14/D41*1000</f>
        <v>10629.117391304346</v>
      </c>
      <c r="E44" s="8"/>
      <c r="F44" s="8">
        <f>+F14/F41*1000</f>
        <v>39780.303030303032</v>
      </c>
      <c r="G44" s="8"/>
      <c r="H44" s="8">
        <f>+H14/H41*1000</f>
        <v>27053.571460980034</v>
      </c>
      <c r="I44" s="8"/>
      <c r="J44" s="8">
        <f>+J14/J41*1000</f>
        <v>14734.245346490246</v>
      </c>
      <c r="K44" s="8"/>
      <c r="L44" s="8">
        <f>+L14/L41*1000</f>
        <v>15691.157894736843</v>
      </c>
      <c r="M44" s="8"/>
      <c r="N44" s="8">
        <f>+N14/N41*1000</f>
        <v>10270.613030068784</v>
      </c>
      <c r="O44" s="8"/>
      <c r="P44" s="8">
        <f>+P14/P41*1000</f>
        <v>15950.589755345309</v>
      </c>
      <c r="Q44" s="8"/>
      <c r="R44" s="8">
        <f>+R14/R41*1000</f>
        <v>38891.831424736083</v>
      </c>
      <c r="S44" s="8"/>
      <c r="T44" s="8"/>
      <c r="U44" s="8"/>
      <c r="V44" s="8">
        <f>+V14/V41*1000</f>
        <v>34349.558916194081</v>
      </c>
      <c r="W44" s="8"/>
      <c r="X44" s="8">
        <f>+X14/X41*1000</f>
        <v>54993.804213135067</v>
      </c>
      <c r="Y44" s="8"/>
      <c r="Z44" s="8"/>
      <c r="AA44" s="8"/>
      <c r="AB44" s="8">
        <f>+AB14/AB41*1000</f>
        <v>13608.61257398518</v>
      </c>
      <c r="AC44" s="8"/>
      <c r="AD44" s="8">
        <f>+AD14/AD41*1000</f>
        <v>14616.370334774949</v>
      </c>
      <c r="AE44" s="8"/>
      <c r="AF44" s="8">
        <f>+AF14/AF41*1000</f>
        <v>41933.018474374257</v>
      </c>
      <c r="AG44" s="8"/>
      <c r="AH44" s="8">
        <f>+AH14/AH41*1000</f>
        <v>14523.130099272537</v>
      </c>
      <c r="AI44" s="8"/>
      <c r="AJ44" s="8">
        <f>+AJ14/AJ41*1000</f>
        <v>24897.118631062</v>
      </c>
      <c r="AK44" s="8"/>
      <c r="AL44" s="8"/>
      <c r="AM44" s="8"/>
      <c r="AN44" s="8">
        <f>+AN14/AN41*1000</f>
        <v>34237.006967585578</v>
      </c>
      <c r="AO44" s="8"/>
      <c r="AP44" s="8"/>
      <c r="AQ44" s="8"/>
      <c r="AR44" s="8"/>
      <c r="AS44" s="8">
        <f>+AS14/AS41*1000</f>
        <v>20145.071737987335</v>
      </c>
      <c r="AT44" s="8"/>
      <c r="AU44" s="8"/>
      <c r="AV44" s="8"/>
      <c r="AW44" s="8">
        <f>+AW14/AW41*1000</f>
        <v>10459.412085415725</v>
      </c>
      <c r="AX44" s="8"/>
      <c r="AY44" s="8">
        <f>+AY14/AY41*1000</f>
        <v>20592.950797266512</v>
      </c>
      <c r="AZ44" s="8"/>
      <c r="BA44" s="8">
        <f>+BA14/BA41*1000</f>
        <v>5421.7547568710361</v>
      </c>
      <c r="BB44" s="8"/>
      <c r="BC44" s="8">
        <f>+BC14/BC41*1000</f>
        <v>17646.13491869127</v>
      </c>
      <c r="BD44" s="8"/>
      <c r="BE44" s="8">
        <f>+BE14/BE41*1000</f>
        <v>22222.398955300567</v>
      </c>
      <c r="BF44" s="8"/>
      <c r="BG44" s="8">
        <f>+BG14/BG41*1000</f>
        <v>19738.447279937925</v>
      </c>
      <c r="BH44" s="8"/>
      <c r="BI44" s="8"/>
      <c r="BK44" s="8">
        <f>+BK14/BK41*1000</f>
        <v>19215.823045267491</v>
      </c>
      <c r="BL44" s="8"/>
      <c r="BM44" s="8">
        <f>+BM14/BM41*1000</f>
        <v>17611.017447559301</v>
      </c>
      <c r="BO44" s="8">
        <f>+BO14/BO41*1000</f>
        <v>19102.763399427804</v>
      </c>
      <c r="BQ44" s="8">
        <f>+BQ14/BQ41*1000</f>
        <v>6758.4006920602324</v>
      </c>
      <c r="BR44" s="8"/>
      <c r="BS44" s="8">
        <f>+BS14/BS41*1000</f>
        <v>15950.589755345309</v>
      </c>
      <c r="BT44" s="8"/>
      <c r="BU44" s="8">
        <f>+BU14/BU41*1000</f>
        <v>11666.406858924396</v>
      </c>
      <c r="BV44" s="8"/>
      <c r="BW44" s="8">
        <f>+BW14/BW41*1000</f>
        <v>19344.542070491967</v>
      </c>
      <c r="BX44" s="8"/>
      <c r="BY44" s="8">
        <f>+BY14/BY41*1000</f>
        <v>11622.369878183832</v>
      </c>
      <c r="BZ44" s="8"/>
      <c r="CA44" s="8">
        <f>+CA14/CA41*1000</f>
        <v>11235.514018691589</v>
      </c>
      <c r="CB44" s="8"/>
      <c r="CC44" s="8">
        <f>+CC14/CC41*1000</f>
        <v>8398.4761904761908</v>
      </c>
      <c r="CD44" s="8"/>
      <c r="CE44" s="8"/>
      <c r="CF44" s="8"/>
      <c r="CG44" s="8">
        <f>+CG14/CG41*1000</f>
        <v>18602.941176470591</v>
      </c>
      <c r="CH44" s="8"/>
      <c r="CI44" s="8">
        <f>+CI14/CI41*1000</f>
        <v>13180.952380952382</v>
      </c>
      <c r="CJ44" s="8"/>
      <c r="CK44" s="8"/>
      <c r="CL44" s="8"/>
      <c r="CM44" s="8">
        <f>+CM14/CM41*1000</f>
        <v>15816.109422492402</v>
      </c>
      <c r="CN44" s="8"/>
      <c r="CO44" s="8">
        <f>+CO14/CO41*1000</f>
        <v>8131.1443653445676</v>
      </c>
    </row>
    <row r="45" spans="2:97" outlineLevel="1" x14ac:dyDescent="0.25">
      <c r="B45" t="s">
        <v>25</v>
      </c>
      <c r="D45" s="8">
        <f>+D14/D40*1000</f>
        <v>29120.869565217392</v>
      </c>
      <c r="E45" s="8"/>
      <c r="F45" s="8">
        <f>+F14/F40*1000</f>
        <v>108987.13158987131</v>
      </c>
      <c r="G45" s="8"/>
      <c r="H45" s="8">
        <f>+H14/H40*1000</f>
        <v>74119.373865698741</v>
      </c>
      <c r="I45" s="8"/>
      <c r="J45" s="8">
        <f>+J14/J40*1000</f>
        <v>40367.795469836281</v>
      </c>
      <c r="K45" s="8"/>
      <c r="L45" s="8">
        <f>+L14/L40*1000</f>
        <v>42989.473684210527</v>
      </c>
      <c r="M45" s="8"/>
      <c r="N45" s="8">
        <f>+N14/N40*1000</f>
        <v>28138.665835804888</v>
      </c>
      <c r="O45" s="8"/>
      <c r="P45" s="8">
        <f>+P14/P40*1000</f>
        <v>43700.245905055643</v>
      </c>
      <c r="Q45" s="8"/>
      <c r="R45" s="8">
        <f>+R14/R40*1000</f>
        <v>106552.96280749614</v>
      </c>
      <c r="S45" s="8"/>
      <c r="T45" s="8"/>
      <c r="U45" s="8"/>
      <c r="V45" s="8">
        <f>+V14/V40*1000</f>
        <v>94108.380592312547</v>
      </c>
      <c r="W45" s="8"/>
      <c r="X45" s="8">
        <f>+X14/X40*1000</f>
        <v>150667.95674831525</v>
      </c>
      <c r="Y45" s="8"/>
      <c r="Z45" s="8"/>
      <c r="AA45" s="8"/>
      <c r="AB45" s="8">
        <f>+AB14/AB40*1000</f>
        <v>37283.870065712821</v>
      </c>
      <c r="AC45" s="8"/>
      <c r="AD45" s="8">
        <f>+AD14/AD40*1000</f>
        <v>40044.850232260134</v>
      </c>
      <c r="AE45" s="8"/>
      <c r="AF45" s="8">
        <f>+AF14/AF40*1000</f>
        <v>114884.98212157331</v>
      </c>
      <c r="AG45" s="8"/>
      <c r="AH45" s="8">
        <f>+AH14/AH40*1000</f>
        <v>39789.397532253526</v>
      </c>
      <c r="AI45" s="8"/>
      <c r="AJ45" s="8">
        <f>+AJ14/AJ40*1000</f>
        <v>68211.283920717804</v>
      </c>
      <c r="AK45" s="8"/>
      <c r="AL45" s="8"/>
      <c r="AM45" s="8"/>
      <c r="AN45" s="8">
        <f>+AN14/AN40*1000</f>
        <v>93800.019089275564</v>
      </c>
      <c r="AO45" s="8"/>
      <c r="AP45" s="8"/>
      <c r="AQ45" s="8"/>
      <c r="AR45" s="8"/>
      <c r="AS45" s="8">
        <f>+AS14/AS40*1000</f>
        <v>55191.977364348859</v>
      </c>
      <c r="AT45" s="8"/>
      <c r="AU45" s="8"/>
      <c r="AV45" s="8"/>
      <c r="AW45" s="8">
        <f>+AW14/AW40*1000</f>
        <v>28655.92352168692</v>
      </c>
      <c r="AX45" s="8"/>
      <c r="AY45" s="8">
        <f>+AY14/AY40*1000</f>
        <v>56419.043280182232</v>
      </c>
      <c r="AZ45" s="8"/>
      <c r="BA45" s="8">
        <f>+BA14/BA40*1000</f>
        <v>14854.122621564484</v>
      </c>
      <c r="BB45" s="8"/>
      <c r="BC45" s="8">
        <f>+BC14/BC40*1000</f>
        <v>48345.575119702102</v>
      </c>
      <c r="BD45" s="8"/>
      <c r="BE45" s="8">
        <f>+BE14/BE40*1000</f>
        <v>60883.284809042641</v>
      </c>
      <c r="BF45" s="8"/>
      <c r="BG45" s="8">
        <f>+BG14/BG40*1000</f>
        <v>54077.937753254591</v>
      </c>
      <c r="BH45" s="8"/>
      <c r="BI45" s="8"/>
      <c r="BK45" s="8">
        <f>+BK14/BK40*1000</f>
        <v>52646.090534979419</v>
      </c>
      <c r="BL45" s="8"/>
      <c r="BM45" s="8">
        <f>+BM14/BM40*1000</f>
        <v>48249.362870025485</v>
      </c>
      <c r="BO45" s="8">
        <f>+BO14/BO40*1000</f>
        <v>52336.338080624126</v>
      </c>
      <c r="BQ45" s="8">
        <f>+BQ14/BQ40*1000</f>
        <v>18516.166279617071</v>
      </c>
      <c r="BR45" s="8"/>
      <c r="BS45" s="8">
        <f>+BS14/BS40*1000</f>
        <v>43700.245905055643</v>
      </c>
      <c r="BT45" s="8"/>
      <c r="BU45" s="8">
        <f>+BU14/BU40*1000</f>
        <v>31962.758517601083</v>
      </c>
      <c r="BV45" s="8"/>
      <c r="BW45" s="8">
        <f>+BW14/BW40*1000</f>
        <v>52998.745398608131</v>
      </c>
      <c r="BX45" s="8"/>
      <c r="BY45" s="8">
        <f>+BY14/BY40*1000</f>
        <v>31842.109255298168</v>
      </c>
      <c r="BZ45" s="8"/>
      <c r="CA45" s="8">
        <f>+CA14/CA40*1000</f>
        <v>30782.230188196136</v>
      </c>
      <c r="CB45" s="8"/>
      <c r="CC45" s="8">
        <f>+CC14/CC40*1000</f>
        <v>23009.523809523809</v>
      </c>
      <c r="CD45" s="8"/>
      <c r="CE45" s="8"/>
      <c r="CF45" s="8"/>
      <c r="CG45" s="8">
        <f>+CG14/CG40*1000</f>
        <v>50966.962127316685</v>
      </c>
      <c r="CH45" s="8"/>
      <c r="CI45" s="8">
        <f>+CI14/CI40*1000</f>
        <v>36112.19830397913</v>
      </c>
      <c r="CJ45" s="8"/>
      <c r="CK45" s="8"/>
      <c r="CL45" s="8"/>
      <c r="CM45" s="8">
        <f>+CM14/CM40*1000</f>
        <v>43331.806636965484</v>
      </c>
      <c r="CN45" s="8"/>
      <c r="CO45" s="8">
        <f>+CO14/CO40*1000</f>
        <v>22277.107850259094</v>
      </c>
    </row>
    <row r="46" spans="2:97" outlineLevel="1" x14ac:dyDescent="0.25"/>
    <row r="47" spans="2:97" outlineLevel="1" x14ac:dyDescent="0.25">
      <c r="B47" s="12" t="s">
        <v>26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</row>
    <row r="48" spans="2:97" outlineLevel="1" x14ac:dyDescent="0.25">
      <c r="B48" t="s">
        <v>48</v>
      </c>
      <c r="D48" s="9">
        <f>+(142.234+1792.898)/D40</f>
        <v>11.739931243680484</v>
      </c>
      <c r="E48" s="9"/>
      <c r="F48" s="9">
        <f>912/F40</f>
        <v>18.929016189290163</v>
      </c>
      <c r="G48" s="9"/>
      <c r="H48" s="9">
        <f>161.596/H40</f>
        <v>7.3319419237749548</v>
      </c>
      <c r="I48" s="9"/>
      <c r="J48" s="9">
        <f>(83.313+57.624)/J40</f>
        <v>6.3214622112581296</v>
      </c>
      <c r="K48" s="9"/>
      <c r="L48" s="9">
        <f>+(539+1398)/L40</f>
        <v>10.194736842105263</v>
      </c>
      <c r="M48" s="9"/>
      <c r="N48" s="9">
        <f>+(95.139+302.933+12.033+72.412)/N40</f>
        <v>5.7090892597968077</v>
      </c>
      <c r="O48" s="9"/>
      <c r="P48" s="9">
        <f>(590+55)/P40</f>
        <v>6.7207102071437506</v>
      </c>
      <c r="Q48" s="9"/>
      <c r="R48" s="9">
        <f>+(489.72+50.002+2.816)/R40</f>
        <v>24.633424693857496</v>
      </c>
      <c r="S48" s="9"/>
      <c r="T48" s="9"/>
      <c r="U48" s="9"/>
      <c r="V48" s="9">
        <f>(204.975+26.113)/V40</f>
        <v>4.8537702163411049</v>
      </c>
      <c r="W48" s="9"/>
      <c r="X48" s="9">
        <f>+(100+158)/X40</f>
        <v>8.7589754035748832</v>
      </c>
      <c r="Y48" s="9"/>
      <c r="Z48" s="9"/>
      <c r="AA48" s="9"/>
      <c r="AB48" s="9">
        <f>+(688.1+33.132+0.469)/AB40</f>
        <v>16.817378943934379</v>
      </c>
      <c r="AC48" s="9"/>
      <c r="AD48" s="9">
        <f>42.406/AD40</f>
        <v>3.3962838378984461</v>
      </c>
      <c r="AE48" s="9"/>
      <c r="AF48" s="9">
        <f>+(224.727+6.955)/13.23</f>
        <v>17.511866969009827</v>
      </c>
      <c r="AG48" s="9"/>
      <c r="AH48" s="9">
        <f>+(91.289+11.7+2.872)/AH40</f>
        <v>4.2546923355170616</v>
      </c>
      <c r="AI48" s="9"/>
      <c r="AJ48" s="9">
        <f>+(92.966+24.069+6.635)/AJ40</f>
        <v>6.4998065877881208</v>
      </c>
      <c r="AK48" s="9"/>
      <c r="AL48" s="9"/>
      <c r="AM48" s="9"/>
      <c r="AN48" s="9">
        <f>+(193.912+41.2+107.913)/AN40</f>
        <v>11.387997825482524</v>
      </c>
      <c r="AO48" s="9"/>
      <c r="AP48" s="9"/>
      <c r="AQ48" s="9"/>
      <c r="AR48" s="9"/>
      <c r="AS48" s="9">
        <f>+(144.292+32.573)/AS40</f>
        <v>4.4286000450709873</v>
      </c>
      <c r="AT48" s="9"/>
      <c r="AU48" s="9"/>
      <c r="AV48" s="9"/>
      <c r="AW48" s="9">
        <f>+(139.531+1117.816)/AW40</f>
        <v>9.3906032749746426</v>
      </c>
      <c r="AX48" s="9"/>
      <c r="AY48" s="9">
        <f>487.367/AY40</f>
        <v>11.101753986332575</v>
      </c>
      <c r="AZ48" s="9"/>
      <c r="BA48" s="4">
        <f>789/BA40</f>
        <v>5.0042283298097257</v>
      </c>
      <c r="BB48" s="9"/>
      <c r="BC48" s="4">
        <f>+(51+263.1+117.6+15.5)/BC40</f>
        <v>8.6235655512467737</v>
      </c>
      <c r="BD48" s="4"/>
      <c r="BE48" s="4">
        <f>(311.895+48.105)/BE40</f>
        <v>7.7067991094365471</v>
      </c>
      <c r="BF48" s="4"/>
      <c r="BG48" s="4">
        <f>(272+107)/BG40</f>
        <v>8.1688076558323992</v>
      </c>
      <c r="BH48" s="4"/>
      <c r="BI48" s="4"/>
      <c r="BK48" s="4">
        <f>(1153+878)/BK40</f>
        <v>8.3580246913580254</v>
      </c>
      <c r="BL48" s="4"/>
      <c r="BM48" s="4">
        <f>(1439+348)/BM40</f>
        <v>10.509703979611841</v>
      </c>
      <c r="BO48" s="4">
        <f>3.43+6.11+7.68</f>
        <v>17.22</v>
      </c>
      <c r="BQ48" s="4">
        <f>+(293.213+200.802)/BQ40</f>
        <v>6.0981759230833514</v>
      </c>
      <c r="BR48" s="9"/>
      <c r="BS48" s="9">
        <f>(590+55)/BS40</f>
        <v>6.7207102071437506</v>
      </c>
      <c r="BT48" s="4"/>
      <c r="BU48" s="4">
        <f>5213/BU40</f>
        <v>11.131872003758314</v>
      </c>
      <c r="BV48" s="4"/>
      <c r="BW48" s="4">
        <f>(390.423+191.587+21.639)/BW40</f>
        <v>5.546238561696665</v>
      </c>
      <c r="BX48" s="4"/>
      <c r="BY48" s="4">
        <f>(1083+454)/BY40</f>
        <v>11.65824724282832</v>
      </c>
      <c r="BZ48" s="4"/>
      <c r="CA48" s="4">
        <f>2225/CA40</f>
        <v>11.394187684035334</v>
      </c>
      <c r="CB48" s="4"/>
      <c r="CC48" s="4">
        <f>+(1282.678+746.876+436.973)/CC40</f>
        <v>9.3962933333333343</v>
      </c>
      <c r="CD48" s="4"/>
      <c r="CE48" s="4"/>
      <c r="CF48" s="4"/>
      <c r="CG48" s="4">
        <f>1527/CG40</f>
        <v>13.982492125119039</v>
      </c>
      <c r="CH48" s="4"/>
      <c r="CI48" s="4">
        <f>+(842+575)/CI40</f>
        <v>9.2433137638617104</v>
      </c>
      <c r="CJ48" s="4"/>
      <c r="CK48" s="4"/>
      <c r="CL48" s="4"/>
      <c r="CM48" s="29">
        <f>2877/CM40</f>
        <v>11.979014864471001</v>
      </c>
      <c r="CN48" s="29"/>
      <c r="CO48" s="29">
        <f>855/CO40</f>
        <v>8.2812727008571834</v>
      </c>
    </row>
    <row r="49" spans="2:97" outlineLevel="1" x14ac:dyDescent="0.25">
      <c r="B49" t="s">
        <v>27</v>
      </c>
      <c r="D49" s="4">
        <f>122.305/D40</f>
        <v>0.74199191102123352</v>
      </c>
      <c r="E49" s="4"/>
      <c r="F49" s="4">
        <f>149/F40</f>
        <v>3.0925695309256955</v>
      </c>
      <c r="G49" s="4"/>
      <c r="H49" s="4">
        <f>+(50.591+10.422)/H40</f>
        <v>2.7682849364791293</v>
      </c>
      <c r="I49" s="4"/>
      <c r="J49" s="4">
        <f>56.523/J40</f>
        <v>2.5352321148239514</v>
      </c>
      <c r="K49" s="4"/>
      <c r="L49" s="4">
        <f>124/L40</f>
        <v>0.65263157894736845</v>
      </c>
      <c r="M49" s="4"/>
      <c r="N49" s="4">
        <f>32.75/N40</f>
        <v>0.38749447845017987</v>
      </c>
      <c r="O49" s="4"/>
      <c r="P49" s="5">
        <f>305/P40</f>
        <v>3.1780102529904557</v>
      </c>
      <c r="Q49" s="5"/>
      <c r="R49" s="5">
        <f>104.67/R40</f>
        <v>4.7524423408241709</v>
      </c>
      <c r="S49" s="5"/>
      <c r="T49" s="5"/>
      <c r="U49" s="5"/>
      <c r="V49" s="5">
        <f>132.661/V40</f>
        <v>2.786410417979416</v>
      </c>
      <c r="W49" s="5"/>
      <c r="X49" s="5">
        <f>77/X40</f>
        <v>2.6141128142452175</v>
      </c>
      <c r="Y49" s="5"/>
      <c r="Z49" s="5"/>
      <c r="AA49" s="5"/>
      <c r="AB49" s="5">
        <f>67.537/AB40</f>
        <v>1.5737754578925294</v>
      </c>
      <c r="AC49" s="5"/>
      <c r="AD49" s="5">
        <f>34.642/AD40</f>
        <v>2.774467403491911</v>
      </c>
      <c r="AE49" s="5"/>
      <c r="AF49" s="5">
        <v>0</v>
      </c>
      <c r="AG49" s="5"/>
      <c r="AH49" s="5">
        <f>49.457/AH40</f>
        <v>1.9877416502552148</v>
      </c>
      <c r="AI49" s="5"/>
      <c r="AJ49" s="5">
        <f>76.138/AJ40</f>
        <v>4.0016355945743669</v>
      </c>
      <c r="AK49" s="5"/>
      <c r="AL49" s="5"/>
      <c r="AM49" s="5"/>
      <c r="AN49" s="5">
        <f>133.696/AN40</f>
        <v>4.4385387574541539</v>
      </c>
      <c r="AO49" s="5"/>
      <c r="AP49" s="5"/>
      <c r="AQ49" s="5"/>
      <c r="AR49" s="5"/>
      <c r="AS49" s="5">
        <f>108.342/AS40</f>
        <v>2.7128226957457997</v>
      </c>
      <c r="AT49" s="5"/>
      <c r="AU49" s="5"/>
      <c r="AV49" s="5"/>
      <c r="AW49" s="5">
        <f>46.149/AW40</f>
        <v>0.34466774131310196</v>
      </c>
      <c r="AX49" s="5"/>
      <c r="AY49">
        <v>0</v>
      </c>
      <c r="BA49" s="4">
        <f>89/BA40</f>
        <v>0.56448202959830873</v>
      </c>
      <c r="BC49" s="4">
        <f>130.8/BC40</f>
        <v>2.5222772229496377</v>
      </c>
      <c r="BD49" s="4"/>
      <c r="BE49" s="4">
        <f>171.823/BE40</f>
        <v>3.6783481760575438</v>
      </c>
      <c r="BF49" s="4"/>
      <c r="BG49" s="4">
        <f>157/BG40</f>
        <v>3.3839124062419175</v>
      </c>
      <c r="BH49" s="4"/>
      <c r="BI49" s="4"/>
      <c r="BK49" s="4">
        <f>826/BK40</f>
        <v>3.3991769547325101</v>
      </c>
      <c r="BL49" s="4"/>
      <c r="BM49" s="4">
        <f>215/BM40</f>
        <v>1.2644579494216821</v>
      </c>
      <c r="BO49" s="4">
        <f>1/BO40</f>
        <v>5.6634929207471192E-3</v>
      </c>
      <c r="BQ49" s="4">
        <f>125.169/BQ40</f>
        <v>1.5451000113689262</v>
      </c>
      <c r="BR49" s="4"/>
      <c r="BS49" s="5">
        <f>305/BS40</f>
        <v>3.1780102529904557</v>
      </c>
      <c r="BT49" s="4"/>
      <c r="BU49" s="4">
        <f>1048/BU40</f>
        <v>2.2379055936962811</v>
      </c>
      <c r="BV49" s="4"/>
      <c r="BW49" s="4">
        <f>353.14/BW40</f>
        <v>3.2445985757908327</v>
      </c>
      <c r="BX49" s="4"/>
      <c r="BY49" s="4">
        <f>147/BY40</f>
        <v>1.1150047785919084</v>
      </c>
      <c r="BZ49" s="4"/>
      <c r="CA49" s="4">
        <v>0</v>
      </c>
      <c r="CB49" s="4"/>
      <c r="CC49" s="4">
        <f>772.481/CC40</f>
        <v>2.942784761904762</v>
      </c>
      <c r="CD49" s="4"/>
      <c r="CE49" s="4"/>
      <c r="CF49" s="4"/>
      <c r="CG49" s="4">
        <v>0</v>
      </c>
      <c r="CH49" s="4"/>
      <c r="CI49" s="4">
        <f>299/CI41</f>
        <v>0.71190476190476204</v>
      </c>
      <c r="CJ49" s="4"/>
      <c r="CK49" s="4"/>
      <c r="CL49" s="4"/>
      <c r="CM49" s="29">
        <f>413/CM40</f>
        <v>1.7196152725153018</v>
      </c>
      <c r="CN49" s="29"/>
      <c r="CO49" s="29">
        <f>284/CO40</f>
        <v>2.7507385345537312</v>
      </c>
    </row>
    <row r="50" spans="2:97" outlineLevel="1" x14ac:dyDescent="0.25">
      <c r="B50" s="17" t="s">
        <v>28</v>
      </c>
      <c r="C50" s="17"/>
      <c r="D50" s="13">
        <f>181.305/D40</f>
        <v>1.0999292214357936</v>
      </c>
      <c r="E50" s="13"/>
      <c r="F50" s="13">
        <f>299/F40</f>
        <v>6.2058945620589459</v>
      </c>
      <c r="G50" s="13"/>
      <c r="H50" s="13">
        <f>68.617/H40</f>
        <v>3.1132940108892924</v>
      </c>
      <c r="I50" s="13"/>
      <c r="J50" s="13">
        <f>63.304/J40</f>
        <v>2.8393810271361288</v>
      </c>
      <c r="K50" s="13"/>
      <c r="L50" s="13">
        <f>280/L40</f>
        <v>1.4736842105263157</v>
      </c>
      <c r="M50" s="13"/>
      <c r="N50" s="13">
        <f>134.806/N40</f>
        <v>1.5950100965482428</v>
      </c>
      <c r="O50" s="13"/>
      <c r="P50" s="13">
        <f>311/P40</f>
        <v>3.240528487475514</v>
      </c>
      <c r="Q50" s="13"/>
      <c r="R50" s="13">
        <f>71.495/R40</f>
        <v>3.2461628466344141</v>
      </c>
      <c r="S50" s="13"/>
      <c r="T50" s="13"/>
      <c r="U50" s="13"/>
      <c r="V50" s="13">
        <f>64.554/V40</f>
        <v>1.3558916194076875</v>
      </c>
      <c r="W50" s="13"/>
      <c r="X50" s="13">
        <f>89/X40</f>
        <v>3.0215070190626538</v>
      </c>
      <c r="Y50" s="13"/>
      <c r="Z50" s="13"/>
      <c r="AA50" s="13"/>
      <c r="AB50" s="13">
        <f>78.27/AB40</f>
        <v>1.8238803187770889</v>
      </c>
      <c r="AC50" s="13"/>
      <c r="AD50" s="13">
        <f>(122.472)/AD40</f>
        <v>9.808745795290724</v>
      </c>
      <c r="AE50" s="13"/>
      <c r="AF50" s="13">
        <f>+(99.856)/13.23</f>
        <v>7.5476946334089181</v>
      </c>
      <c r="AG50" s="13"/>
      <c r="AH50" s="13">
        <f>96.138/AH41</f>
        <v>1.4103279610948114</v>
      </c>
      <c r="AI50" s="13"/>
      <c r="AJ50" s="13">
        <f>69.308/AJ40</f>
        <v>3.6426667339404797</v>
      </c>
      <c r="AK50" s="13"/>
      <c r="AL50" s="13"/>
      <c r="AM50" s="13"/>
      <c r="AN50" s="13">
        <f>121.346/AN40</f>
        <v>4.0285343171226655</v>
      </c>
      <c r="AO50" s="13"/>
      <c r="AP50" s="13"/>
      <c r="AQ50" s="13"/>
      <c r="AR50" s="13"/>
      <c r="AS50" s="13">
        <f>150.955/AS40</f>
        <v>3.7798282294614021</v>
      </c>
      <c r="AT50" s="13"/>
      <c r="AU50" s="13"/>
      <c r="AV50" s="13"/>
      <c r="AW50" s="13">
        <f>209.812/AW40</f>
        <v>1.5669988112501798</v>
      </c>
      <c r="AX50" s="13"/>
      <c r="AY50" s="17">
        <v>2.65</v>
      </c>
      <c r="AZ50" s="17"/>
      <c r="BA50" s="13">
        <f>209/BA40</f>
        <v>1.3255813953488373</v>
      </c>
      <c r="BB50" s="17"/>
      <c r="BC50" s="13">
        <f>221.7/BC40</f>
        <v>4.2751441921095914</v>
      </c>
      <c r="BD50" s="13"/>
      <c r="BE50" s="13">
        <f>123.25/BE40</f>
        <v>2.638508306216818</v>
      </c>
      <c r="BF50" s="13"/>
      <c r="BG50" s="13">
        <f>182/BG40</f>
        <v>3.9227519613759805</v>
      </c>
      <c r="BH50" s="13"/>
      <c r="BI50" s="13"/>
      <c r="BK50" s="13">
        <f>1084/BK40</f>
        <v>4.4609053497942384</v>
      </c>
      <c r="BL50" s="13"/>
      <c r="BM50" s="13">
        <f>431/BM40</f>
        <v>2.5347970986081161</v>
      </c>
      <c r="BO50" s="51">
        <f>391/BO40*0.5</f>
        <v>1.1072128660060618</v>
      </c>
      <c r="BQ50" s="13">
        <f>80.85/BQ40</f>
        <v>0.99802136247136009</v>
      </c>
      <c r="BR50" s="13"/>
      <c r="BS50" s="13">
        <f>311/BS40</f>
        <v>3.240528487475514</v>
      </c>
      <c r="BT50" s="13"/>
      <c r="BU50" s="13">
        <f>401/BU40</f>
        <v>0.85629784644294726</v>
      </c>
      <c r="BV50" s="13"/>
      <c r="BW50" s="13">
        <f>183.569/BW40</f>
        <v>1.6866050743595948</v>
      </c>
      <c r="BX50" s="13"/>
      <c r="BY50" s="13">
        <f>157/BY40</f>
        <v>1.1908554438022423</v>
      </c>
      <c r="BZ50" s="13"/>
      <c r="CA50" s="13">
        <f>650/CA40</f>
        <v>3.3286390987069518</v>
      </c>
      <c r="CB50" s="13"/>
      <c r="CC50" s="13">
        <f>426.969/CC40</f>
        <v>1.6265485714285715</v>
      </c>
      <c r="CD50" s="13"/>
      <c r="CE50" s="13"/>
      <c r="CF50" s="13"/>
      <c r="CG50" s="13">
        <f>296/CG40</f>
        <v>2.7104241447513004</v>
      </c>
      <c r="CH50" s="13"/>
      <c r="CI50" s="13">
        <f>394/CI40</f>
        <v>2.5701239399869538</v>
      </c>
      <c r="CJ50" s="13"/>
      <c r="CK50" s="13"/>
      <c r="CL50" s="13"/>
      <c r="CM50" s="13">
        <f>1613/CM40*10441/CM10</f>
        <v>3.9043736466179806</v>
      </c>
      <c r="CN50" s="13"/>
      <c r="CO50" s="13">
        <f>381/CO40</f>
        <v>3.6902513438907452</v>
      </c>
    </row>
    <row r="51" spans="2:97" outlineLevel="1" x14ac:dyDescent="0.25">
      <c r="B51" s="14" t="s">
        <v>26</v>
      </c>
      <c r="C51" s="14"/>
      <c r="D51" s="16">
        <f>+D50+D49+D48</f>
        <v>13.581852376137512</v>
      </c>
      <c r="E51" s="16"/>
      <c r="F51" s="16">
        <f>+F50+F49+F48</f>
        <v>28.227480282274804</v>
      </c>
      <c r="G51" s="16"/>
      <c r="H51" s="16">
        <f>+H50+H49+H48</f>
        <v>13.213520871143377</v>
      </c>
      <c r="I51" s="16"/>
      <c r="J51" s="16">
        <f>+J50+J49+J48</f>
        <v>11.696075353218209</v>
      </c>
      <c r="K51" s="16"/>
      <c r="L51" s="16">
        <f>+L50+L49+L48</f>
        <v>12.321052631578947</v>
      </c>
      <c r="M51" s="16"/>
      <c r="N51" s="16">
        <f>+N50+N49+N48</f>
        <v>7.6915938347952304</v>
      </c>
      <c r="O51" s="16"/>
      <c r="P51" s="15">
        <f>+P50+P49+P48</f>
        <v>13.139248947609719</v>
      </c>
      <c r="Q51" s="15"/>
      <c r="R51" s="15">
        <f>+R50+R49+R48</f>
        <v>32.632029881316079</v>
      </c>
      <c r="S51" s="15"/>
      <c r="T51" s="15"/>
      <c r="U51" s="15"/>
      <c r="V51" s="15">
        <f>+V50+V49+V48</f>
        <v>8.9960722537282081</v>
      </c>
      <c r="W51" s="15"/>
      <c r="X51" s="15">
        <f>+X50+X49+X48</f>
        <v>14.394595236882754</v>
      </c>
      <c r="Y51" s="15"/>
      <c r="Z51" s="15"/>
      <c r="AA51" s="15"/>
      <c r="AB51" s="15">
        <f>+AB50+AB49+AB48</f>
        <v>20.215034720603999</v>
      </c>
      <c r="AC51" s="15"/>
      <c r="AD51" s="15">
        <f>+AD50+AD49+AD48</f>
        <v>15.979497036681082</v>
      </c>
      <c r="AE51" s="15"/>
      <c r="AF51" s="15">
        <f>+AF50+AF49+AF48</f>
        <v>25.059561602418746</v>
      </c>
      <c r="AG51" s="15"/>
      <c r="AH51" s="15">
        <f>+AH50+AH49+AH48</f>
        <v>7.6527619468670878</v>
      </c>
      <c r="AI51" s="15"/>
      <c r="AJ51" s="15">
        <f>+AJ50+AJ49+AJ48</f>
        <v>14.144108916302969</v>
      </c>
      <c r="AK51" s="15"/>
      <c r="AL51" s="15"/>
      <c r="AM51" s="15"/>
      <c r="AN51" s="15">
        <f>+AN50+AN49+AN48</f>
        <v>19.855070900059346</v>
      </c>
      <c r="AO51" s="15"/>
      <c r="AP51" s="15"/>
      <c r="AQ51" s="15"/>
      <c r="AR51" s="15"/>
      <c r="AS51" s="15">
        <f>+AS50+AS49+AS48</f>
        <v>10.921250970278189</v>
      </c>
      <c r="AT51" s="15"/>
      <c r="AU51" s="15"/>
      <c r="AV51" s="15"/>
      <c r="AW51" s="15">
        <f>+AW50+AW49+AW48</f>
        <v>11.302269827537923</v>
      </c>
      <c r="AX51" s="15"/>
      <c r="AY51" s="15">
        <f>+AY50+AY49+AY48</f>
        <v>13.751753986332576</v>
      </c>
      <c r="AZ51" s="15"/>
      <c r="BA51" s="15">
        <f>+BA50+BA49+BA48</f>
        <v>6.8942917547568712</v>
      </c>
      <c r="BB51" s="15"/>
      <c r="BC51" s="16">
        <f>+BC50+BC49+BC48</f>
        <v>15.420986966306003</v>
      </c>
      <c r="BD51" s="16"/>
      <c r="BE51" s="16">
        <f>+BE50+BE49+BE48</f>
        <v>14.023655591710909</v>
      </c>
      <c r="BF51" s="16"/>
      <c r="BG51" s="16">
        <f>+BG50+BG49+BG48</f>
        <v>15.475472023450298</v>
      </c>
      <c r="BH51" s="16"/>
      <c r="BI51" s="16"/>
      <c r="BK51" s="15">
        <f>+BK50+BK49+BK48</f>
        <v>16.218106995884774</v>
      </c>
      <c r="BL51" s="15"/>
      <c r="BM51" s="15">
        <f>+BM50+BM49+BM48</f>
        <v>14.308959027641638</v>
      </c>
      <c r="BO51" s="15">
        <f>+BO50+BO49+BO48</f>
        <v>18.332876358926807</v>
      </c>
      <c r="BQ51" s="15">
        <f>+BQ50+BQ49+BQ48</f>
        <v>8.6412972969236375</v>
      </c>
      <c r="BR51" s="16"/>
      <c r="BS51" s="15">
        <f>+BS50+BS49+BS48</f>
        <v>13.139248947609719</v>
      </c>
      <c r="BT51" s="15"/>
      <c r="BU51" s="15">
        <f>+BU50+BU49+BU48</f>
        <v>14.226075443897543</v>
      </c>
      <c r="BV51" s="15"/>
      <c r="BW51" s="15">
        <f>+BW50+BW49+BW48</f>
        <v>10.477442211847093</v>
      </c>
      <c r="BX51" s="15"/>
      <c r="BY51" s="15">
        <f>+BY50+BY49+BY48</f>
        <v>13.964107465222471</v>
      </c>
      <c r="BZ51" s="15"/>
      <c r="CA51" s="15">
        <f>+CA50+CA49+CA48</f>
        <v>14.722826782742285</v>
      </c>
      <c r="CB51" s="15"/>
      <c r="CC51" s="15">
        <f>+CC50+CC49+CC48</f>
        <v>13.965626666666669</v>
      </c>
      <c r="CD51" s="15"/>
      <c r="CE51" s="15"/>
      <c r="CF51" s="15"/>
      <c r="CG51" s="15">
        <f>+CG50+CG49+CG48</f>
        <v>16.692916269870338</v>
      </c>
      <c r="CH51" s="15"/>
      <c r="CI51" s="15">
        <f>+CI50+CI49+CI48</f>
        <v>12.525342465753425</v>
      </c>
      <c r="CJ51" s="15"/>
      <c r="CK51" s="15"/>
      <c r="CL51" s="15"/>
      <c r="CM51" s="15">
        <f>+CM50+CM49+CM48</f>
        <v>17.603003783604283</v>
      </c>
      <c r="CN51" s="15"/>
      <c r="CO51" s="15">
        <f>+CO50+CO49+CO48</f>
        <v>14.72226257930166</v>
      </c>
    </row>
    <row r="52" spans="2:97" outlineLevel="1" x14ac:dyDescent="0.25">
      <c r="B52" s="17" t="s">
        <v>262</v>
      </c>
      <c r="C52" s="17"/>
      <c r="D52" s="13">
        <f>(1000.903+326.856+897.287+384.698+1164.8+323.773)/((2637+2148+2781)/6)</f>
        <v>3.2500531324345756</v>
      </c>
      <c r="E52" s="13"/>
      <c r="F52" s="13">
        <f>(38+652+25+357+21+102)/(20+3+34+30)</f>
        <v>13.735632183908047</v>
      </c>
      <c r="G52" s="13"/>
      <c r="H52" s="13">
        <f>+(48.57+91.098+37.508+809.637+569.982+374.134)/(58.572+80.754+131.007)</f>
        <v>7.1427794608871276</v>
      </c>
      <c r="I52" s="13"/>
      <c r="J52" s="13">
        <f>+(933.639+9.968+585.866+21.542+44.602+1.468+53.512+0.92)/(117.938+94.411+10.325+7.692)</f>
        <v>7.16910047489647</v>
      </c>
      <c r="K52" s="13"/>
      <c r="L52" s="13">
        <f>+(132+21+52+2009+2146+1312)/(270+723+580)</f>
        <v>3.6058486967577879</v>
      </c>
      <c r="M52" s="13"/>
      <c r="N52" s="13">
        <f>(844.081+544.809+138.813+61.604+48.02+32.259)/((720.146+1887.153+960.808)/6)</f>
        <v>2.8075155817916899</v>
      </c>
      <c r="O52" s="13"/>
      <c r="P52" s="13">
        <f>+(1588+1050+1021+653+701+449)/(226+174+125)</f>
        <v>10.403809523809525</v>
      </c>
      <c r="Q52" s="13"/>
      <c r="R52" s="44">
        <f>+(1.03+338.203+0.297+274.325+0.176+251.597)/(22.677+14.775-6.587)</f>
        <v>28.045618013931641</v>
      </c>
      <c r="S52" s="13"/>
      <c r="T52" s="13"/>
      <c r="U52" s="13"/>
      <c r="V52" s="48">
        <f>(493.084+1090.281+779.728+145.362+47.575+329.122)/(55.069+13.392+64.758/6+99.98+20.825+109.032/6+143.256+33.152+154.088/6)</f>
        <v>6.8641742290205645</v>
      </c>
      <c r="W52" s="24"/>
      <c r="X52" s="13">
        <f>(7+649+6+544+472+4)/(15.1+0+54.9)</f>
        <v>24.028571428571428</v>
      </c>
      <c r="Y52" s="13"/>
      <c r="Z52" s="13"/>
      <c r="AA52" s="13"/>
      <c r="AB52" s="13">
        <f>(438.7+54.5+454+34.9+407.3+40.1)/(62.525+50.611+66.625)</f>
        <v>7.9522254549095743</v>
      </c>
      <c r="AC52" s="13"/>
      <c r="AD52" s="13">
        <f>+(711.01+0.029+595.854+0.031+155.397+1.673)/(25.244+51.819+35.696)</f>
        <v>12.98338935251288</v>
      </c>
      <c r="AE52" s="13"/>
      <c r="AF52" s="51">
        <f>+AF21/(21)</f>
        <v>18.67138095238095</v>
      </c>
      <c r="AG52" s="13"/>
      <c r="AH52" s="13">
        <f>(23.884+607.79+36.257+560.919+41.333+298.942)/(44.069+34.921+24.94)</f>
        <v>15.097902434330798</v>
      </c>
      <c r="AI52" s="13"/>
      <c r="AJ52" s="13">
        <f>(229.974+467.426+167.213+326.012)/(14.666+54.98)</f>
        <v>17.095382362231859</v>
      </c>
      <c r="AK52" s="13"/>
      <c r="AL52" s="13"/>
      <c r="AM52" s="13"/>
      <c r="AN52" s="13">
        <f>+(923.562+511.905+207.766+53.938+11.6+1.792)/(14.876+51.153+38.358)</f>
        <v>16.386743560021841</v>
      </c>
      <c r="AO52" s="13"/>
      <c r="AP52" s="13"/>
      <c r="AQ52" s="13"/>
      <c r="AR52" s="13"/>
      <c r="AS52" s="13">
        <f>(1762.218+1207.41+495.971)/(159.778+47.998+98.672)</f>
        <v>11.308930063175483</v>
      </c>
      <c r="AT52" s="13"/>
      <c r="AU52" s="13"/>
      <c r="AV52" s="13"/>
      <c r="AW52" s="13">
        <f>+(1.38+2.03+37.68+32.196+50.92+30.027+1.921+2.742+2.298+834.552+1177.526+497.795)/(1394.134/6+3487.519/6+3143.898/6)</f>
        <v>1.9969223296942478</v>
      </c>
      <c r="AX52" s="13"/>
      <c r="AY52" s="13">
        <f>+(1147.6+184.9+675.523+271.502+595.331+118.224)/(9.3+80.4+20.3/6+391.5/6+0.5+29+11.5+79+21.9/6+347.4/6+22.9+7.8+32.3+42.5/6+228.1/6+4.1+18.9)</f>
        <v>6.3549594819349604</v>
      </c>
      <c r="AZ52" s="13"/>
      <c r="BA52" s="13">
        <f>+(1014+1024+433+5+22+17)/((282+8087+1009)/6)</f>
        <v>1.6090850927703135</v>
      </c>
      <c r="BB52" s="13"/>
      <c r="BC52" s="13">
        <f>(0.3+1133.1+32.7+1189.3+13.4+509.2)/(42.6+86.4+76.3)</f>
        <v>14.018509498295176</v>
      </c>
      <c r="BD52" s="13"/>
      <c r="BE52" s="13">
        <f>+(803.143+799.462+518.585+32.911+50.218+45.846)/(76.7+58.32+34.184)</f>
        <v>13.298533131604453</v>
      </c>
      <c r="BF52" s="13"/>
      <c r="BG52" s="13">
        <f>(1350+1048+471+7+5+5)/(110.5+142.7+136.7)</f>
        <v>7.4018979225442427</v>
      </c>
      <c r="BH52" s="13"/>
      <c r="BI52" s="13"/>
      <c r="BK52" s="13">
        <f>(3753+569+979+2608+831+2117)/(149+222+113+40+114+164)</f>
        <v>13.537406483790523</v>
      </c>
      <c r="BL52" s="13"/>
      <c r="BM52" s="13">
        <f>(940+2381+891+1807+470+950)/(103.204+229.977+302.509)</f>
        <v>11.702244804857713</v>
      </c>
      <c r="BO52" s="51">
        <f>+(211+887)/179</f>
        <v>6.1340782122905031</v>
      </c>
      <c r="BQ52" s="13">
        <f>(6.341+1487.453+11.804+1140.548+5.814+672.842)/(158.512+156.786+53.998)</f>
        <v>9.0030815389281216</v>
      </c>
      <c r="BR52" s="13"/>
      <c r="BS52" s="13">
        <f>+(1588+1050+1021+653+701+449)/(226+174+125)</f>
        <v>10.403809523809525</v>
      </c>
      <c r="BT52" s="13"/>
      <c r="BU52" s="13">
        <f>+(975+5226+823+3579+1451+2166)/(16+194+6+523+2+414)</f>
        <v>12.311688311688311</v>
      </c>
      <c r="BV52" s="13"/>
      <c r="BW52" s="13">
        <f>(81.015+2478.327+123.461+1695.954+182.355+767.148)/(249.43+240.206+565.03)</f>
        <v>5.0520828394961059</v>
      </c>
      <c r="BX52" s="13"/>
      <c r="BY52" s="13">
        <f>+(1961+3+1779+5+14+1115)/(275.7+303.1+476.2)</f>
        <v>4.6227488151658767</v>
      </c>
      <c r="BZ52" s="13"/>
      <c r="CA52" s="13">
        <f>(764+1786+677+1261+360+929)/(243+237+126)</f>
        <v>9.5330033003300336</v>
      </c>
      <c r="CB52" s="13"/>
      <c r="CC52" s="13">
        <f>+(193.628+5615.029+223.599+3716.687+165.751+2313.876)/(208.963+420.798+669.75)</f>
        <v>9.4101319650237674</v>
      </c>
      <c r="CD52" s="13"/>
      <c r="CE52" s="13"/>
      <c r="CF52" s="13"/>
      <c r="CG52" s="13">
        <f>+(2446+245+167+1454+63+1190)/(234.5+31.2+219.6+2.2+14.7)</f>
        <v>11.081242532855438</v>
      </c>
      <c r="CH52" s="13"/>
      <c r="CI52" s="13">
        <f>(921+1204+923+999+539+666)/(60+116+102)</f>
        <v>18.892086330935253</v>
      </c>
      <c r="CJ52" s="13"/>
      <c r="CK52" s="13"/>
      <c r="CL52" s="13"/>
      <c r="CM52" s="13">
        <f>+(282+4288+256+2720+71+2162)/(2+5+7+185+201+294)</f>
        <v>14.090778097982708</v>
      </c>
      <c r="CN52" s="13"/>
      <c r="CO52" s="13">
        <f>+(2654+949+2033+628+1454+509)/(264.859+240.591+162.269)</f>
        <v>12.321051220648206</v>
      </c>
    </row>
    <row r="53" spans="2:97" outlineLevel="1" x14ac:dyDescent="0.25">
      <c r="B53" s="14" t="s">
        <v>29</v>
      </c>
      <c r="C53" s="14"/>
      <c r="D53" s="15">
        <f>+D52+D51</f>
        <v>16.831905508572088</v>
      </c>
      <c r="E53" s="15"/>
      <c r="F53" s="15">
        <f>+F52+F51</f>
        <v>41.963112466182849</v>
      </c>
      <c r="G53" s="15"/>
      <c r="H53" s="15">
        <f>+H52+H51</f>
        <v>20.356300332030504</v>
      </c>
      <c r="I53" s="15"/>
      <c r="J53" s="15">
        <f>+J52+J51</f>
        <v>18.86517582811468</v>
      </c>
      <c r="K53" s="15"/>
      <c r="L53" s="15">
        <f>+L52+L51</f>
        <v>15.926901328336735</v>
      </c>
      <c r="M53" s="15"/>
      <c r="N53" s="15">
        <f>+N52+N51</f>
        <v>10.49910941658692</v>
      </c>
      <c r="O53" s="15"/>
      <c r="P53" s="16">
        <f>+P52+P51</f>
        <v>23.543058471419243</v>
      </c>
      <c r="Q53" s="16"/>
      <c r="R53" s="16">
        <f>+R52+R51</f>
        <v>60.677647895247716</v>
      </c>
      <c r="S53" s="16"/>
      <c r="T53" s="16"/>
      <c r="U53" s="16"/>
      <c r="V53" s="16">
        <f>+V52+V51</f>
        <v>15.860246482748773</v>
      </c>
      <c r="W53" s="16"/>
      <c r="X53" s="16">
        <f>+X52+X51</f>
        <v>38.423166665454183</v>
      </c>
      <c r="Y53" s="16"/>
      <c r="Z53" s="16"/>
      <c r="AA53" s="16"/>
      <c r="AB53" s="16">
        <f>+AB52+AB51</f>
        <v>28.167260175513572</v>
      </c>
      <c r="AC53" s="16"/>
      <c r="AD53" s="16">
        <f>+AD52+AD51</f>
        <v>28.962886389193962</v>
      </c>
      <c r="AE53" s="16"/>
      <c r="AF53" s="16">
        <f>+AF52+AF51</f>
        <v>43.730942554799697</v>
      </c>
      <c r="AG53" s="16"/>
      <c r="AH53" s="16">
        <f>+AH52+AH51</f>
        <v>22.750664381197886</v>
      </c>
      <c r="AI53" s="16"/>
      <c r="AJ53" s="16">
        <f>+AJ52+AJ51</f>
        <v>31.239491278534828</v>
      </c>
      <c r="AK53" s="16"/>
      <c r="AL53" s="16"/>
      <c r="AM53" s="16"/>
      <c r="AN53" s="16">
        <f>+AN52+AN51</f>
        <v>36.241814460081187</v>
      </c>
      <c r="AO53" s="16"/>
      <c r="AP53" s="16"/>
      <c r="AQ53" s="16"/>
      <c r="AR53" s="16"/>
      <c r="AS53" s="16">
        <f>+AS52+AS51</f>
        <v>22.230181033453672</v>
      </c>
      <c r="AT53" s="16"/>
      <c r="AU53" s="16"/>
      <c r="AV53" s="16"/>
      <c r="AW53" s="16">
        <f>+AW52+AW51</f>
        <v>13.299192157232172</v>
      </c>
      <c r="AX53" s="16"/>
      <c r="AY53" s="16">
        <f>+AY52+AY51</f>
        <v>20.106713468267536</v>
      </c>
      <c r="AZ53" s="16"/>
      <c r="BA53" s="16">
        <f t="shared" ref="BA53" si="0">+BA52+BA51</f>
        <v>8.5033768475271856</v>
      </c>
      <c r="BB53" s="16"/>
      <c r="BC53" s="16">
        <f>+BC52+BC51</f>
        <v>29.439496464601177</v>
      </c>
      <c r="BD53" s="16"/>
      <c r="BE53" s="16">
        <f>+BE52+BE51</f>
        <v>27.322188723315364</v>
      </c>
      <c r="BF53" s="16"/>
      <c r="BG53" s="16">
        <f>+BG52+BG51</f>
        <v>22.877369945994541</v>
      </c>
      <c r="BH53" s="16"/>
      <c r="BI53" s="16"/>
      <c r="BK53" s="16">
        <f>+BK52+BK51</f>
        <v>29.755513479675297</v>
      </c>
      <c r="BL53" s="16"/>
      <c r="BM53" s="16">
        <f>+BM52+BM51</f>
        <v>26.011203832499351</v>
      </c>
      <c r="BO53" s="16">
        <f>+BO52+BO51</f>
        <v>24.466954571217311</v>
      </c>
      <c r="BQ53" s="16">
        <f>+BQ52+BQ51</f>
        <v>17.644378835851761</v>
      </c>
      <c r="BR53" s="15"/>
      <c r="BS53" s="16">
        <f>+BS52+BS51</f>
        <v>23.543058471419243</v>
      </c>
      <c r="BT53" s="16"/>
      <c r="BU53" s="16">
        <f>+BU52+BU51</f>
        <v>26.537763755585853</v>
      </c>
      <c r="BV53" s="16"/>
      <c r="BW53" s="16">
        <f>+BW52+BW51</f>
        <v>15.529525051343199</v>
      </c>
      <c r="BX53" s="16"/>
      <c r="BY53" s="16">
        <f>+BY52+BY51</f>
        <v>18.586856280388346</v>
      </c>
      <c r="BZ53" s="16"/>
      <c r="CA53" s="16">
        <f>+CA52+CA51</f>
        <v>24.255830083072318</v>
      </c>
      <c r="CB53" s="16"/>
      <c r="CC53" s="16">
        <f>+CC52+CC51</f>
        <v>23.375758631690438</v>
      </c>
      <c r="CD53" s="16"/>
      <c r="CE53" s="16"/>
      <c r="CF53" s="16"/>
      <c r="CG53" s="16">
        <f>+CG52+CG51</f>
        <v>27.774158802725776</v>
      </c>
      <c r="CH53" s="16"/>
      <c r="CI53" s="16">
        <f>+CI52+CI51</f>
        <v>31.417428796688679</v>
      </c>
      <c r="CJ53" s="16"/>
      <c r="CK53" s="16"/>
      <c r="CL53" s="16"/>
      <c r="CM53" s="16">
        <f>+CM52+CM51</f>
        <v>31.693781881586993</v>
      </c>
      <c r="CN53" s="16"/>
      <c r="CO53" s="16">
        <f>+CO52+CO51</f>
        <v>27.043313799949864</v>
      </c>
    </row>
    <row r="54" spans="2:97" outlineLevel="1" x14ac:dyDescent="0.25">
      <c r="B54" t="s">
        <v>328</v>
      </c>
      <c r="D54" s="9">
        <f t="shared" ref="D54:P54" si="1">+(D57-(D22/D40))/D52</f>
        <v>2.209696160826073</v>
      </c>
      <c r="E54" s="9"/>
      <c r="F54" s="9">
        <f t="shared" si="1"/>
        <v>1.0547267829322051</v>
      </c>
      <c r="G54" s="9"/>
      <c r="H54" s="9">
        <f t="shared" ref="H54:N54" si="2">+(H57-(H22/H40))/H52</f>
        <v>3.8865921777950811</v>
      </c>
      <c r="I54" s="9"/>
      <c r="J54" s="9">
        <f t="shared" si="2"/>
        <v>3.7893555208712506</v>
      </c>
      <c r="K54" s="9"/>
      <c r="L54" s="9">
        <f t="shared" si="2"/>
        <v>2.8112222552149055</v>
      </c>
      <c r="M54" s="9"/>
      <c r="N54" s="9">
        <f t="shared" si="2"/>
        <v>3.8274136999887918</v>
      </c>
      <c r="O54" s="9"/>
      <c r="P54" s="5">
        <f t="shared" si="1"/>
        <v>2.5579023162849448</v>
      </c>
      <c r="Q54" s="5"/>
      <c r="R54" s="5">
        <f t="shared" ref="R54" si="3">+(R57-(R22/R40))/R52</f>
        <v>0.55368574558973183</v>
      </c>
      <c r="S54" s="5"/>
      <c r="T54" s="5"/>
      <c r="U54" s="5"/>
      <c r="V54" s="5">
        <f t="shared" ref="V54:X54" si="4">+(V57-(V22/V40))/V52</f>
        <v>4.8616364327729293</v>
      </c>
      <c r="W54" s="5"/>
      <c r="X54" s="5">
        <f t="shared" si="4"/>
        <v>0.64144806921810005</v>
      </c>
      <c r="Y54" s="5"/>
      <c r="Z54" s="5"/>
      <c r="AA54" s="5"/>
      <c r="AB54" s="5">
        <f t="shared" ref="AB54" si="5">+(AB57-(AB22/AB40))/AB52</f>
        <v>3.0677268603435919</v>
      </c>
      <c r="AC54" s="5"/>
      <c r="AD54" s="5">
        <f t="shared" ref="AD54:AF54" si="6">+(AD57-(AD22/AD40))/AD52</f>
        <v>2.2020275120754427</v>
      </c>
      <c r="AE54" s="5"/>
      <c r="AF54" s="5">
        <f t="shared" si="6"/>
        <v>0.93704744812764373</v>
      </c>
      <c r="AG54" s="5"/>
      <c r="AH54" s="5">
        <f t="shared" ref="AH54:AJ54" si="7">+(AH57-(AH22/AH40))/AH52</f>
        <v>1.5141414918720595</v>
      </c>
      <c r="AI54" s="5"/>
      <c r="AJ54" s="5">
        <f t="shared" si="7"/>
        <v>1.6111923171363458</v>
      </c>
      <c r="AK54" s="5"/>
      <c r="AL54" s="5"/>
      <c r="AM54" s="5"/>
      <c r="AN54" s="5">
        <f t="shared" ref="AN54" si="8">+(AN57-(AN22/AN40))/AN52</f>
        <v>1.5458026671510074</v>
      </c>
      <c r="AO54" s="5"/>
      <c r="AP54" s="5"/>
      <c r="AQ54" s="5"/>
      <c r="AR54" s="5"/>
      <c r="AS54" s="5">
        <f t="shared" ref="AS54" si="9">+(AS57-(AS22/AS40))/AS52</f>
        <v>2.6757025891172059</v>
      </c>
      <c r="AT54" s="5"/>
      <c r="AU54" s="5"/>
      <c r="AV54" s="5"/>
      <c r="AW54" s="5">
        <f t="shared" ref="AW54" si="10">+(AW57-(AW22/AW40))/AW52</f>
        <v>3.6913899250605606</v>
      </c>
      <c r="AX54" s="5"/>
      <c r="AY54" s="5">
        <f t="shared" ref="AY54:BC54" si="11">+(AY57-(AY22/AY40))/AY52</f>
        <v>2.6880625316910458</v>
      </c>
      <c r="AZ54" s="5"/>
      <c r="BA54" s="5">
        <f t="shared" ref="BA54" si="12">+(BA57-(BA22/BA40))/BA52</f>
        <v>5.2345478923499194</v>
      </c>
      <c r="BB54" s="5"/>
      <c r="BC54" s="4">
        <f t="shared" si="11"/>
        <v>1.1525915313285129</v>
      </c>
      <c r="BD54" s="4"/>
      <c r="BE54" s="4">
        <f t="shared" ref="BE54" si="13">+(BE57-(BE22/BE40))/BE52</f>
        <v>1.676639069265156</v>
      </c>
      <c r="BF54" s="4"/>
      <c r="BG54" s="4">
        <f t="shared" ref="BG54" si="14">+(BG57-(BG22/BG40))/BG52</f>
        <v>2.3411671269245202</v>
      </c>
      <c r="BH54" s="4"/>
      <c r="BI54" s="4"/>
      <c r="BK54" s="9">
        <f>+(BK57-(BK22/BK40))/BK52</f>
        <v>2.0452398198655093</v>
      </c>
      <c r="BL54" s="9"/>
      <c r="BM54" s="9">
        <f>+(BM57-(BM22/BM40))/BM52</f>
        <v>2.2163346772398782</v>
      </c>
      <c r="BO54" s="9">
        <f>+(BO57-(BO22/BO40))/BO52</f>
        <v>0.64494019196529206</v>
      </c>
      <c r="BQ54" s="9">
        <f>+(BQ57-(BQ22/BQ40))/BQ52</f>
        <v>2.1582172263448793</v>
      </c>
      <c r="BR54" s="9"/>
      <c r="BS54" s="5">
        <f t="shared" ref="BS54" si="15">+(BS57-(BS22/BS40))/BS52</f>
        <v>2.5579023162849448</v>
      </c>
      <c r="BT54" s="9"/>
      <c r="BU54" s="9">
        <f>+(BU57-(BU22/BU40))/BU52</f>
        <v>2.9548163836825596</v>
      </c>
      <c r="BV54" s="9"/>
      <c r="BW54" s="9">
        <f>+(BW57-(BW22/BW40))/BW52</f>
        <v>5.9345194777309018</v>
      </c>
      <c r="BX54" s="9"/>
      <c r="BY54" s="9">
        <f>+(BY57-(BY22/BY40))/BY52</f>
        <v>3.4916501419685884</v>
      </c>
      <c r="BZ54" s="9"/>
      <c r="CA54" s="9">
        <f>+(CA57-(CA22/CA40))/CA52</f>
        <v>1.219946384803684</v>
      </c>
      <c r="CB54" s="9"/>
      <c r="CC54" s="9">
        <f>+(CC57-(CC22/CC40))/CC52</f>
        <v>3.1954205993681368</v>
      </c>
      <c r="CD54" s="9"/>
      <c r="CE54" s="9"/>
      <c r="CF54" s="9"/>
      <c r="CG54" s="9">
        <f>+(CG57-(CG22/CG40))/CG52</f>
        <v>1.5353337462713645</v>
      </c>
      <c r="CH54" s="9"/>
      <c r="CI54" s="9">
        <f>+(CI57-(CI22/CI40))/CI52</f>
        <v>1.30927474465044</v>
      </c>
      <c r="CJ54" s="9"/>
      <c r="CK54" s="9"/>
      <c r="CL54" s="9"/>
      <c r="CM54" s="9">
        <f>+(CM57-(CM22/CM40))/CM52</f>
        <v>1.7210322254379911</v>
      </c>
      <c r="CN54" s="9"/>
      <c r="CO54" s="9">
        <f>+(CO57-(CO22/CO40))/CO52</f>
        <v>2.5776540220848414</v>
      </c>
    </row>
    <row r="55" spans="2:97" outlineLevel="1" x14ac:dyDescent="0.25">
      <c r="B55" t="s">
        <v>23</v>
      </c>
    </row>
    <row r="56" spans="2:97" outlineLevel="1" x14ac:dyDescent="0.25">
      <c r="B56" t="s">
        <v>30</v>
      </c>
      <c r="D56" s="9">
        <f>+D10/D40</f>
        <v>22.128357937310412</v>
      </c>
      <c r="E56" s="9"/>
      <c r="F56" s="9">
        <f>+F10/F40</f>
        <v>50.581154005811541</v>
      </c>
      <c r="G56" s="9"/>
      <c r="H56" s="9">
        <f>+H10/H40</f>
        <v>43.689927404718695</v>
      </c>
      <c r="I56" s="9"/>
      <c r="J56" s="9">
        <f>+J10/J40</f>
        <v>39.966135904911411</v>
      </c>
      <c r="K56" s="9"/>
      <c r="L56" s="9">
        <f>+L10/L40</f>
        <v>25.021052631578947</v>
      </c>
      <c r="M56" s="9"/>
      <c r="N56" s="9">
        <f>+N10/N40</f>
        <v>20.064866378494354</v>
      </c>
      <c r="O56" s="9"/>
      <c r="P56" s="9">
        <f>+P10/P40</f>
        <v>40.980702704955611</v>
      </c>
      <c r="Q56" s="9"/>
      <c r="R56" s="9">
        <f>+R10/R40</f>
        <v>56.634338223425637</v>
      </c>
      <c r="S56" s="9"/>
      <c r="T56" s="9"/>
      <c r="U56" s="9"/>
      <c r="V56" s="9">
        <f>+V10/V40</f>
        <v>44.200336063852127</v>
      </c>
      <c r="W56" s="9"/>
      <c r="X56" s="9">
        <f>+X10/X40</f>
        <v>41.248663237765442</v>
      </c>
      <c r="Y56" s="9"/>
      <c r="Z56" s="9"/>
      <c r="AA56" s="9"/>
      <c r="AB56" s="9">
        <f>+AB10/AB40</f>
        <v>46.661928508179152</v>
      </c>
      <c r="AC56" s="9"/>
      <c r="AD56" s="9">
        <f>+AD10/AD40</f>
        <v>46.583693736985424</v>
      </c>
      <c r="AE56" s="9"/>
      <c r="AF56" s="9">
        <f>+AF10/AF40</f>
        <v>48.036948748510142</v>
      </c>
      <c r="AG56" s="9"/>
      <c r="AH56" s="9">
        <f>+AH10/AH40</f>
        <v>32.84036011414333</v>
      </c>
      <c r="AI56" s="9"/>
      <c r="AJ56" s="9">
        <f>+AJ10/AJ40</f>
        <v>43.860108310838648</v>
      </c>
      <c r="AK56" s="9"/>
      <c r="AL56" s="9"/>
      <c r="AM56" s="9"/>
      <c r="AN56" s="9">
        <f>+AN10/AN40</f>
        <v>50.467164371112119</v>
      </c>
      <c r="AO56" s="9"/>
      <c r="AP56" s="9"/>
      <c r="AQ56" s="9"/>
      <c r="AR56" s="9"/>
      <c r="AS56" s="9">
        <f>+AS10/AS40</f>
        <v>44.472268823396853</v>
      </c>
      <c r="AT56" s="9"/>
      <c r="AU56" s="9"/>
      <c r="AV56" s="9"/>
      <c r="AW56" s="9">
        <f>+AW10/AW40</f>
        <v>20.211993303168558</v>
      </c>
      <c r="AX56" s="9"/>
      <c r="AY56" s="9">
        <f>+AY10/AY40</f>
        <v>34.267699316628708</v>
      </c>
      <c r="AZ56" s="9"/>
      <c r="BA56" s="9">
        <f>+BA10/BA40</f>
        <v>16.103594080338269</v>
      </c>
      <c r="BB56" s="9"/>
      <c r="BC56" s="9">
        <f>+BC10/BC40</f>
        <v>34.218508655383268</v>
      </c>
      <c r="BD56" s="9"/>
      <c r="BE56" s="9">
        <f>+BE10/BE40</f>
        <v>39.890756122623735</v>
      </c>
      <c r="BF56" s="9"/>
      <c r="BG56" s="9">
        <f>+BG10/BG40</f>
        <v>36.317786016035868</v>
      </c>
      <c r="BH56" s="9"/>
      <c r="BI56" s="9"/>
      <c r="BK56" s="4">
        <f>+BK10/BK40</f>
        <v>47.802469135802468</v>
      </c>
      <c r="BL56" s="4"/>
      <c r="BM56" s="4">
        <f>+BM10/BM40</f>
        <v>42.609292295628308</v>
      </c>
      <c r="BO56" s="9">
        <f>35.74-9.9</f>
        <v>25.840000000000003</v>
      </c>
      <c r="BQ56" s="9">
        <f>+BQ10/BQ40</f>
        <v>28.65663115142533</v>
      </c>
      <c r="BR56" s="9"/>
      <c r="BS56" s="9">
        <f>+BS10/BS40</f>
        <v>40.980702704955611</v>
      </c>
      <c r="BT56" s="9"/>
      <c r="BU56" s="9">
        <f>+BU10/BU40</f>
        <v>52.174377262195833</v>
      </c>
      <c r="BV56" s="9"/>
      <c r="BW56" s="9">
        <f>+BW10/BW40</f>
        <v>43.151461305125395</v>
      </c>
      <c r="BX56" s="9"/>
      <c r="BY56" s="9">
        <f>+BY10/BY40</f>
        <v>32.767487370864245</v>
      </c>
      <c r="BZ56" s="9"/>
      <c r="CA56" s="9">
        <f>+CA10/CA40</f>
        <v>29.082063756241197</v>
      </c>
      <c r="CB56" s="9"/>
      <c r="CC56" s="9">
        <f>+CC10/CC40</f>
        <v>44.968487619047607</v>
      </c>
      <c r="CD56" s="9"/>
      <c r="CE56" s="9"/>
      <c r="CF56" s="9"/>
      <c r="CG56" s="9">
        <f>3995/CG40</f>
        <v>36.581569115815689</v>
      </c>
      <c r="CH56" s="9"/>
      <c r="CI56" s="9">
        <f>+CI10/CI40</f>
        <v>39.021526418786699</v>
      </c>
      <c r="CJ56" s="9"/>
      <c r="CK56" s="9"/>
      <c r="CL56" s="9"/>
      <c r="CM56" s="9">
        <f>10441/CM40</f>
        <v>43.473373027438903</v>
      </c>
      <c r="CN56" s="9"/>
      <c r="CO56" s="9">
        <f>+CO10/CO40</f>
        <v>47.702067896750442</v>
      </c>
    </row>
    <row r="57" spans="2:97" outlineLevel="1" x14ac:dyDescent="0.25">
      <c r="B57" t="s">
        <v>31</v>
      </c>
      <c r="D57" s="9">
        <f>+D56-D51</f>
        <v>8.5465055611728999</v>
      </c>
      <c r="E57" s="9"/>
      <c r="F57" s="9">
        <f>+F56-F51</f>
        <v>22.353673723536737</v>
      </c>
      <c r="G57" s="9"/>
      <c r="H57" s="9">
        <f>+H56-H51</f>
        <v>30.476406533575318</v>
      </c>
      <c r="I57" s="9"/>
      <c r="J57" s="9">
        <f>+J56-J51</f>
        <v>28.270060551693202</v>
      </c>
      <c r="K57" s="9"/>
      <c r="L57" s="9">
        <f>+L56-L51</f>
        <v>12.7</v>
      </c>
      <c r="M57" s="9"/>
      <c r="N57" s="9">
        <f>+N56-N51</f>
        <v>12.373272543699123</v>
      </c>
      <c r="O57" s="9"/>
      <c r="P57" s="9">
        <f>+P56-P51</f>
        <v>27.841453757345892</v>
      </c>
      <c r="Q57" s="9"/>
      <c r="R57" s="9">
        <f>+R56-R51</f>
        <v>24.002308342109558</v>
      </c>
      <c r="S57" s="9"/>
      <c r="T57" s="9"/>
      <c r="U57" s="9"/>
      <c r="V57" s="9">
        <f>+V56-V51</f>
        <v>35.204263810123919</v>
      </c>
      <c r="W57" s="9"/>
      <c r="X57" s="9">
        <f>+X56-X51</f>
        <v>26.854068000882688</v>
      </c>
      <c r="Y57" s="9"/>
      <c r="Z57" s="9"/>
      <c r="AA57" s="9"/>
      <c r="AB57" s="9">
        <f>+AB56-AB51</f>
        <v>26.446893787575153</v>
      </c>
      <c r="AC57" s="9"/>
      <c r="AD57" s="9">
        <f>+AD56-AD51</f>
        <v>30.604196700304342</v>
      </c>
      <c r="AE57" s="9"/>
      <c r="AF57" s="9">
        <f>+AF56-AF51</f>
        <v>22.977387146091395</v>
      </c>
      <c r="AG57" s="9"/>
      <c r="AH57" s="9">
        <f>+AH56-AH51</f>
        <v>25.187598167276242</v>
      </c>
      <c r="AI57" s="9"/>
      <c r="AJ57" s="9">
        <f>+AJ56-AJ51</f>
        <v>29.715999394535679</v>
      </c>
      <c r="AK57" s="9"/>
      <c r="AL57" s="9"/>
      <c r="AM57" s="9"/>
      <c r="AN57" s="9">
        <f>+AN56-AN51</f>
        <v>30.612093471052773</v>
      </c>
      <c r="AO57" s="9"/>
      <c r="AP57" s="9"/>
      <c r="AQ57" s="9"/>
      <c r="AR57" s="9"/>
      <c r="AS57" s="9">
        <f>+AS56-AS51</f>
        <v>33.551017853118665</v>
      </c>
      <c r="AT57" s="9"/>
      <c r="AU57" s="9"/>
      <c r="AV57" s="9"/>
      <c r="AW57" s="9">
        <f>+AW56-AW51</f>
        <v>8.9097234756306349</v>
      </c>
      <c r="AX57" s="9"/>
      <c r="AY57" s="9">
        <f>+AY56-AY51</f>
        <v>20.515945330296134</v>
      </c>
      <c r="AZ57" s="9"/>
      <c r="BA57" s="9">
        <f>+BA56-BA51</f>
        <v>9.2093023255813975</v>
      </c>
      <c r="BB57" s="9"/>
      <c r="BC57" s="9">
        <f>+BC56-BC51</f>
        <v>18.797521689077264</v>
      </c>
      <c r="BD57" s="9"/>
      <c r="BE57" s="9">
        <f>+BE56-BE51</f>
        <v>25.867100530912825</v>
      </c>
      <c r="BF57" s="9"/>
      <c r="BG57" s="9">
        <f>+BG56-BG51</f>
        <v>20.84231399258557</v>
      </c>
      <c r="BH57" s="9"/>
      <c r="BI57" s="9"/>
      <c r="BK57" s="4">
        <f>+BK56-BK51</f>
        <v>31.584362139917694</v>
      </c>
      <c r="BL57" s="4"/>
      <c r="BM57" s="4">
        <f>+BM56-BM51</f>
        <v>28.300333267986669</v>
      </c>
      <c r="BO57" s="9">
        <f>+BO56-BO51</f>
        <v>7.5071236410731963</v>
      </c>
      <c r="BQ57" s="9">
        <f>+BQ56-BQ51</f>
        <v>20.015333854501691</v>
      </c>
      <c r="BR57" s="9"/>
      <c r="BS57" s="9">
        <f>+BS56-BS51</f>
        <v>27.841453757345892</v>
      </c>
      <c r="BT57" s="9"/>
      <c r="BU57" s="9">
        <f>+BU56-BU51</f>
        <v>37.94830181829829</v>
      </c>
      <c r="BV57" s="9"/>
      <c r="BW57" s="9">
        <f>+BW56-BW51</f>
        <v>32.674019093278304</v>
      </c>
      <c r="BX57" s="9"/>
      <c r="BY57" s="9">
        <f>+BY56-BY51</f>
        <v>18.803379905641776</v>
      </c>
      <c r="BZ57" s="9"/>
      <c r="CA57" s="9">
        <f>+CA56-CA51</f>
        <v>14.359236973498913</v>
      </c>
      <c r="CB57" s="9"/>
      <c r="CC57" s="9">
        <f>+CC56-CC51</f>
        <v>31.002860952380939</v>
      </c>
      <c r="CD57" s="9"/>
      <c r="CE57" s="9"/>
      <c r="CF57" s="9"/>
      <c r="CG57" s="9">
        <f>+CG56-CG51</f>
        <v>19.888652845945352</v>
      </c>
      <c r="CH57" s="9"/>
      <c r="CI57" s="9">
        <f>+CI56-CI51</f>
        <v>26.496183953033274</v>
      </c>
      <c r="CJ57" s="9"/>
      <c r="CK57" s="9"/>
      <c r="CL57" s="9"/>
      <c r="CM57" s="9">
        <f>+CM56-CM51</f>
        <v>25.87036924383462</v>
      </c>
      <c r="CN57" s="9"/>
      <c r="CO57" s="9">
        <f>+CO56-CO51</f>
        <v>32.979805317448779</v>
      </c>
    </row>
    <row r="58" spans="2:97" outlineLevel="1" x14ac:dyDescent="0.25">
      <c r="B58" t="s">
        <v>23</v>
      </c>
      <c r="AY58" s="8"/>
      <c r="BA58" s="8"/>
    </row>
    <row r="59" spans="2:97" outlineLevel="1" x14ac:dyDescent="0.25"/>
    <row r="60" spans="2:97" outlineLevel="1" x14ac:dyDescent="0.25">
      <c r="B60" s="12" t="s">
        <v>32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</row>
    <row r="61" spans="2:97" outlineLevel="1" x14ac:dyDescent="0.25">
      <c r="B61" t="s">
        <v>33</v>
      </c>
      <c r="D61" s="8">
        <f>18011/6</f>
        <v>3001.8333333333335</v>
      </c>
      <c r="E61" s="8"/>
      <c r="F61" s="8">
        <v>712</v>
      </c>
      <c r="G61" s="8"/>
      <c r="H61" s="7">
        <v>329.4</v>
      </c>
      <c r="I61" s="7"/>
      <c r="J61" s="7">
        <v>261.82600000000002</v>
      </c>
      <c r="K61" s="7"/>
      <c r="L61" s="7">
        <v>1448</v>
      </c>
      <c r="M61" s="7"/>
      <c r="N61" s="7">
        <f>7881.335/6</f>
        <v>1313.5558333333333</v>
      </c>
      <c r="O61" s="7"/>
      <c r="P61" s="7">
        <v>1187</v>
      </c>
      <c r="Q61" s="7"/>
      <c r="R61" s="7">
        <v>262.20999999999998</v>
      </c>
      <c r="S61" s="7"/>
      <c r="T61" s="7"/>
      <c r="U61" s="7"/>
      <c r="V61" s="7">
        <v>992.00099999999998</v>
      </c>
      <c r="W61" s="7"/>
      <c r="X61" s="7">
        <v>325</v>
      </c>
      <c r="Y61" s="7"/>
      <c r="Z61" s="7"/>
      <c r="AA61" s="7"/>
      <c r="AB61" s="7">
        <v>644.995</v>
      </c>
      <c r="AC61" s="7"/>
      <c r="AD61" s="7">
        <v>118.89</v>
      </c>
      <c r="AE61" s="7"/>
      <c r="AF61" s="7">
        <v>167</v>
      </c>
      <c r="AG61" s="7"/>
      <c r="AH61" s="7">
        <v>238.167</v>
      </c>
      <c r="AI61" s="7"/>
      <c r="AJ61" s="7">
        <v>215.31299999999999</v>
      </c>
      <c r="AK61" s="7"/>
      <c r="AL61" s="7"/>
      <c r="AM61" s="7"/>
      <c r="AN61" s="7">
        <v>320.5</v>
      </c>
      <c r="AO61" s="7"/>
      <c r="AP61" s="7"/>
      <c r="AQ61" s="7"/>
      <c r="AR61" s="7"/>
      <c r="AS61" s="7">
        <v>521.70000000000005</v>
      </c>
      <c r="AT61" s="7"/>
      <c r="AU61" s="7">
        <v>544.9</v>
      </c>
      <c r="AV61" s="7"/>
      <c r="AW61" s="7">
        <f>18072/6</f>
        <v>3012</v>
      </c>
      <c r="AX61" s="7"/>
      <c r="AY61" s="7">
        <v>503.4</v>
      </c>
      <c r="AZ61" s="7"/>
      <c r="BA61" s="7">
        <f>11921/6</f>
        <v>1986.8333333333333</v>
      </c>
      <c r="BB61" s="7"/>
      <c r="BC61" s="7">
        <v>658.2</v>
      </c>
      <c r="BD61" s="7"/>
      <c r="BE61" s="7">
        <v>520.1</v>
      </c>
      <c r="BF61" s="7"/>
      <c r="BG61" s="7">
        <v>479.29500000000002</v>
      </c>
      <c r="BH61" s="7"/>
      <c r="BK61" s="7">
        <v>1473</v>
      </c>
      <c r="BL61" s="7"/>
      <c r="BM61" s="7">
        <v>1234</v>
      </c>
      <c r="BN61" s="7"/>
      <c r="BO61" s="7">
        <v>5167</v>
      </c>
      <c r="BP61" s="7"/>
      <c r="BQ61" s="7">
        <v>591.19500000000005</v>
      </c>
      <c r="BR61" s="7"/>
      <c r="BS61" s="7">
        <v>1187</v>
      </c>
      <c r="BT61" s="7"/>
      <c r="BU61" s="7">
        <v>4383</v>
      </c>
      <c r="BV61" s="7"/>
      <c r="BW61" s="7">
        <v>1522.365</v>
      </c>
      <c r="BX61" s="7"/>
      <c r="BY61" s="7">
        <v>1215.7</v>
      </c>
      <c r="BZ61" s="7"/>
      <c r="CA61" s="7">
        <v>1927</v>
      </c>
      <c r="CB61" s="7"/>
      <c r="CC61" s="7">
        <v>2927.846</v>
      </c>
      <c r="CD61" s="7"/>
      <c r="CE61" s="7"/>
      <c r="CF61" s="7"/>
      <c r="CG61" s="7">
        <v>1222.5999999999999</v>
      </c>
      <c r="CH61" s="7"/>
      <c r="CI61" s="7">
        <v>1281</v>
      </c>
      <c r="CJ61" s="7"/>
      <c r="CK61" s="7"/>
      <c r="CL61" s="7"/>
      <c r="CM61" s="7">
        <v>2752</v>
      </c>
      <c r="CN61" s="7"/>
      <c r="CO61">
        <v>1049.02</v>
      </c>
    </row>
    <row r="62" spans="2:97" outlineLevel="1" x14ac:dyDescent="0.25">
      <c r="B62" t="s">
        <v>23</v>
      </c>
    </row>
    <row r="63" spans="2:97" outlineLevel="1" x14ac:dyDescent="0.25">
      <c r="B63" t="s">
        <v>22</v>
      </c>
      <c r="D63" s="11">
        <v>0.37</v>
      </c>
      <c r="E63" s="11"/>
      <c r="F63" s="11">
        <f>+(530+60)/F61</f>
        <v>0.8286516853932584</v>
      </c>
      <c r="G63" s="11"/>
      <c r="H63" s="11">
        <v>0.76</v>
      </c>
      <c r="I63" s="11"/>
      <c r="J63" s="11">
        <f>+(142.766+51.918)/J61</f>
        <v>0.74356251861923561</v>
      </c>
      <c r="K63" s="11"/>
      <c r="L63" s="11">
        <f>+(215.5+103.3)/L61</f>
        <v>0.2201657458563536</v>
      </c>
      <c r="M63" s="11"/>
      <c r="N63" s="11"/>
      <c r="O63" s="11"/>
      <c r="P63" s="3">
        <f>750/P61</f>
        <v>0.63184498736310024</v>
      </c>
      <c r="Q63" s="3"/>
      <c r="R63" s="3">
        <f>255.042/R61</f>
        <v>0.97266313260363835</v>
      </c>
      <c r="S63" s="3"/>
      <c r="T63" s="3"/>
      <c r="U63" s="3"/>
      <c r="V63" s="3">
        <f>+(626.936+190.291)/V61</f>
        <v>0.8238167098621878</v>
      </c>
      <c r="W63" s="3"/>
      <c r="X63" s="3">
        <v>0.7</v>
      </c>
      <c r="Y63" s="3"/>
      <c r="Z63" s="3"/>
      <c r="AA63" s="3"/>
      <c r="AB63" s="3">
        <f>+(304.12+31.228)/AB61</f>
        <v>0.51992341025899425</v>
      </c>
      <c r="AC63" s="3"/>
      <c r="AD63" s="3">
        <f>+(91.704+13.787)/AD61</f>
        <v>0.8872991841197746</v>
      </c>
      <c r="AE63" s="3"/>
      <c r="AF63" s="3"/>
      <c r="AG63" s="3"/>
      <c r="AH63" s="3">
        <f>+(61.894+86.647)/AH61</f>
        <v>0.62368422157561709</v>
      </c>
      <c r="AI63" s="3"/>
      <c r="AJ63" s="3">
        <f>123.401/AJ61</f>
        <v>0.57312377794187996</v>
      </c>
      <c r="AK63" s="3"/>
      <c r="AL63" s="3"/>
      <c r="AM63" s="3"/>
      <c r="AN63" s="3">
        <f>228.4/AN61</f>
        <v>0.71263650546021839</v>
      </c>
      <c r="AO63" s="3"/>
      <c r="AP63" s="3"/>
      <c r="AQ63" s="3"/>
      <c r="AR63" s="3"/>
      <c r="AS63" s="3">
        <f>+(294.4+131.9)/AS61</f>
        <v>0.81713628522139148</v>
      </c>
      <c r="AT63" s="3"/>
      <c r="AU63" s="3"/>
      <c r="AV63" s="3"/>
      <c r="AW63" s="3">
        <f>1-(12.028/18.072)</f>
        <v>0.33444001770694998</v>
      </c>
      <c r="AX63" s="3"/>
      <c r="AY63" s="3">
        <f>+(175.7+107.4)/AY61</f>
        <v>0.56237584425903864</v>
      </c>
      <c r="AZ63" s="3"/>
      <c r="BA63" s="3">
        <f>1-(8044/11921)</f>
        <v>0.32522439392668401</v>
      </c>
      <c r="BB63" s="3"/>
      <c r="BC63" s="3">
        <f>+(339.1+71.2)/BC61</f>
        <v>0.62336675782436946</v>
      </c>
      <c r="BD63" s="3"/>
      <c r="BE63" s="3">
        <f>+(287+111.3)/BE61</f>
        <v>0.76581426648721396</v>
      </c>
      <c r="BF63" s="3"/>
      <c r="BG63" s="3">
        <f>+(291.305+85.037)/BG61</f>
        <v>0.7851990945033851</v>
      </c>
      <c r="BH63" s="3"/>
      <c r="BI63" s="3"/>
      <c r="BJ63" s="22"/>
      <c r="BK63" s="22">
        <f>+(667+268)/BK61</f>
        <v>0.63475899524779367</v>
      </c>
      <c r="BL63" s="22"/>
      <c r="BM63" s="22">
        <f>+(581+234)/BM61</f>
        <v>0.66045380875202597</v>
      </c>
      <c r="BN63" s="22"/>
      <c r="BO63" s="22">
        <f>+(4831+12+72)/BO61</f>
        <v>0.95122895297077603</v>
      </c>
      <c r="BP63" s="22"/>
      <c r="BQ63" s="22">
        <f>+(179.436+146.538)/BQ61</f>
        <v>0.55138152386268491</v>
      </c>
      <c r="BR63" s="11"/>
      <c r="BS63" s="3">
        <f>750/BS61</f>
        <v>0.63184498736310024</v>
      </c>
      <c r="BT63" s="22"/>
      <c r="BU63" s="3">
        <f>+(2533+349+236)/BU61</f>
        <v>0.71138489618982437</v>
      </c>
      <c r="BV63" s="3"/>
      <c r="BW63" s="3">
        <f>757.096/BW61</f>
        <v>0.49731568973275136</v>
      </c>
      <c r="BX63" s="3"/>
      <c r="BY63" s="3">
        <f>+(280.8+351.8)/BY61</f>
        <v>0.52035864111211649</v>
      </c>
      <c r="BZ63" s="3"/>
      <c r="CA63" s="3">
        <f>+(426+314+393)/CA61</f>
        <v>0.58796056045666845</v>
      </c>
      <c r="CB63" s="3"/>
      <c r="CC63" s="3">
        <f>+(1532.312+614.329)/CC61</f>
        <v>0.7331809801471797</v>
      </c>
      <c r="CD63" s="3"/>
      <c r="CE63" s="3"/>
      <c r="CF63" s="3"/>
      <c r="CG63" s="3">
        <f>+(18.2+53.7+889.7+76.3)/CG61</f>
        <v>0.84892851300507133</v>
      </c>
      <c r="CH63" s="3"/>
      <c r="CI63" s="3">
        <f>+((656+246)/CI61)</f>
        <v>0.70413739266198283</v>
      </c>
      <c r="CJ63" s="3"/>
      <c r="CK63" s="3"/>
      <c r="CL63" s="3"/>
      <c r="CM63" s="3">
        <f>+(1583+486)/CM61</f>
        <v>0.75181686046511631</v>
      </c>
      <c r="CN63" s="3"/>
      <c r="CO63" s="3">
        <f>+(565.01+240.914)/CO61</f>
        <v>0.76826371279861205</v>
      </c>
    </row>
    <row r="64" spans="2:97" outlineLevel="1" x14ac:dyDescent="0.25">
      <c r="B64" t="s">
        <v>34</v>
      </c>
      <c r="D64" s="8">
        <f>+D14/D61*1000</f>
        <v>1599.0528010660153</v>
      </c>
      <c r="E64" s="8"/>
      <c r="F64" s="8">
        <f>+F14/F61*1000</f>
        <v>7375</v>
      </c>
      <c r="G64" s="8"/>
      <c r="H64" s="8">
        <f>+H14/H61*1000</f>
        <v>4959.2926533090467</v>
      </c>
      <c r="I64" s="8"/>
      <c r="J64" s="8">
        <f>+J14/J61*1000</f>
        <v>3437.3973554956342</v>
      </c>
      <c r="K64" s="8"/>
      <c r="L64" s="8">
        <f>+L14/L61*1000</f>
        <v>5640.8839779005521</v>
      </c>
      <c r="M64" s="8"/>
      <c r="N64" s="8">
        <f>+N14/N61*1000</f>
        <v>1810.5092601697554</v>
      </c>
      <c r="O64" s="8"/>
      <c r="P64" s="8">
        <f>+P14/P61*1000</f>
        <v>3533.2771693344566</v>
      </c>
      <c r="Q64" s="8"/>
      <c r="R64" s="8">
        <f>+R14/R61*1000</f>
        <v>8949.9713969718941</v>
      </c>
      <c r="S64" s="8"/>
      <c r="T64" s="8"/>
      <c r="U64" s="8"/>
      <c r="V64" s="8">
        <f>+V14/V61*1000</f>
        <v>4516.6285114631946</v>
      </c>
      <c r="W64" s="8"/>
      <c r="X64" s="8">
        <f>+X14/X61*1000</f>
        <v>13655.384615384615</v>
      </c>
      <c r="Y64" s="8"/>
      <c r="Z64" s="8"/>
      <c r="AA64" s="8"/>
      <c r="AB64" s="8">
        <f>+AB14/AB61*1000</f>
        <v>2480.6393848014327</v>
      </c>
      <c r="AC64" s="8"/>
      <c r="AD64" s="8">
        <f>+AD14/AD61*1000</f>
        <v>4205.5681722600721</v>
      </c>
      <c r="AE64" s="8"/>
      <c r="AF64" s="8">
        <f>+AF14/AF61*1000</f>
        <v>12697.88622754491</v>
      </c>
      <c r="AG64" s="8"/>
      <c r="AH64" s="8">
        <f>+AH14/AH61*1000</f>
        <v>4156.7471564070593</v>
      </c>
      <c r="AI64" s="8"/>
      <c r="AJ64" s="8">
        <f>+AJ14/AJ61*1000</f>
        <v>6027.6759879802894</v>
      </c>
      <c r="AK64" s="8"/>
      <c r="AL64" s="8"/>
      <c r="AM64" s="8"/>
      <c r="AN64" s="8">
        <f>+AN14/AN61*1000</f>
        <v>8815.6287051482068</v>
      </c>
      <c r="AO64" s="8"/>
      <c r="AP64" s="8"/>
      <c r="AQ64" s="8"/>
      <c r="AR64" s="8"/>
      <c r="AS64" s="8">
        <f>+AS14/AS61*1000</f>
        <v>4225.0373778033354</v>
      </c>
      <c r="AT64" s="8"/>
      <c r="AU64" s="8"/>
      <c r="AV64" s="8"/>
      <c r="AW64" s="8">
        <f>+AW14/AW61*1000</f>
        <v>1273.8582337317396</v>
      </c>
      <c r="AX64" s="8"/>
      <c r="AY64" s="8">
        <f>+AY14/AY61*1000</f>
        <v>4920.1350814461657</v>
      </c>
      <c r="AZ64" s="8"/>
      <c r="BA64" s="8">
        <f>+BA14/BA61*1000</f>
        <v>1178.7601711265834</v>
      </c>
      <c r="BB64" s="8"/>
      <c r="BC64" s="8">
        <f>+BC14/BC61*1000</f>
        <v>3809.0246125797626</v>
      </c>
      <c r="BD64" s="8"/>
      <c r="BE64" s="8">
        <f>+BE14/BE61*1000</f>
        <v>5468.1407421649674</v>
      </c>
      <c r="BF64" s="8"/>
      <c r="BG64" s="8">
        <f>+BG14/BG61*1000</f>
        <v>5234.771904568167</v>
      </c>
      <c r="BH64" s="8"/>
      <c r="BI64" s="8"/>
      <c r="BK64" s="7">
        <f>+BK14/BK61*1000</f>
        <v>8684.9966055668701</v>
      </c>
      <c r="BL64" s="7"/>
      <c r="BM64" s="7">
        <f>+BM14/BM61*1000</f>
        <v>6648.2982171799031</v>
      </c>
      <c r="BO64" s="8">
        <f>+BO14/BO61*1000</f>
        <v>1788.4652603057866</v>
      </c>
      <c r="BQ64" s="8">
        <f>+BQ14/BQ61*1000</f>
        <v>2537.2339075939408</v>
      </c>
      <c r="BR64" s="8"/>
      <c r="BS64" s="8">
        <f>+BS14/BS61*1000</f>
        <v>3533.2771693344566</v>
      </c>
      <c r="BT64" s="8"/>
      <c r="BU64" s="8">
        <f>+BU14/BU61*1000</f>
        <v>3415.012548482774</v>
      </c>
      <c r="BV64" s="8"/>
      <c r="BW64" s="8">
        <f>+BW14/BW61*1000</f>
        <v>3789.0709521041276</v>
      </c>
      <c r="BX64" s="8"/>
      <c r="BY64" s="8">
        <f>+BY14/BY61*1000</f>
        <v>3453.1545611581805</v>
      </c>
      <c r="BZ64" s="8"/>
      <c r="CA64" s="8">
        <f>+CA14/CA61*1000</f>
        <v>3119.3565127140632</v>
      </c>
      <c r="CB64" s="8"/>
      <c r="CC64" s="8">
        <f>+CC14/CC61*1000</f>
        <v>2062.9500322079784</v>
      </c>
      <c r="CD64" s="8"/>
      <c r="CE64" s="8"/>
      <c r="CF64" s="8"/>
      <c r="CG64" s="8">
        <f>+CG14/CG61*1000</f>
        <v>4552.5928349419282</v>
      </c>
      <c r="CH64" s="8"/>
      <c r="CI64" s="8">
        <f>+CI14/CI61*1000</f>
        <v>4321.6237314597975</v>
      </c>
      <c r="CJ64" s="8"/>
      <c r="CK64" s="8"/>
      <c r="CL64" s="8"/>
      <c r="CM64" s="8">
        <f>+CM14/CM61*1000</f>
        <v>3781.6133720930234</v>
      </c>
      <c r="CN64" s="8"/>
      <c r="CO64" s="8">
        <f>+CO14/CO61*1000</f>
        <v>2192.5225448513852</v>
      </c>
    </row>
    <row r="65" spans="2:97" outlineLevel="1" x14ac:dyDescent="0.25">
      <c r="B65" t="s">
        <v>35</v>
      </c>
      <c r="D65" s="7">
        <f>+D61/D38</f>
        <v>15.357984898677891</v>
      </c>
      <c r="E65" s="7"/>
      <c r="F65" s="7">
        <f>+F61/F38</f>
        <v>14.343271555197422</v>
      </c>
      <c r="G65" s="8"/>
      <c r="H65" s="7">
        <f>+H61/H38</f>
        <v>13.10054088450525</v>
      </c>
      <c r="I65" s="7"/>
      <c r="J65" s="7">
        <f>+J61/J38</f>
        <v>10.305154604279837</v>
      </c>
      <c r="K65" s="7"/>
      <c r="L65" s="7">
        <f>+L61/L38</f>
        <v>8.5498346717052431</v>
      </c>
      <c r="M65" s="7"/>
      <c r="N65" s="7">
        <f>+N61/N38</f>
        <v>14.598538726345065</v>
      </c>
      <c r="O65" s="7"/>
      <c r="P65" s="7">
        <f>+P61/P38</f>
        <v>10.503309383074363</v>
      </c>
      <c r="Q65" s="7"/>
      <c r="R65" s="7">
        <f>+R61/R38</f>
        <v>11.999658603969392</v>
      </c>
      <c r="S65" s="7"/>
      <c r="T65" s="7"/>
      <c r="U65" s="7"/>
      <c r="V65" s="7">
        <f>+V61/V38</f>
        <v>14.867674829891188</v>
      </c>
      <c r="W65" s="7"/>
      <c r="X65" s="7">
        <f>+X61/X38</f>
        <v>11.200137847850435</v>
      </c>
      <c r="Y65" s="7"/>
      <c r="Z65" s="7"/>
      <c r="AA65" s="7"/>
      <c r="AB65" s="7">
        <f>+AB61/AB40</f>
        <v>15.029943608146525</v>
      </c>
      <c r="AC65" s="7"/>
      <c r="AD65" s="7">
        <f>+AD61/AD40</f>
        <v>9.5218644882268144</v>
      </c>
      <c r="AE65" s="7"/>
      <c r="AF65" s="7">
        <f>+AF61/AF40</f>
        <v>9.0475674504279997</v>
      </c>
      <c r="AG65" s="7"/>
      <c r="AH65" s="7">
        <f>+AH61/AH40</f>
        <v>9.5722438808729553</v>
      </c>
      <c r="AI65" s="7"/>
      <c r="AJ65" s="7">
        <f>+AJ61/AJ40</f>
        <v>11.316348797901055</v>
      </c>
      <c r="AK65" s="7"/>
      <c r="AL65" s="7"/>
      <c r="AM65" s="7"/>
      <c r="AN65" s="7">
        <f>+AN61/AN38</f>
        <v>9.9456573008882518</v>
      </c>
      <c r="AO65" s="7"/>
      <c r="AP65" s="7"/>
      <c r="AQ65" s="7"/>
      <c r="AR65" s="7"/>
      <c r="AS65" s="7">
        <f>+AS61/AS38</f>
        <v>11.828859060402685</v>
      </c>
      <c r="AT65" s="7"/>
      <c r="AU65" s="7"/>
      <c r="AV65" s="7"/>
      <c r="AW65" s="7">
        <f>+AW61/AW38</f>
        <v>22.853385265181217</v>
      </c>
      <c r="AX65" s="7"/>
      <c r="AY65" s="7">
        <f>+AY61/AY38</f>
        <v>11.13716814159292</v>
      </c>
      <c r="AZ65" s="7"/>
      <c r="BA65" s="7">
        <f>+BA61/BA38</f>
        <v>12.736111111111111</v>
      </c>
      <c r="BB65" s="7"/>
      <c r="BC65" s="7">
        <f>+BC61/BC38</f>
        <v>14.152160451355444</v>
      </c>
      <c r="BD65" s="7"/>
      <c r="BE65" s="7">
        <f>+BE61/BE38</f>
        <v>10.874383206489922</v>
      </c>
      <c r="BF65" s="7"/>
      <c r="BG65" s="7">
        <f>+BG61/BG38</f>
        <v>8.3960165364537716</v>
      </c>
      <c r="BH65" s="10"/>
      <c r="BI65" s="10"/>
      <c r="BK65" s="7">
        <f>+BK61/BK40</f>
        <v>6.0617283950617287</v>
      </c>
      <c r="BL65" s="7"/>
      <c r="BM65" s="7">
        <f>+BM61/BM40</f>
        <v>7.25740050970398</v>
      </c>
      <c r="BO65" s="7">
        <f>+BO61/BO40</f>
        <v>29.263267921500365</v>
      </c>
      <c r="BQ65" s="7">
        <f>+BQ61/BQ40</f>
        <v>7.2977766157854767</v>
      </c>
      <c r="BR65" s="7"/>
      <c r="BS65" s="7">
        <f>+BS61/BS38</f>
        <v>10.503309383074363</v>
      </c>
      <c r="BT65" s="7"/>
      <c r="BU65" s="7">
        <f>+BU61/BU40</f>
        <v>9.359484940048473</v>
      </c>
      <c r="BV65" s="7"/>
      <c r="BW65" s="7">
        <f>+BW61/BW38</f>
        <v>12.872994261433238</v>
      </c>
      <c r="BX65" s="7"/>
      <c r="BY65" s="7" t="e">
        <f>+BY61/BY38</f>
        <v>#DIV/0!</v>
      </c>
      <c r="BZ65" s="7"/>
      <c r="CA65" s="7">
        <f>+CA61/CA38</f>
        <v>9.923782057884436</v>
      </c>
      <c r="CB65" s="7"/>
      <c r="CC65" s="7">
        <f>+CC61/CC38</f>
        <v>10.492473368752071</v>
      </c>
      <c r="CD65" s="7"/>
      <c r="CE65" s="7"/>
      <c r="CF65" s="7"/>
      <c r="CG65" s="7">
        <f>+CG61/CG40</f>
        <v>11.195150538422093</v>
      </c>
      <c r="CH65" s="7"/>
      <c r="CI65" s="7">
        <f>+CI61/CI40</f>
        <v>8.3561643835616444</v>
      </c>
      <c r="CJ65" s="7"/>
      <c r="CK65" s="7"/>
      <c r="CL65" s="7"/>
      <c r="CM65" s="7">
        <f>+CM61/CM40</f>
        <v>11.458550193612858</v>
      </c>
      <c r="CN65" s="7"/>
      <c r="CO65" s="7">
        <f>+CO61/CO40</f>
        <v>10.160492033512519</v>
      </c>
    </row>
    <row r="66" spans="2:97" outlineLevel="1" x14ac:dyDescent="0.25"/>
    <row r="67" spans="2:97" outlineLevel="1" x14ac:dyDescent="0.25">
      <c r="B67" s="12" t="s">
        <v>36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</row>
    <row r="68" spans="2:97" outlineLevel="1" x14ac:dyDescent="0.25">
      <c r="B68" t="s">
        <v>36</v>
      </c>
      <c r="D68" s="7">
        <v>12589</v>
      </c>
      <c r="E68" s="7"/>
      <c r="F68" s="7">
        <v>9411</v>
      </c>
      <c r="H68">
        <v>4091.4</v>
      </c>
      <c r="J68" s="7">
        <v>2979</v>
      </c>
      <c r="L68" s="7">
        <v>9527</v>
      </c>
      <c r="N68" s="7">
        <v>6171.1845999999996</v>
      </c>
      <c r="O68" s="7"/>
      <c r="P68" s="7">
        <v>17947</v>
      </c>
      <c r="Q68" s="7"/>
      <c r="R68" s="7">
        <v>4025.1390000000001</v>
      </c>
      <c r="S68" s="7"/>
      <c r="T68" s="7"/>
      <c r="U68" s="7"/>
      <c r="V68" s="7">
        <v>13472.2</v>
      </c>
      <c r="W68" s="7"/>
      <c r="X68" s="7">
        <v>3457.4360000000001</v>
      </c>
      <c r="Y68" s="7"/>
      <c r="Z68" s="7"/>
      <c r="AA68" s="7"/>
      <c r="AB68" s="7">
        <v>7861</v>
      </c>
      <c r="AC68" s="7"/>
      <c r="AD68" s="7">
        <v>1832.135</v>
      </c>
      <c r="AE68" s="7"/>
      <c r="AF68" s="7">
        <v>4608.0020000000004</v>
      </c>
      <c r="AG68" s="7"/>
      <c r="AH68" s="7">
        <v>2171.1869999999999</v>
      </c>
      <c r="AI68" s="7"/>
      <c r="AJ68" s="7">
        <v>2579.3000000000002</v>
      </c>
      <c r="AK68" s="7"/>
      <c r="AL68" s="7"/>
      <c r="AM68" s="7"/>
      <c r="AN68" s="7">
        <v>4674.3</v>
      </c>
      <c r="AO68" s="7"/>
      <c r="AP68" s="7"/>
      <c r="AQ68" s="7"/>
      <c r="AR68" s="7"/>
      <c r="AS68" s="7">
        <v>6774.8608000000004</v>
      </c>
      <c r="AT68" s="7"/>
      <c r="AU68" s="7"/>
      <c r="AV68" s="7"/>
      <c r="AW68" s="7">
        <v>13200</v>
      </c>
      <c r="AX68" s="7"/>
      <c r="AY68" s="7">
        <v>5104.3</v>
      </c>
      <c r="AZ68" s="7"/>
      <c r="BA68" s="7">
        <v>6545.1360000000004</v>
      </c>
      <c r="BB68" s="7"/>
      <c r="BC68" s="7">
        <v>6227.9179999999997</v>
      </c>
      <c r="BD68" s="7"/>
      <c r="BE68" s="7">
        <v>5503.3710000000001</v>
      </c>
      <c r="BF68" s="7"/>
      <c r="BG68" s="7">
        <v>5669.8620000000001</v>
      </c>
      <c r="BH68" s="7"/>
      <c r="BI68" s="7"/>
      <c r="BK68" s="7">
        <v>22670.2</v>
      </c>
      <c r="BL68" s="7"/>
      <c r="BM68" s="7">
        <v>16173</v>
      </c>
      <c r="BO68" s="7"/>
      <c r="BQ68" s="7">
        <v>4780.6000000000004</v>
      </c>
      <c r="BR68" s="7"/>
      <c r="BS68" s="7">
        <v>17947</v>
      </c>
      <c r="BT68" s="7"/>
      <c r="BU68" s="7">
        <v>66977.7</v>
      </c>
      <c r="BV68" s="7"/>
      <c r="BW68" s="7">
        <v>18650</v>
      </c>
      <c r="BX68" s="7"/>
      <c r="BY68" s="7">
        <f>9604+(1-0.45079201692686)*2259</f>
        <v>10844.660833762224</v>
      </c>
      <c r="BZ68" s="7"/>
      <c r="CA68" s="7">
        <v>11891.4</v>
      </c>
      <c r="CB68" s="7"/>
      <c r="CC68" s="7">
        <v>32425.955000000002</v>
      </c>
      <c r="CD68" s="7"/>
      <c r="CE68" s="7"/>
      <c r="CF68" s="7"/>
      <c r="CG68" s="7">
        <v>13018.4</v>
      </c>
      <c r="CH68" s="7"/>
      <c r="CI68" s="7">
        <v>13669</v>
      </c>
      <c r="CJ68" s="7"/>
      <c r="CK68" s="7"/>
      <c r="CL68" s="7"/>
      <c r="CM68" s="7">
        <v>27833.200000000001</v>
      </c>
      <c r="CN68" s="7"/>
      <c r="CO68">
        <v>12793.63</v>
      </c>
    </row>
    <row r="69" spans="2:97" outlineLevel="1" x14ac:dyDescent="0.25">
      <c r="B69" t="s">
        <v>37</v>
      </c>
      <c r="D69" s="7">
        <f>+D68/D14</f>
        <v>2.6226591584741117</v>
      </c>
      <c r="E69" s="7"/>
      <c r="F69" s="7">
        <f>+F68/F14</f>
        <v>1.7922300514187774</v>
      </c>
      <c r="G69" s="7"/>
      <c r="H69" s="7">
        <f>+H68/H14</f>
        <v>2.5045436709678253</v>
      </c>
      <c r="I69" s="7"/>
      <c r="J69" s="7">
        <f>+J68/J14</f>
        <v>3.31</v>
      </c>
      <c r="K69" s="7"/>
      <c r="L69" s="7">
        <f>+L68/L14</f>
        <v>1.166380999020568</v>
      </c>
      <c r="M69" s="7"/>
      <c r="N69" s="7">
        <f>+N68/N14</f>
        <v>2.5948917776221982</v>
      </c>
      <c r="O69" s="7"/>
      <c r="P69" s="7">
        <f>+P68/P14</f>
        <v>4.2792083929422988</v>
      </c>
      <c r="Q69" s="7"/>
      <c r="R69" s="7">
        <f>+R68/R14</f>
        <v>1.7151811083479778</v>
      </c>
      <c r="S69" s="7"/>
      <c r="T69" s="7"/>
      <c r="U69" s="7"/>
      <c r="V69" s="7">
        <f>+V68/V14</f>
        <v>3.0068519138489012</v>
      </c>
      <c r="W69" s="7"/>
      <c r="X69" s="7">
        <f>+X68/X14</f>
        <v>0.77905272645335744</v>
      </c>
      <c r="Y69" s="7"/>
      <c r="Z69" s="7"/>
      <c r="AA69" s="7"/>
      <c r="AB69" s="7">
        <f>+AB68/AB14</f>
        <v>4.913125</v>
      </c>
      <c r="AC69" s="7"/>
      <c r="AD69" s="7">
        <f>+AD68/AD14</f>
        <v>3.6642700000000001</v>
      </c>
      <c r="AE69" s="7"/>
      <c r="AF69" s="7">
        <f>+AF68/AF14</f>
        <v>2.1730251675628978</v>
      </c>
      <c r="AG69" s="7"/>
      <c r="AH69" s="7">
        <f>+AH68/AH14</f>
        <v>2.1931181818181815</v>
      </c>
      <c r="AI69" s="7"/>
      <c r="AJ69" s="7">
        <f>+AJ68/AJ14</f>
        <v>1.9873836236753923</v>
      </c>
      <c r="AK69" s="7"/>
      <c r="AL69" s="7"/>
      <c r="AM69" s="7"/>
      <c r="AN69" s="7">
        <f>+AN68/AN14</f>
        <v>1.6543799499470697</v>
      </c>
      <c r="AO69" s="7"/>
      <c r="AP69" s="7"/>
      <c r="AQ69" s="7"/>
      <c r="AR69" s="7"/>
      <c r="AS69" s="7">
        <f>+AS68/AS14</f>
        <v>3.0736115836933275</v>
      </c>
      <c r="AT69" s="7"/>
      <c r="AU69" s="7"/>
      <c r="AV69" s="7"/>
      <c r="AW69" s="7">
        <f>+AW68/AW14</f>
        <v>3.4403122761027829</v>
      </c>
      <c r="AX69" s="7"/>
      <c r="AY69" s="7">
        <f>+AY68/AY14</f>
        <v>2.0608479664857344</v>
      </c>
      <c r="AZ69" s="7"/>
      <c r="BA69" s="7">
        <f>+BA68/BA14</f>
        <v>2.7946780529462001</v>
      </c>
      <c r="BB69" s="7"/>
      <c r="BC69" s="7">
        <f>+BC68/BC14</f>
        <v>2.4841123210083365</v>
      </c>
      <c r="BD69" s="7"/>
      <c r="BE69" s="7">
        <f>+BE68/BE14</f>
        <v>1.9350948318905197</v>
      </c>
      <c r="BF69" s="7"/>
      <c r="BG69" s="7">
        <f>+BG68/BG14</f>
        <v>2.2598094858509366</v>
      </c>
      <c r="BH69" s="7"/>
      <c r="BI69" s="7"/>
      <c r="BK69" s="7">
        <f>+BK68/BK14</f>
        <v>1.7720784804189791</v>
      </c>
      <c r="BL69" s="7"/>
      <c r="BM69" s="7">
        <f>+BM68/BM14</f>
        <v>1.9713554363725012</v>
      </c>
      <c r="BO69" s="10">
        <f>+BO68/BO14</f>
        <v>0</v>
      </c>
      <c r="BQ69" s="10">
        <f>+BQ68/BQ14</f>
        <v>3.1870666666666669</v>
      </c>
      <c r="BR69" s="7"/>
      <c r="BS69" s="7">
        <f>+BS68/BS14</f>
        <v>4.2792083929422988</v>
      </c>
      <c r="BT69" s="10"/>
      <c r="BU69" s="10">
        <f>+BU68/BU14</f>
        <v>4.4747260823089254</v>
      </c>
      <c r="BV69" s="10"/>
      <c r="BW69" s="10">
        <f>+BW68/BW14</f>
        <v>3.2331608229668487</v>
      </c>
      <c r="BX69" s="10"/>
      <c r="BY69" s="10">
        <f>+BY68/BY14</f>
        <v>2.5832922424397866</v>
      </c>
      <c r="BZ69" s="10"/>
      <c r="CA69" s="10">
        <f>+CA68/CA14</f>
        <v>1.9782731658625852</v>
      </c>
      <c r="CB69" s="10"/>
      <c r="CC69" s="10">
        <f>+CC68/CC14</f>
        <v>5.36853559602649</v>
      </c>
      <c r="CD69" s="10"/>
      <c r="CE69" s="10"/>
      <c r="CF69" s="10"/>
      <c r="CG69" s="10">
        <f>+CG68/CG14</f>
        <v>2.3389148401006108</v>
      </c>
      <c r="CH69" s="10"/>
      <c r="CI69" s="10">
        <f>+CI68/CI14</f>
        <v>2.4691112716763004</v>
      </c>
      <c r="CJ69" s="10"/>
      <c r="CK69" s="10"/>
      <c r="CL69" s="10"/>
      <c r="CM69" s="10">
        <f>+CM68/CM14</f>
        <v>2.6744691073316038</v>
      </c>
      <c r="CN69" s="10"/>
      <c r="CO69" s="10">
        <f>+CO68/CO14</f>
        <v>5.5624478260869559</v>
      </c>
    </row>
    <row r="70" spans="2:97" outlineLevel="1" x14ac:dyDescent="0.25"/>
    <row r="71" spans="2:97" outlineLevel="1" x14ac:dyDescent="0.25">
      <c r="B71" s="12" t="s">
        <v>38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</row>
    <row r="72" spans="2:97" outlineLevel="1" x14ac:dyDescent="0.25">
      <c r="B72" t="s">
        <v>39</v>
      </c>
      <c r="D72" s="11">
        <v>0</v>
      </c>
      <c r="E72" s="11"/>
      <c r="F72" s="11">
        <f>(5000+38000)/135000</f>
        <v>0.31851851851851853</v>
      </c>
      <c r="G72" s="11"/>
      <c r="H72" s="45">
        <v>0.6</v>
      </c>
      <c r="I72" s="38"/>
      <c r="J72" s="45">
        <v>0</v>
      </c>
      <c r="K72" s="38"/>
      <c r="L72" s="11">
        <f>(7+6+1.75)/43.5</f>
        <v>0.33908045977011492</v>
      </c>
      <c r="M72" s="11"/>
      <c r="N72" s="11">
        <v>0</v>
      </c>
      <c r="O72" s="11"/>
      <c r="P72" s="2">
        <f>(50.323+4.7415)/(P40*P39*1.28)</f>
        <v>0.69188791893121759</v>
      </c>
      <c r="Q72" s="2"/>
      <c r="R72" s="2">
        <f>(38*0.365)/R40</f>
        <v>0.62975423012545373</v>
      </c>
      <c r="S72" s="2"/>
      <c r="T72" s="2"/>
      <c r="U72" s="2"/>
      <c r="V72" s="2">
        <f>(29+18/4+22/4+80/4+11/4+26/4)/(0.7*282)</f>
        <v>0.34574468085106386</v>
      </c>
      <c r="W72" s="2"/>
      <c r="X72" s="2">
        <f>13.7/(X39*X38)</f>
        <v>0.6331254191309833</v>
      </c>
      <c r="Y72" s="2"/>
      <c r="Z72" s="2"/>
      <c r="AA72" s="2"/>
      <c r="AB72" s="2"/>
      <c r="AC72" s="2"/>
      <c r="AD72" s="2">
        <v>0.7</v>
      </c>
      <c r="AE72" s="2"/>
      <c r="AF72" s="2"/>
      <c r="AG72" s="2"/>
      <c r="AH72" s="2">
        <f>8.687/(AH39*AH38)</f>
        <v>0.48074761621500395</v>
      </c>
      <c r="AI72" s="27"/>
      <c r="AJ72" s="2">
        <f>+(4920+1320)/(13100)</f>
        <v>0.4763358778625954</v>
      </c>
      <c r="AK72" s="27"/>
      <c r="AL72" s="27"/>
      <c r="AM72" s="27"/>
      <c r="AN72" s="2"/>
      <c r="AO72" s="2"/>
      <c r="AP72" s="2"/>
      <c r="AQ72" s="2"/>
      <c r="AR72" s="2"/>
      <c r="AS72" s="2"/>
      <c r="AT72" s="2"/>
      <c r="AU72" s="2"/>
      <c r="AV72" s="2"/>
      <c r="AW72" s="2">
        <f>7/(11.585)</f>
        <v>0.60422960725075525</v>
      </c>
      <c r="AX72" s="2"/>
      <c r="AY72" s="11">
        <v>0.7</v>
      </c>
      <c r="AZ72" s="11"/>
      <c r="BA72" s="11">
        <v>0</v>
      </c>
      <c r="BB72" s="11"/>
      <c r="BC72" s="2">
        <f>10.6/21</f>
        <v>0.50476190476190474</v>
      </c>
      <c r="BD72" s="2"/>
      <c r="BE72" s="2">
        <f>+(5.4+39.5+25.2+5.4)/2/100</f>
        <v>0.3775</v>
      </c>
      <c r="BF72" s="2"/>
      <c r="BG72" s="2">
        <f>+(42.575+5+7.321)/(98+24.5)</f>
        <v>0.44813061224489797</v>
      </c>
      <c r="BH72" s="2"/>
      <c r="BI72" s="2"/>
      <c r="BK72" s="2">
        <f>(87)/(BK41*BK39)</f>
        <v>0.17839887640449439</v>
      </c>
      <c r="BL72" s="2"/>
      <c r="BM72" s="2"/>
      <c r="BO72" s="2"/>
      <c r="BQ72" s="2">
        <f>(28)/(260*(BQ39))</f>
        <v>0.183308197797731</v>
      </c>
      <c r="BR72" s="11"/>
      <c r="BS72" s="2">
        <f>(50.323+4.7415)/(BS40*BS39*1.28)</f>
        <v>0.69188791893121759</v>
      </c>
      <c r="BT72" s="2"/>
      <c r="BU72" s="11"/>
      <c r="BV72" s="11"/>
      <c r="BW72" s="11">
        <v>0</v>
      </c>
      <c r="BX72" s="11"/>
      <c r="BY72" s="11"/>
      <c r="BZ72" s="11"/>
      <c r="CA72" s="11">
        <f>+(51719+5000)*0.365/CA40/1000/CA39</f>
        <v>0.16113352272727274</v>
      </c>
      <c r="CB72" s="11"/>
      <c r="CC72" s="11"/>
      <c r="CD72" s="11"/>
      <c r="CE72" s="11"/>
      <c r="CF72" s="11"/>
      <c r="CG72" s="11"/>
      <c r="CH72" s="11"/>
      <c r="CI72" s="11">
        <f>60/(412*0.365*CI39)</f>
        <v>0.51816782765047165</v>
      </c>
      <c r="CJ72" s="11"/>
      <c r="CK72" s="11"/>
      <c r="CL72" s="11"/>
    </row>
    <row r="73" spans="2:97" outlineLevel="1" x14ac:dyDescent="0.25">
      <c r="B73" t="s">
        <v>40</v>
      </c>
      <c r="D73" s="11"/>
      <c r="E73" s="11"/>
      <c r="F73" s="11">
        <v>0</v>
      </c>
      <c r="G73" s="11"/>
      <c r="H73" s="11">
        <v>0</v>
      </c>
      <c r="I73" s="11"/>
      <c r="J73" s="11">
        <f>((10.965+5.475)/6)/(66.58*(1-J39))</f>
        <v>0.17364066473394965</v>
      </c>
      <c r="K73" s="11"/>
      <c r="L73" s="11">
        <f>+(453+55+88)/730</f>
        <v>0.81643835616438354</v>
      </c>
      <c r="M73" s="11"/>
      <c r="N73" s="11">
        <f>(386.088/475)</f>
        <v>0.81281684210526317</v>
      </c>
      <c r="O73" s="11"/>
      <c r="P73" s="11">
        <f>(62.640992/6)/(P40*1.15*(1-P39))</f>
        <v>0.26862728903822802</v>
      </c>
      <c r="Q73" s="11"/>
      <c r="R73" s="11">
        <v>0</v>
      </c>
      <c r="S73" s="11"/>
      <c r="T73" s="11"/>
      <c r="U73" s="11"/>
      <c r="V73" s="11">
        <f>70/(0.12*282*6)</f>
        <v>0.34475965327029162</v>
      </c>
      <c r="W73" s="11"/>
      <c r="X73" s="11">
        <f>25.6/((1-X39)*X40*6)</f>
        <v>0.56963353201510436</v>
      </c>
      <c r="Y73" s="11"/>
      <c r="Z73" s="11"/>
      <c r="AA73" s="11"/>
      <c r="AB73" s="11"/>
      <c r="AC73" s="11"/>
      <c r="AD73" s="11">
        <v>0</v>
      </c>
      <c r="AE73" s="11"/>
      <c r="AF73" s="11"/>
      <c r="AG73" s="11"/>
      <c r="AH73" s="11">
        <f>21.9/((1-AH39)*AH38*6)</f>
        <v>0.47288536137683207</v>
      </c>
      <c r="AI73" s="28"/>
      <c r="AJ73" s="11">
        <f>(2.4+4.8)/(56)</f>
        <v>0.12857142857142856</v>
      </c>
      <c r="AK73" s="28"/>
      <c r="AL73" s="28"/>
      <c r="AM73" s="28"/>
      <c r="AN73" s="11"/>
      <c r="AO73" s="11"/>
      <c r="AP73" s="11"/>
      <c r="AQ73" s="11"/>
      <c r="AR73" s="11"/>
      <c r="AS73" s="11"/>
      <c r="AT73" s="11"/>
      <c r="AU73" s="11"/>
      <c r="AV73" s="11"/>
      <c r="AW73" s="11">
        <f>+((1385+1455+1455+1428)/4)/(2335*(1-AW39))</f>
        <v>0.89789794905864317</v>
      </c>
      <c r="AX73" s="11"/>
      <c r="AY73" s="11">
        <v>0.65</v>
      </c>
      <c r="AZ73" s="11"/>
      <c r="BA73" s="11">
        <f>443/((BA40*6)*(1-BA39)*1.05)</f>
        <v>0.53794443389264768</v>
      </c>
      <c r="BB73" s="11"/>
      <c r="BC73" s="11">
        <v>0</v>
      </c>
      <c r="BD73" s="11"/>
      <c r="BE73" s="11">
        <v>0</v>
      </c>
      <c r="BF73" s="11"/>
      <c r="BG73" s="11">
        <f>+(108.47/195)</f>
        <v>0.55625641025641026</v>
      </c>
      <c r="BH73" s="11"/>
      <c r="BI73" s="11"/>
      <c r="BO73" s="2"/>
      <c r="BQ73" s="2">
        <f>(240/6)/(260*(1-BQ39))</f>
        <v>0.37295416559049777</v>
      </c>
      <c r="BR73" s="11"/>
      <c r="BS73" s="11">
        <f>(62.640992/6)/(BS40*1.15*(1-BS39))</f>
        <v>0.26862728903822802</v>
      </c>
      <c r="BT73" s="2"/>
      <c r="BW73" s="2">
        <f>(4.95+95.425+4.95)/(1.1*BW40*(1-BW39)*6)</f>
        <v>0.34658920826959611</v>
      </c>
      <c r="BX73" s="2"/>
      <c r="BY73" s="2"/>
      <c r="BZ73" s="2"/>
      <c r="CA73" s="2">
        <f>+(266293/6)*0.365/CA40/1000/(1-CA39)</f>
        <v>0.24252550091074673</v>
      </c>
      <c r="CB73" s="2"/>
      <c r="CC73" s="2"/>
      <c r="CD73" s="2"/>
      <c r="CE73" s="2"/>
      <c r="CF73" s="2"/>
      <c r="CG73" s="2"/>
      <c r="CH73" s="2"/>
      <c r="CI73" s="2">
        <f>50/(429+430)</f>
        <v>5.8207217694994179E-2</v>
      </c>
      <c r="CJ73" s="2"/>
      <c r="CK73" s="2"/>
      <c r="CL73" s="2"/>
    </row>
    <row r="74" spans="2:97" outlineLevel="1" x14ac:dyDescent="0.25">
      <c r="B74" t="s">
        <v>41</v>
      </c>
      <c r="D74" s="11">
        <v>0</v>
      </c>
      <c r="E74" s="11"/>
      <c r="F74" s="11">
        <f>2500/136000</f>
        <v>1.8382352941176471E-2</v>
      </c>
      <c r="G74" s="11"/>
      <c r="H74" s="11"/>
      <c r="I74" s="11"/>
      <c r="J74" s="11">
        <v>0</v>
      </c>
      <c r="K74" s="11"/>
      <c r="L74" s="11">
        <f>+(7+2)/43.5</f>
        <v>0.20689655172413793</v>
      </c>
      <c r="M74" s="11"/>
      <c r="N74" s="11">
        <v>0</v>
      </c>
      <c r="O74" s="11"/>
      <c r="P74" s="11">
        <f>(39.34)/(P40*P39*1.4)</f>
        <v>0.45193953759896188</v>
      </c>
      <c r="Q74" s="11"/>
      <c r="R74" s="11">
        <v>0.18181818181818199</v>
      </c>
      <c r="S74" s="11"/>
      <c r="T74" s="11"/>
      <c r="U74" s="11"/>
      <c r="V74" s="11">
        <v>0</v>
      </c>
      <c r="W74" s="11"/>
      <c r="X74" s="11">
        <f>11.7/(X39*X38)</f>
        <v>0.54069835064470839</v>
      </c>
      <c r="Y74" s="11"/>
      <c r="Z74" s="11"/>
      <c r="AA74" s="11"/>
      <c r="AB74" s="11"/>
      <c r="AC74" s="11"/>
      <c r="AD74" s="11">
        <f>0.380952380952381*AD72</f>
        <v>0.26666666666666666</v>
      </c>
      <c r="AE74" s="11"/>
      <c r="AF74" s="11"/>
      <c r="AG74" s="11"/>
      <c r="AH74" s="11">
        <f>2.196/8.687*AH72</f>
        <v>0.12152892427859431</v>
      </c>
      <c r="AI74" s="28"/>
      <c r="AJ74" s="11"/>
      <c r="AK74" s="28"/>
      <c r="AL74" s="28"/>
      <c r="AM74" s="28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>
        <v>0.25</v>
      </c>
      <c r="AZ74" s="11"/>
      <c r="BA74" s="11">
        <v>0</v>
      </c>
      <c r="BB74" s="11"/>
      <c r="BC74" s="2">
        <f>4.4/21</f>
        <v>0.20952380952380953</v>
      </c>
      <c r="BD74" s="2"/>
      <c r="BE74" s="2">
        <v>0</v>
      </c>
      <c r="BF74" s="2"/>
      <c r="BG74" s="2">
        <v>0</v>
      </c>
      <c r="BH74" s="2"/>
      <c r="BI74" s="2"/>
      <c r="BR74" s="11"/>
      <c r="BS74" s="11">
        <f>(39.34)/(BS40*BS39*1.4)</f>
        <v>0.45193953759896188</v>
      </c>
      <c r="BU74" s="11"/>
      <c r="BV74" s="11"/>
      <c r="BW74" s="11">
        <v>0</v>
      </c>
      <c r="BX74" s="11"/>
      <c r="BY74" s="11"/>
      <c r="BZ74" s="11"/>
      <c r="CA74" s="11">
        <f>+(1740)*0.365/CA40/1000/(1-CA39)</f>
        <v>9.5081967213114724E-3</v>
      </c>
      <c r="CB74" s="11"/>
      <c r="CC74" s="11"/>
      <c r="CD74" s="11"/>
      <c r="CE74" s="11"/>
      <c r="CF74" s="11"/>
      <c r="CG74" s="11"/>
      <c r="CH74" s="11"/>
      <c r="CI74" s="11">
        <v>0</v>
      </c>
      <c r="CJ74" s="11"/>
      <c r="CK74" s="11"/>
      <c r="CL74" s="11"/>
    </row>
    <row r="75" spans="2:97" outlineLevel="1" x14ac:dyDescent="0.25">
      <c r="B75" t="s">
        <v>42</v>
      </c>
      <c r="F75">
        <v>0</v>
      </c>
      <c r="J75">
        <v>0</v>
      </c>
      <c r="L75" s="11">
        <f>+(217+22+106)/730</f>
        <v>0.4726027397260274</v>
      </c>
      <c r="M75" s="11"/>
      <c r="N75" s="11">
        <v>0</v>
      </c>
      <c r="O75" s="11"/>
      <c r="P75" s="11">
        <f>(24.703/6)/(P40*1.225*(1-P39))</f>
        <v>9.9449579823137679E-2</v>
      </c>
      <c r="Q75" s="11"/>
      <c r="R75" s="11">
        <v>0</v>
      </c>
      <c r="S75" s="11"/>
      <c r="T75" s="11"/>
      <c r="U75" s="11"/>
      <c r="V75" s="11">
        <v>0</v>
      </c>
      <c r="W75" s="11"/>
      <c r="X75" s="11">
        <v>0</v>
      </c>
      <c r="Y75" s="11"/>
      <c r="Z75" s="11"/>
      <c r="AA75" s="11"/>
      <c r="AB75" s="11"/>
      <c r="AC75" s="11"/>
      <c r="AD75" s="11">
        <v>0</v>
      </c>
      <c r="AE75" s="11"/>
      <c r="AF75" s="11"/>
      <c r="AG75" s="11"/>
      <c r="AH75" s="11">
        <v>0</v>
      </c>
      <c r="AI75" s="4"/>
      <c r="AJ75" s="11"/>
      <c r="AK75" s="4"/>
      <c r="AL75" s="4"/>
      <c r="AM75" s="4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>
        <v>0</v>
      </c>
      <c r="AZ75" s="11"/>
      <c r="BA75" s="11">
        <f>108/((BA40*6)*(1-BA39)*1.1)</f>
        <v>0.12518550954940744</v>
      </c>
      <c r="BB75" s="11"/>
      <c r="BC75" s="11">
        <v>0</v>
      </c>
      <c r="BD75" s="11"/>
      <c r="BE75" s="11">
        <v>0</v>
      </c>
      <c r="BF75" s="11"/>
      <c r="BG75" s="11">
        <v>0</v>
      </c>
      <c r="BH75" s="11"/>
      <c r="BI75" s="11"/>
      <c r="BR75" s="11"/>
      <c r="BS75" s="11">
        <f>(24.703/6)/(BS40*1.225*(1-BS39))</f>
        <v>9.9449579823137679E-2</v>
      </c>
      <c r="BU75" s="11"/>
      <c r="BV75" s="11"/>
      <c r="BW75" s="11">
        <v>0</v>
      </c>
      <c r="BX75" s="11"/>
      <c r="BY75" s="2"/>
      <c r="BZ75" s="11"/>
      <c r="CA75" s="2">
        <f>+(26480/6)*0.365/CA40/1000/(1-CA39)</f>
        <v>2.411657559198542E-2</v>
      </c>
      <c r="CB75" s="2"/>
      <c r="CC75" s="2"/>
      <c r="CD75" s="2"/>
      <c r="CE75" s="2"/>
      <c r="CF75" s="2"/>
      <c r="CG75" s="2"/>
      <c r="CH75" s="2"/>
      <c r="CI75" s="2">
        <v>0</v>
      </c>
      <c r="CJ75" s="2"/>
      <c r="CK75" s="2"/>
      <c r="CL75" s="2"/>
    </row>
    <row r="76" spans="2:97" outlineLevel="1" x14ac:dyDescent="0.25"/>
    <row r="77" spans="2:97" outlineLevel="1" x14ac:dyDescent="0.25">
      <c r="B77" s="12" t="s">
        <v>263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</row>
    <row r="78" spans="2:97" outlineLevel="1" x14ac:dyDescent="0.25">
      <c r="D78" s="37" t="s">
        <v>264</v>
      </c>
      <c r="E78" s="37"/>
      <c r="F78" s="37" t="s">
        <v>265</v>
      </c>
      <c r="G78" s="37"/>
      <c r="H78" s="37" t="s">
        <v>266</v>
      </c>
      <c r="I78" s="37"/>
      <c r="J78" s="37" t="s">
        <v>269</v>
      </c>
      <c r="K78" s="37"/>
      <c r="L78" s="37" t="s">
        <v>267</v>
      </c>
      <c r="M78" s="37"/>
      <c r="N78" s="37" t="s">
        <v>268</v>
      </c>
      <c r="O78" s="37"/>
      <c r="P78" s="37" t="s">
        <v>269</v>
      </c>
      <c r="Q78" s="37"/>
      <c r="R78" s="37" t="s">
        <v>270</v>
      </c>
      <c r="S78" s="37"/>
      <c r="T78" s="37" t="s">
        <v>269</v>
      </c>
      <c r="U78" s="37"/>
      <c r="V78" s="37" t="s">
        <v>269</v>
      </c>
      <c r="W78" s="37"/>
      <c r="X78" s="37" t="s">
        <v>271</v>
      </c>
      <c r="Y78" s="37"/>
      <c r="Z78" s="37" t="s">
        <v>272</v>
      </c>
      <c r="AA78" s="37"/>
      <c r="AB78" s="37"/>
      <c r="AC78" s="37"/>
      <c r="AD78" s="37"/>
      <c r="AE78" s="37"/>
      <c r="AF78" s="37"/>
      <c r="AG78" s="37"/>
      <c r="AH78" s="37" t="s">
        <v>269</v>
      </c>
      <c r="AI78" s="37"/>
      <c r="AJ78" s="37" t="s">
        <v>273</v>
      </c>
      <c r="AK78" s="37"/>
      <c r="AL78" s="37" t="s">
        <v>274</v>
      </c>
      <c r="AM78" s="37"/>
      <c r="AN78" s="37" t="s">
        <v>275</v>
      </c>
      <c r="AO78" s="37"/>
      <c r="AP78" s="37"/>
      <c r="AQ78" s="37" t="s">
        <v>276</v>
      </c>
      <c r="AR78" s="37"/>
      <c r="AS78" s="37" t="s">
        <v>269</v>
      </c>
      <c r="AT78" s="37"/>
      <c r="AU78" s="37" t="s">
        <v>277</v>
      </c>
      <c r="AV78" s="37"/>
      <c r="AW78" s="37" t="s">
        <v>278</v>
      </c>
      <c r="AX78" s="37"/>
      <c r="AY78" s="37" t="s">
        <v>279</v>
      </c>
      <c r="AZ78" s="37"/>
      <c r="BA78" s="37" t="s">
        <v>264</v>
      </c>
      <c r="BB78" s="37"/>
      <c r="BC78" s="37" t="s">
        <v>291</v>
      </c>
      <c r="BD78" s="37"/>
      <c r="BE78" s="37" t="s">
        <v>280</v>
      </c>
      <c r="BF78" s="37"/>
      <c r="BG78" s="37" t="s">
        <v>281</v>
      </c>
      <c r="BH78" s="37"/>
      <c r="BI78" s="37"/>
      <c r="BJ78" s="37"/>
      <c r="BK78" s="37"/>
      <c r="BL78" s="37"/>
      <c r="BM78" s="37"/>
      <c r="BN78" s="37"/>
      <c r="BO78" s="37" t="s">
        <v>361</v>
      </c>
      <c r="BP78" s="37"/>
      <c r="BQ78" s="37"/>
      <c r="BR78" s="37"/>
      <c r="BS78" s="37" t="s">
        <v>269</v>
      </c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</row>
    <row r="79" spans="2:97" outlineLevel="1" x14ac:dyDescent="0.25"/>
    <row r="80" spans="2:97" outlineLevel="1" x14ac:dyDescent="0.25">
      <c r="B80" s="12" t="s">
        <v>85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</row>
    <row r="81" spans="1:94" outlineLevel="2" x14ac:dyDescent="0.25">
      <c r="A81" t="s">
        <v>324</v>
      </c>
      <c r="D81" s="11">
        <v>0.15</v>
      </c>
      <c r="E81" s="11"/>
      <c r="F81" s="11">
        <v>0.15</v>
      </c>
      <c r="H81" s="11">
        <v>0.35</v>
      </c>
      <c r="I81" s="11"/>
      <c r="J81" s="11">
        <v>0.35</v>
      </c>
      <c r="K81" s="11">
        <v>0.2</v>
      </c>
      <c r="L81" s="11">
        <v>0.3</v>
      </c>
      <c r="N81" s="11">
        <v>0.2</v>
      </c>
      <c r="O81" s="11"/>
      <c r="P81" s="11">
        <v>0.25</v>
      </c>
      <c r="Q81" s="11"/>
      <c r="R81" s="11">
        <v>0.12</v>
      </c>
      <c r="S81">
        <v>0.2</v>
      </c>
      <c r="T81">
        <v>0.2</v>
      </c>
      <c r="U81">
        <v>0.2</v>
      </c>
      <c r="V81" s="11">
        <v>0.3</v>
      </c>
      <c r="W81">
        <v>0.2</v>
      </c>
      <c r="X81" s="11">
        <v>0.25</v>
      </c>
      <c r="Y81">
        <v>0.2</v>
      </c>
      <c r="Z81">
        <v>0.2</v>
      </c>
      <c r="AA81">
        <v>0.2</v>
      </c>
      <c r="AB81" s="2">
        <v>0.2</v>
      </c>
      <c r="AD81" s="2">
        <v>0.3</v>
      </c>
      <c r="AE81" s="2"/>
      <c r="AF81" s="2">
        <v>0.25</v>
      </c>
      <c r="AH81" s="11">
        <v>0.35</v>
      </c>
      <c r="AI81" s="11"/>
      <c r="AJ81" s="11">
        <v>0.35</v>
      </c>
      <c r="AK81" s="11"/>
      <c r="AN81" s="2">
        <v>0.3</v>
      </c>
      <c r="AS81" s="11">
        <v>0.3</v>
      </c>
      <c r="AT81" s="11"/>
      <c r="AW81" s="11">
        <v>0.2</v>
      </c>
      <c r="AY81" s="11">
        <v>0.3</v>
      </c>
      <c r="AZ81" s="11"/>
      <c r="BA81" s="11">
        <v>0.15</v>
      </c>
      <c r="BB81" s="11"/>
      <c r="BC81" s="11">
        <v>0.25</v>
      </c>
      <c r="BD81" s="11"/>
      <c r="BE81" s="2">
        <v>0.25</v>
      </c>
      <c r="BG81" s="11">
        <v>0.3</v>
      </c>
      <c r="BK81" s="2">
        <v>0.2</v>
      </c>
      <c r="BM81" s="2">
        <v>0.2</v>
      </c>
      <c r="BN81" s="2"/>
      <c r="BO81" s="2">
        <v>0.1</v>
      </c>
      <c r="BP81" s="2"/>
      <c r="BQ81" s="2">
        <v>0.3</v>
      </c>
      <c r="BR81" s="11"/>
      <c r="BS81" s="11">
        <v>0.25</v>
      </c>
      <c r="BT81" s="2"/>
      <c r="BU81" s="2">
        <v>0.2</v>
      </c>
      <c r="BV81" s="2"/>
      <c r="BW81" s="2">
        <v>0.25</v>
      </c>
      <c r="BX81" s="2"/>
      <c r="BY81" s="2">
        <v>0.25</v>
      </c>
      <c r="BZ81" s="2"/>
      <c r="CA81" s="2">
        <v>0.25</v>
      </c>
      <c r="CB81" s="2"/>
      <c r="CC81" s="2">
        <v>0.2</v>
      </c>
      <c r="CD81" s="2"/>
      <c r="CE81" s="2"/>
      <c r="CF81" s="2"/>
      <c r="CG81" s="2">
        <v>0.2</v>
      </c>
      <c r="CH81" s="2"/>
      <c r="CI81" s="2">
        <v>0.25</v>
      </c>
      <c r="CJ81" s="2"/>
      <c r="CK81" s="2"/>
      <c r="CL81" s="2"/>
      <c r="CM81" s="2">
        <v>0.2</v>
      </c>
      <c r="CN81" s="2"/>
      <c r="CO81" s="2">
        <v>0.25</v>
      </c>
    </row>
    <row r="82" spans="1:94" outlineLevel="2" x14ac:dyDescent="0.25">
      <c r="A82" t="s">
        <v>325</v>
      </c>
      <c r="D82" s="11">
        <v>0.15</v>
      </c>
      <c r="E82" s="11"/>
      <c r="F82" s="11">
        <v>0.13</v>
      </c>
      <c r="H82" s="11">
        <v>0.2</v>
      </c>
      <c r="I82" s="11"/>
      <c r="J82" s="11">
        <v>0.2</v>
      </c>
      <c r="K82" s="11"/>
      <c r="L82" s="11">
        <v>0.15</v>
      </c>
      <c r="N82" s="11">
        <v>0.15</v>
      </c>
      <c r="O82" s="11"/>
      <c r="P82" s="11">
        <v>0.15</v>
      </c>
      <c r="Q82" s="11"/>
      <c r="R82" s="11">
        <v>0.12</v>
      </c>
      <c r="V82" s="11">
        <v>0.2</v>
      </c>
      <c r="X82" s="11">
        <v>0.15</v>
      </c>
      <c r="AB82" s="2">
        <v>0.15</v>
      </c>
      <c r="AD82" s="2">
        <v>0.2</v>
      </c>
      <c r="AE82" s="2"/>
      <c r="AF82" s="2">
        <v>0.15</v>
      </c>
      <c r="AH82" s="11">
        <v>0.2</v>
      </c>
      <c r="AI82" s="11"/>
      <c r="AJ82" s="11">
        <v>0.2</v>
      </c>
      <c r="AK82" s="11"/>
      <c r="AN82" s="2">
        <v>0.15</v>
      </c>
      <c r="AS82" s="11">
        <v>0.2</v>
      </c>
      <c r="AT82" s="11"/>
      <c r="AW82" s="11">
        <v>0.1</v>
      </c>
      <c r="AY82" s="11">
        <v>0.2</v>
      </c>
      <c r="AZ82" s="11"/>
      <c r="BA82" s="11">
        <v>0.15</v>
      </c>
      <c r="BB82" s="11"/>
      <c r="BC82" s="11">
        <v>0.15</v>
      </c>
      <c r="BD82" s="11"/>
      <c r="BE82" s="2">
        <v>0.15</v>
      </c>
      <c r="BG82" s="11">
        <v>0.2</v>
      </c>
      <c r="BK82" s="2">
        <v>0.15</v>
      </c>
      <c r="BM82" s="2">
        <v>0.15</v>
      </c>
      <c r="BN82" s="2"/>
      <c r="BO82" s="2">
        <v>0.1</v>
      </c>
      <c r="BP82" s="2"/>
      <c r="BQ82" s="2">
        <v>0.2</v>
      </c>
      <c r="BR82" s="11"/>
      <c r="BS82" s="11">
        <v>0.15</v>
      </c>
      <c r="BT82" s="2"/>
      <c r="BU82" s="2">
        <v>0.15</v>
      </c>
      <c r="BV82" s="2"/>
      <c r="BW82" s="2">
        <v>0.15</v>
      </c>
      <c r="BX82" s="2"/>
      <c r="BY82" s="2">
        <v>0.15</v>
      </c>
      <c r="BZ82" s="2"/>
      <c r="CA82" s="2">
        <v>0.15</v>
      </c>
      <c r="CB82" s="2"/>
      <c r="CC82" s="2">
        <v>0.15</v>
      </c>
      <c r="CD82" s="2"/>
      <c r="CE82" s="2"/>
      <c r="CF82" s="2"/>
      <c r="CG82" s="2">
        <v>0.15</v>
      </c>
      <c r="CH82" s="2"/>
      <c r="CI82" s="2">
        <v>0.15</v>
      </c>
      <c r="CJ82" s="2"/>
      <c r="CK82" s="2"/>
      <c r="CL82" s="2"/>
      <c r="CM82" s="2">
        <v>0.15</v>
      </c>
      <c r="CN82" s="2"/>
      <c r="CO82" s="2">
        <v>0.15</v>
      </c>
    </row>
    <row r="83" spans="1:94" outlineLevel="2" x14ac:dyDescent="0.25">
      <c r="A83" t="s">
        <v>293</v>
      </c>
      <c r="D83" s="11">
        <f>+(102.86+46.988)/(102.86+46.988+12.229)</f>
        <v>0.92454820856753284</v>
      </c>
      <c r="E83" s="11"/>
      <c r="F83" s="11">
        <v>0.15686274509803899</v>
      </c>
      <c r="H83" s="11">
        <v>0.21</v>
      </c>
      <c r="I83" s="11"/>
      <c r="J83" s="11">
        <f>4332/(12679+4332)</f>
        <v>0.2546587502204456</v>
      </c>
      <c r="K83" s="11"/>
      <c r="L83" s="11">
        <f>42/(42+87)</f>
        <v>0.32558139534883723</v>
      </c>
      <c r="N83" s="11">
        <f>+(0.4+5.1)/(5.1+0.1+0.4)</f>
        <v>0.98214285714285721</v>
      </c>
      <c r="O83" s="11"/>
      <c r="P83" s="11">
        <v>0</v>
      </c>
      <c r="Q83" s="11"/>
      <c r="R83" s="11">
        <v>0</v>
      </c>
      <c r="V83" s="2">
        <f>7.465/(34.367+7.465)</f>
        <v>0.17845190284949322</v>
      </c>
      <c r="X83" s="11">
        <f>5227/(16726+5227)</f>
        <v>0.23809957636769463</v>
      </c>
      <c r="AB83" s="2">
        <f>5/51</f>
        <v>9.8039215686274508E-2</v>
      </c>
      <c r="AD83" s="2">
        <f>533/3534/AD39</f>
        <v>0.16883145151396425</v>
      </c>
      <c r="AE83" s="2"/>
      <c r="AF83" s="2"/>
      <c r="AH83" s="11">
        <f>21/(21+27.9)</f>
        <v>0.42944785276073622</v>
      </c>
      <c r="AI83" s="11"/>
      <c r="AJ83" s="11">
        <v>0</v>
      </c>
      <c r="AK83" s="11"/>
      <c r="AN83" s="2">
        <v>0</v>
      </c>
      <c r="AS83" s="11">
        <f>2323/(9696+2323)</f>
        <v>0.19327731092436976</v>
      </c>
      <c r="AT83" s="11"/>
      <c r="AW83" s="11">
        <v>0.91</v>
      </c>
      <c r="AY83" s="11">
        <f>107.4/(175.7+107.4)</f>
        <v>0.37937124690921936</v>
      </c>
      <c r="AZ83" s="11"/>
      <c r="BA83" s="11">
        <f>5434/(5434+1073)</f>
        <v>0.8351006608268019</v>
      </c>
      <c r="BB83" s="11"/>
      <c r="BC83" s="11">
        <f>1188.9/(5749.9+1188.9)</f>
        <v>0.1713408658557676</v>
      </c>
      <c r="BD83" s="11"/>
      <c r="BE83" s="11">
        <f>1.78/(1.78+8.16)</f>
        <v>0.17907444668008049</v>
      </c>
      <c r="BG83" s="11">
        <f>26.3/(96+26.3)</f>
        <v>0.21504497138184792</v>
      </c>
      <c r="BK83" s="2">
        <f>38/(38+140)</f>
        <v>0.21348314606741572</v>
      </c>
      <c r="BM83" s="2"/>
      <c r="BN83" s="2"/>
      <c r="BO83" s="2">
        <f>+(26.538/(483.752-0.528*6))</f>
        <v>5.5220315283072259E-2</v>
      </c>
      <c r="BP83" s="2"/>
      <c r="BQ83" s="2">
        <v>0.37</v>
      </c>
      <c r="BR83" s="11"/>
      <c r="BS83" s="11">
        <v>0</v>
      </c>
      <c r="BT83" s="2"/>
      <c r="BU83" s="2">
        <v>0</v>
      </c>
      <c r="BV83" s="2"/>
      <c r="BW83" s="2">
        <v>0</v>
      </c>
      <c r="BX83" s="2"/>
      <c r="BY83" s="2">
        <f>78.2/(78.2+89.9)</f>
        <v>0.46519928613920281</v>
      </c>
      <c r="BZ83" s="2"/>
      <c r="CA83" s="2">
        <v>0.28999999999999998</v>
      </c>
      <c r="CB83" s="2"/>
      <c r="CC83" s="2">
        <f>42.5/(42.5+146)</f>
        <v>0.22546419098143236</v>
      </c>
      <c r="CD83" s="2"/>
      <c r="CE83" s="2"/>
      <c r="CF83" s="2"/>
      <c r="CG83" s="2">
        <f>22.9/214.7</f>
        <v>0.10666045645086167</v>
      </c>
      <c r="CH83" s="2"/>
      <c r="CI83" s="2">
        <f>55/(180+55)</f>
        <v>0.23404255319148937</v>
      </c>
      <c r="CJ83" s="2"/>
      <c r="CK83" s="2"/>
      <c r="CL83" s="2"/>
      <c r="CM83" s="2">
        <f>36/(36+153)</f>
        <v>0.19047619047619047</v>
      </c>
      <c r="CN83" s="2"/>
      <c r="CO83" s="2">
        <f>54.459/(181.402+54.459)</f>
        <v>0.23089446750416562</v>
      </c>
    </row>
    <row r="84" spans="1:94" outlineLevel="2" x14ac:dyDescent="0.25">
      <c r="A84" t="s">
        <v>302</v>
      </c>
      <c r="D84" s="52">
        <v>0</v>
      </c>
      <c r="E84" s="11"/>
      <c r="F84" s="52">
        <v>-5</v>
      </c>
      <c r="G84" s="52">
        <v>0</v>
      </c>
      <c r="H84" s="52">
        <v>0</v>
      </c>
      <c r="I84" s="52">
        <v>0</v>
      </c>
      <c r="J84" s="52">
        <v>8</v>
      </c>
      <c r="K84" s="52">
        <v>0</v>
      </c>
      <c r="L84" s="52">
        <v>-1.4</v>
      </c>
      <c r="M84" s="52">
        <v>0</v>
      </c>
      <c r="N84" s="52">
        <v>10</v>
      </c>
      <c r="O84" s="52">
        <v>0</v>
      </c>
      <c r="P84" s="52">
        <v>2.25</v>
      </c>
      <c r="Q84" s="52">
        <v>0</v>
      </c>
      <c r="R84" s="52">
        <v>-1.7</v>
      </c>
      <c r="S84" s="52">
        <v>0</v>
      </c>
      <c r="T84" s="52">
        <v>0</v>
      </c>
      <c r="U84" s="52">
        <v>0</v>
      </c>
      <c r="V84" s="52">
        <v>6</v>
      </c>
      <c r="W84" s="52">
        <v>0</v>
      </c>
      <c r="X84" s="52">
        <v>2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6</v>
      </c>
      <c r="AE84" s="52">
        <v>0</v>
      </c>
      <c r="AF84" s="52">
        <v>0</v>
      </c>
      <c r="AG84" s="52">
        <v>0</v>
      </c>
      <c r="AH84" s="52">
        <f>0.1*B86</f>
        <v>4.5453373825708434</v>
      </c>
      <c r="AI84" s="52">
        <v>0</v>
      </c>
      <c r="AJ84" s="52">
        <v>6</v>
      </c>
      <c r="AK84" s="52">
        <v>0</v>
      </c>
      <c r="AL84" s="52">
        <v>0</v>
      </c>
      <c r="AM84" s="52">
        <v>0</v>
      </c>
      <c r="AN84" s="52">
        <v>1</v>
      </c>
      <c r="AO84" s="52">
        <v>0</v>
      </c>
      <c r="AP84" s="52">
        <v>0</v>
      </c>
      <c r="AQ84" s="52">
        <v>0</v>
      </c>
      <c r="AR84" s="52">
        <v>0</v>
      </c>
      <c r="AS84" s="52">
        <v>4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6</v>
      </c>
      <c r="AZ84" s="52">
        <v>0</v>
      </c>
      <c r="BA84" s="52">
        <v>8</v>
      </c>
      <c r="BB84" s="52">
        <v>0</v>
      </c>
      <c r="BC84" s="52">
        <f>65.56-59.43</f>
        <v>6.1300000000000026</v>
      </c>
      <c r="BD84" s="52">
        <v>0</v>
      </c>
      <c r="BE84" s="52">
        <f>65.56-60.08</f>
        <v>5.480000000000004</v>
      </c>
      <c r="BF84" s="52">
        <v>0</v>
      </c>
      <c r="BG84" s="52">
        <f>65.56-61.57</f>
        <v>3.990000000000002</v>
      </c>
      <c r="BK84" s="2"/>
      <c r="BM84" s="2"/>
      <c r="BN84" s="2"/>
      <c r="BO84" s="52">
        <v>25</v>
      </c>
      <c r="BP84" s="2"/>
      <c r="BQ84" s="2"/>
      <c r="BR84" s="11"/>
      <c r="BS84" s="11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</row>
    <row r="85" spans="1:94" outlineLevel="2" x14ac:dyDescent="0.25">
      <c r="A85" t="s">
        <v>303</v>
      </c>
      <c r="D85" s="52">
        <v>-0.15</v>
      </c>
      <c r="E85" s="11"/>
      <c r="F85" s="52">
        <v>0</v>
      </c>
      <c r="G85" s="52">
        <v>0</v>
      </c>
      <c r="H85" s="52">
        <f>0.23*B87</f>
        <v>0.63250000000000006</v>
      </c>
      <c r="I85" s="52">
        <v>0</v>
      </c>
      <c r="J85" s="52">
        <v>1</v>
      </c>
      <c r="K85" s="52">
        <v>0</v>
      </c>
      <c r="L85" s="52">
        <v>0.15</v>
      </c>
      <c r="M85" s="52">
        <v>0</v>
      </c>
      <c r="N85" s="52">
        <v>0.3</v>
      </c>
      <c r="O85" s="52">
        <v>0</v>
      </c>
      <c r="P85" s="52">
        <f>0.1*B87</f>
        <v>0.27500000000000002</v>
      </c>
      <c r="Q85" s="52">
        <v>0</v>
      </c>
      <c r="R85" s="52">
        <v>0.35</v>
      </c>
      <c r="S85" s="52">
        <v>0</v>
      </c>
      <c r="T85" s="52">
        <v>0</v>
      </c>
      <c r="U85" s="52">
        <v>0</v>
      </c>
      <c r="V85" s="52">
        <v>1.1000000000000001</v>
      </c>
      <c r="W85" s="52">
        <v>0</v>
      </c>
      <c r="X85" s="52">
        <v>1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0.8</v>
      </c>
      <c r="AE85" s="52">
        <v>0</v>
      </c>
      <c r="AF85" s="52">
        <v>0</v>
      </c>
      <c r="AG85" s="52">
        <v>0</v>
      </c>
      <c r="AH85" s="52">
        <v>2</v>
      </c>
      <c r="AI85" s="52">
        <v>0</v>
      </c>
      <c r="AJ85" s="52">
        <v>-0.1</v>
      </c>
      <c r="AK85" s="52">
        <v>0</v>
      </c>
      <c r="AL85" s="52">
        <v>0</v>
      </c>
      <c r="AM85" s="52">
        <v>0</v>
      </c>
      <c r="AN85" s="52">
        <v>0</v>
      </c>
      <c r="AO85" s="52">
        <v>0</v>
      </c>
      <c r="AP85" s="52">
        <v>0</v>
      </c>
      <c r="AQ85" s="52">
        <v>0</v>
      </c>
      <c r="AR85" s="52">
        <v>0</v>
      </c>
      <c r="AS85" s="52">
        <v>1</v>
      </c>
      <c r="AT85" s="52">
        <v>0</v>
      </c>
      <c r="AU85" s="52">
        <v>0</v>
      </c>
      <c r="AV85" s="52">
        <v>0</v>
      </c>
      <c r="AW85" s="52">
        <v>0.15</v>
      </c>
      <c r="AX85" s="52">
        <v>0</v>
      </c>
      <c r="AY85" s="52">
        <v>0</v>
      </c>
      <c r="AZ85" s="52">
        <v>0</v>
      </c>
      <c r="BA85" s="52">
        <v>0.6</v>
      </c>
      <c r="BB85" s="52">
        <v>0</v>
      </c>
      <c r="BC85" s="52">
        <f>3.1-2.82</f>
        <v>0.28000000000000025</v>
      </c>
      <c r="BD85" s="52">
        <v>0</v>
      </c>
      <c r="BE85" s="52">
        <v>1</v>
      </c>
      <c r="BF85" s="52">
        <v>0</v>
      </c>
      <c r="BG85" s="52">
        <v>1</v>
      </c>
      <c r="BK85" s="2"/>
      <c r="BM85" s="2"/>
      <c r="BN85" s="2"/>
      <c r="BO85" s="52"/>
      <c r="BP85" s="2"/>
      <c r="BQ85" s="2"/>
      <c r="BR85" s="11"/>
      <c r="BS85" s="11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</row>
    <row r="86" spans="1:94" outlineLevel="2" x14ac:dyDescent="0.25">
      <c r="A86" t="s">
        <v>86</v>
      </c>
      <c r="B86" s="32">
        <f>+'E&amp;P Sensitivity Rankings'!C6</f>
        <v>45.453373825708432</v>
      </c>
      <c r="C86" s="32"/>
      <c r="D86" s="4">
        <f>+SUM(D87:D105)</f>
        <v>4650.4859519728407</v>
      </c>
      <c r="E86" s="4"/>
      <c r="F86" s="4">
        <f>+SUM(F87:F105)</f>
        <v>3036.8852144870571</v>
      </c>
      <c r="G86" s="4"/>
      <c r="H86" s="4">
        <f>+SUM(H87:H105)</f>
        <v>1378.7285375014098</v>
      </c>
      <c r="I86" s="4"/>
      <c r="J86" s="4">
        <f>+SUM(J87:J105)</f>
        <v>1019.8512461160196</v>
      </c>
      <c r="K86" s="4">
        <f t="shared" ref="K86" si="16">+SUM(K87:K105)</f>
        <v>0</v>
      </c>
      <c r="L86" s="4">
        <f>+SUM(L87:L105)</f>
        <v>5592.1219396047518</v>
      </c>
      <c r="M86" s="4"/>
      <c r="N86" s="4">
        <f>+SUM(N87:N105)</f>
        <v>2512.0779168409249</v>
      </c>
      <c r="O86" s="4"/>
      <c r="P86" s="4">
        <f>+SUM(P87:P105)</f>
        <v>7847.4745626022304</v>
      </c>
      <c r="Q86" s="4"/>
      <c r="R86" s="4">
        <f>+SUM(R87:R105)</f>
        <v>1445.989774290382</v>
      </c>
      <c r="S86" s="4">
        <f t="shared" ref="S86:AB86" si="17">+SUM(S87:S105)</f>
        <v>0</v>
      </c>
      <c r="T86" s="4">
        <f t="shared" si="17"/>
        <v>0</v>
      </c>
      <c r="U86" s="4">
        <f t="shared" si="17"/>
        <v>0</v>
      </c>
      <c r="V86" s="4">
        <f>+SUM(V87:V105)</f>
        <v>5366.3511333360821</v>
      </c>
      <c r="W86" s="4">
        <f t="shared" si="17"/>
        <v>0</v>
      </c>
      <c r="X86" s="4">
        <f t="shared" si="17"/>
        <v>1714.5009735397784</v>
      </c>
      <c r="Y86" s="4">
        <f t="shared" si="17"/>
        <v>0</v>
      </c>
      <c r="Z86" s="4">
        <f t="shared" si="17"/>
        <v>0</v>
      </c>
      <c r="AA86" s="4">
        <f t="shared" si="17"/>
        <v>0</v>
      </c>
      <c r="AB86" s="4">
        <f t="shared" si="17"/>
        <v>1600</v>
      </c>
      <c r="AC86" s="4"/>
      <c r="AD86" s="4">
        <f>+SUM(AD87:AD105)</f>
        <v>892.54163266790249</v>
      </c>
      <c r="AE86" s="4"/>
      <c r="AF86" s="4">
        <f>+SUM(AF87:AF105)</f>
        <v>1963.2107777518099</v>
      </c>
      <c r="AG86" s="4"/>
      <c r="AH86" s="4">
        <f>+SUM(AH87:AH105)</f>
        <v>981.83889223486835</v>
      </c>
      <c r="AI86" s="4"/>
      <c r="AJ86" s="4">
        <f>+SUM(AJ87:AJ105)</f>
        <v>862.65207231328202</v>
      </c>
      <c r="AK86" s="4"/>
      <c r="AL86" s="4"/>
      <c r="AM86" s="4"/>
      <c r="AN86" s="4">
        <f>+SUM(AN87:AN105)</f>
        <v>1967.932595528647</v>
      </c>
      <c r="AO86" s="4"/>
      <c r="AP86" s="4"/>
      <c r="AQ86" s="4"/>
      <c r="AR86" s="4"/>
      <c r="AS86" s="4">
        <f>+SUM(AS87:AS105)</f>
        <v>2679.9769191831069</v>
      </c>
      <c r="AT86" s="4"/>
      <c r="AU86" s="4"/>
      <c r="AV86" s="4"/>
      <c r="AW86" s="4">
        <f>+SUM(AW87:AW105)</f>
        <v>4525.2394896507285</v>
      </c>
      <c r="AX86" s="4"/>
      <c r="AY86" s="4">
        <f>+SUM(AY87:AY105)</f>
        <v>1590.699051879594</v>
      </c>
      <c r="AZ86" s="4"/>
      <c r="BA86" s="4">
        <f>+SUM(BA87:BA105)</f>
        <v>4661.7640107003353</v>
      </c>
      <c r="BB86" s="4"/>
      <c r="BC86" s="4">
        <f>+SUM(BC87:BC105)</f>
        <v>2255.4778167042587</v>
      </c>
      <c r="BD86" s="4"/>
      <c r="BE86" s="4">
        <f>+SUM(BE87:BE105)</f>
        <v>2945.7986640889521</v>
      </c>
      <c r="BF86" s="4"/>
      <c r="BG86" s="4">
        <f>+SUM(BG87:BG105)</f>
        <v>2389.1418651957465</v>
      </c>
      <c r="BH86" s="4"/>
      <c r="BI86" s="4"/>
      <c r="BJ86" s="4"/>
      <c r="BK86" s="4">
        <f t="shared" ref="BK86:CO86" si="18">+SUM(BK87:BK105)</f>
        <v>17286.423035487798</v>
      </c>
      <c r="BL86" s="4">
        <f t="shared" si="18"/>
        <v>0</v>
      </c>
      <c r="BM86" s="4">
        <f t="shared" si="18"/>
        <v>12787.336659908889</v>
      </c>
      <c r="BN86" s="4">
        <f t="shared" ref="BN86:BO86" si="19">+SUM(BN87:BN105)</f>
        <v>0</v>
      </c>
      <c r="BO86" s="4">
        <f t="shared" si="19"/>
        <v>1590.1556985219045</v>
      </c>
      <c r="BP86" s="4">
        <f t="shared" si="18"/>
        <v>0</v>
      </c>
      <c r="BQ86" s="4">
        <f t="shared" si="18"/>
        <v>4467.3930816844731</v>
      </c>
      <c r="BR86" s="4">
        <f t="shared" si="18"/>
        <v>0</v>
      </c>
      <c r="BS86" s="4">
        <f t="shared" si="18"/>
        <v>8533.519275789582</v>
      </c>
      <c r="BT86" s="4">
        <f t="shared" si="18"/>
        <v>0</v>
      </c>
      <c r="BU86" s="4">
        <f t="shared" si="18"/>
        <v>32212.996631985901</v>
      </c>
      <c r="BV86" s="4">
        <f t="shared" si="18"/>
        <v>0</v>
      </c>
      <c r="BW86" s="4">
        <f t="shared" si="18"/>
        <v>8597.0304958530323</v>
      </c>
      <c r="BX86" s="4">
        <f t="shared" si="18"/>
        <v>0</v>
      </c>
      <c r="BY86" s="4">
        <f t="shared" si="18"/>
        <v>4854.3766009731498</v>
      </c>
      <c r="BZ86" s="4">
        <f t="shared" si="18"/>
        <v>0</v>
      </c>
      <c r="CA86" s="4">
        <f t="shared" si="18"/>
        <v>11459.378908406732</v>
      </c>
      <c r="CB86" s="4">
        <f t="shared" si="18"/>
        <v>0</v>
      </c>
      <c r="CC86" s="4">
        <f t="shared" si="18"/>
        <v>19113.607032174579</v>
      </c>
      <c r="CD86" s="4">
        <f t="shared" si="18"/>
        <v>0</v>
      </c>
      <c r="CE86" s="4">
        <f t="shared" si="18"/>
        <v>0</v>
      </c>
      <c r="CF86" s="4">
        <f t="shared" si="18"/>
        <v>0</v>
      </c>
      <c r="CG86" s="4">
        <f t="shared" si="18"/>
        <v>7601.3108769601286</v>
      </c>
      <c r="CH86" s="4">
        <f t="shared" si="18"/>
        <v>0</v>
      </c>
      <c r="CI86" s="4">
        <f t="shared" si="18"/>
        <v>11294.572677543554</v>
      </c>
      <c r="CJ86" s="4">
        <f t="shared" si="18"/>
        <v>0</v>
      </c>
      <c r="CK86" s="4">
        <f t="shared" si="18"/>
        <v>0</v>
      </c>
      <c r="CL86" s="4">
        <f t="shared" si="18"/>
        <v>0</v>
      </c>
      <c r="CM86" s="4">
        <f t="shared" si="18"/>
        <v>18025.501683684528</v>
      </c>
      <c r="CN86" s="4">
        <f t="shared" si="18"/>
        <v>0</v>
      </c>
      <c r="CO86" s="4">
        <f t="shared" si="18"/>
        <v>7757.8759959690697</v>
      </c>
      <c r="CP86" s="4"/>
    </row>
    <row r="87" spans="1:94" outlineLevel="2" x14ac:dyDescent="0.25">
      <c r="A87" t="s">
        <v>87</v>
      </c>
      <c r="B87" s="32">
        <f>+'E&amp;P Sensitivity Rankings'!C7</f>
        <v>2.75</v>
      </c>
      <c r="C87" s="32"/>
      <c r="D87" s="9">
        <f>+(((D38*(1-D$81)*D$39*(($B$86-D$84)*(1-D$83)+(D$83*0.5*($B$86-D$84)))+D$38*(1-D$81)*(1-D$39)*($B$87-D$85)*6)-(D$49+D$48)*D38*(1-D$81))/(1.1))</f>
        <v>1064.8681483810021</v>
      </c>
      <c r="E87" s="4"/>
      <c r="F87">
        <f t="shared" ref="F87:BG87" si="20">+(((F38*(1-F$81)*F$39*(($B$86-F$84)*(1-F$83)+(F$83*0.5*($B$86-F$84)))+F$38*(1-F$81)*(1-F$39)*($B$87-F$85)*6)-(F$49+F$48)*F38*(1-F$81))/(1.1))</f>
        <v>642.43644005025419</v>
      </c>
      <c r="G87">
        <f t="shared" si="20"/>
        <v>0</v>
      </c>
      <c r="H87">
        <f t="shared" si="20"/>
        <v>376.90501226390376</v>
      </c>
      <c r="I87">
        <f t="shared" si="20"/>
        <v>0</v>
      </c>
      <c r="J87">
        <f t="shared" si="20"/>
        <v>278.79820861713529</v>
      </c>
      <c r="K87">
        <f t="shared" si="20"/>
        <v>0</v>
      </c>
      <c r="L87">
        <f>+((((L38+10)*(1-L$81)*L$39*(($B$86-L$84)*(1-L$83)+(L$83*0.5*($B$86-L$84)))+(L$38+10)*(1-L$81)*(1-L$39)*($B$87-L$85)*6)-(L$49+L$48)*(L38+10)*(1-L$81))/(1.1))</f>
        <v>1280.4839315387028</v>
      </c>
      <c r="M87">
        <f t="shared" si="20"/>
        <v>0</v>
      </c>
      <c r="N87">
        <f t="shared" si="20"/>
        <v>575.21553392939347</v>
      </c>
      <c r="O87" s="4">
        <f t="shared" si="20"/>
        <v>0</v>
      </c>
      <c r="P87" s="4">
        <f t="shared" si="20"/>
        <v>1796.9145145788959</v>
      </c>
      <c r="Q87" s="4">
        <f t="shared" si="20"/>
        <v>0</v>
      </c>
      <c r="R87">
        <f t="shared" si="20"/>
        <v>293.42667896056395</v>
      </c>
      <c r="S87">
        <f t="shared" si="20"/>
        <v>0</v>
      </c>
      <c r="T87">
        <f t="shared" si="20"/>
        <v>0</v>
      </c>
      <c r="U87">
        <f t="shared" si="20"/>
        <v>0</v>
      </c>
      <c r="V87">
        <f>+((((V38+25)*(1-V$81)*V$39*(($B$86-V$84)*(1-V$83)+(V$83*0.5*($B$86-V$84)))+(V$38+25)*(1-V$81)*(1-V$39)*($B$87-V$85)*6)-(V$49+V$48)*(V38+25)*(1-V$81))/(1.1))</f>
        <v>1467.0071625469498</v>
      </c>
      <c r="W87">
        <f t="shared" si="20"/>
        <v>0</v>
      </c>
      <c r="X87">
        <f t="shared" si="20"/>
        <v>392.58638687344467</v>
      </c>
      <c r="Y87">
        <f t="shared" si="20"/>
        <v>0</v>
      </c>
      <c r="Z87">
        <f t="shared" si="20"/>
        <v>0</v>
      </c>
      <c r="AA87">
        <f t="shared" si="20"/>
        <v>0</v>
      </c>
      <c r="AB87">
        <f>+(((AB40*(1-AB$81)*AB$39*(($B$86-AB$84)*(1-AB$83)+(AB$83*0.5*($B$86-AB$84)))+AB$40*(1-AB$81)*(1-AB$39)*($B$87-AB$85)*6)-(AB$49+AB$48)*AB40*(1-AB$81))/(1.1))</f>
        <v>366.36795702754841</v>
      </c>
      <c r="AC87">
        <f t="shared" si="20"/>
        <v>0</v>
      </c>
      <c r="AD87">
        <f t="shared" si="20"/>
        <v>243.9953956537266</v>
      </c>
      <c r="AE87">
        <f t="shared" si="20"/>
        <v>0</v>
      </c>
      <c r="AF87">
        <f t="shared" si="20"/>
        <v>449.53595116212193</v>
      </c>
      <c r="AG87">
        <f t="shared" si="20"/>
        <v>0</v>
      </c>
      <c r="AH87" s="4">
        <f t="shared" si="20"/>
        <v>268.40671651694328</v>
      </c>
      <c r="AI87" s="4">
        <f t="shared" si="20"/>
        <v>0</v>
      </c>
      <c r="AJ87" s="4">
        <f t="shared" si="20"/>
        <v>235.82444335557742</v>
      </c>
      <c r="AK87" s="4">
        <f t="shared" si="20"/>
        <v>0</v>
      </c>
      <c r="AL87" s="4">
        <f t="shared" si="20"/>
        <v>0</v>
      </c>
      <c r="AM87" s="4">
        <f t="shared" si="20"/>
        <v>0</v>
      </c>
      <c r="AN87" s="4">
        <f t="shared" si="20"/>
        <v>450.61715286984457</v>
      </c>
      <c r="AO87" s="4">
        <f t="shared" si="20"/>
        <v>0</v>
      </c>
      <c r="AP87" s="4">
        <f t="shared" si="20"/>
        <v>0</v>
      </c>
      <c r="AQ87" s="4">
        <f t="shared" si="20"/>
        <v>0</v>
      </c>
      <c r="AR87" s="4">
        <f t="shared" si="20"/>
        <v>0</v>
      </c>
      <c r="AS87" s="4">
        <f t="shared" si="20"/>
        <v>732.62916238915864</v>
      </c>
      <c r="AT87" s="4">
        <f t="shared" si="20"/>
        <v>0</v>
      </c>
      <c r="AU87" s="4">
        <f t="shared" si="20"/>
        <v>0</v>
      </c>
      <c r="AV87" s="4">
        <f t="shared" si="20"/>
        <v>0</v>
      </c>
      <c r="AW87" s="4">
        <f t="shared" si="20"/>
        <v>841.35423213108515</v>
      </c>
      <c r="AX87" s="4">
        <f t="shared" si="20"/>
        <v>0</v>
      </c>
      <c r="AY87" s="4">
        <f t="shared" si="20"/>
        <v>434.85169803141571</v>
      </c>
      <c r="AZ87" s="4">
        <f t="shared" si="20"/>
        <v>0</v>
      </c>
      <c r="BA87" s="4">
        <f t="shared" si="20"/>
        <v>1067.45059796552</v>
      </c>
      <c r="BB87" s="4">
        <f t="shared" si="20"/>
        <v>0</v>
      </c>
      <c r="BC87" s="4">
        <f t="shared" si="20"/>
        <v>516.45924989180924</v>
      </c>
      <c r="BD87" s="4">
        <f t="shared" si="20"/>
        <v>0</v>
      </c>
      <c r="BE87" s="4">
        <f t="shared" ref="BE87" si="21">+(((BE38*(1-BE$81)*BE$39*(($B$86-BE$84)*(1-BE$83)+(BE$83*0.5*($B$86-BE$84)))+BE$38*(1-BE$81)*(1-BE$39)*($B$87-BE$85)*6)-(BE$49+BE$48)*BE38*(1-BE$81))/(1.1))</f>
        <v>674.52889898546925</v>
      </c>
      <c r="BF87" s="4">
        <f t="shared" si="20"/>
        <v>0</v>
      </c>
      <c r="BG87" s="4">
        <f t="shared" si="20"/>
        <v>653.12316348633487</v>
      </c>
      <c r="BH87" s="4"/>
      <c r="BI87" s="4"/>
      <c r="BJ87" s="4"/>
      <c r="BK87" s="4">
        <f>+(((BK40*(1-BK$81)*BK$39*(($B$86-BK$84)*(1-BK$83)+(BK$83*0.5*($B$86-BK$84)))+BK$40*(1-BK$81)*(1-BK$39)*($B$87-BK$85)*6)-(BK$49+BK$48)*BK40*(1-BK$81))/(1.1))</f>
        <v>3958.2446823910122</v>
      </c>
      <c r="BL87" s="4">
        <f t="shared" ref="BL87:CN87" si="22">+(((BL38*(1-BL$81)*BL$39*(($B$86-BL$84)*(1-BL$83)+(BL$83*0.5*($B$86-BL$84)))+BL$38*(1-BL$81)*(1-BL$39)*($B$87-BL$85)*6)-(BL$49+BL$48)*BL38*(1-BL$81))/(1.1))</f>
        <v>0</v>
      </c>
      <c r="BM87" s="4">
        <f>+(((BM40*(1-BM$81)*BM$39*(($B$86-BM$84)*(1-BM$83)+(BM$83*0.5*($B$86-BM$84)))+BM$40*(1-BM$81)*(1-BM$39)*($B$87-BM$85)*6)-(BM$49+BM$48)*BM40*(1-BM$81))/(1.1))</f>
        <v>2928.0440049464346</v>
      </c>
      <c r="BN87" s="4">
        <f t="shared" ref="BN87" si="23">+(((BN38*(1-BN$81)*BN$39*(($B$86-BN$84)*(1-BN$83)+(BN$83*0.5*($B$86-BN$84)))+BN$38*(1-BN$81)*(1-BN$39)*($B$87-BN$85)*6)-(BN$49+BN$48)*BN38*(1-BN$81))/(1.1))</f>
        <v>0</v>
      </c>
      <c r="BO87" s="4">
        <f>+(((BO40*(1-BO$81)*BO$39*(($B$86-BO$84)*(1-BO$83)+(BO$83*0.5*($B$86-BO$84)))+BO$40*(1-BO$81)*(1-BO$39)*($B$87-BO$85)*6)-(BO$49+BO$48)*BO40*(1-BO$81))/(1.1))</f>
        <v>295.64937496866685</v>
      </c>
      <c r="BP87" s="4">
        <f t="shared" si="22"/>
        <v>0</v>
      </c>
      <c r="BQ87" s="4">
        <f t="shared" si="22"/>
        <v>1221.2577011652977</v>
      </c>
      <c r="BR87" s="4">
        <f t="shared" si="22"/>
        <v>0</v>
      </c>
      <c r="BS87" s="4">
        <f t="shared" si="22"/>
        <v>1954.0050145788964</v>
      </c>
      <c r="BT87" s="4">
        <f t="shared" si="22"/>
        <v>0</v>
      </c>
      <c r="BU87" s="4">
        <f>+(((BU40*(1-BU$81)*BU$39*(($B$86-BU$84)*(1-BU$83)+(BU$83*0.5*($B$86-BU$84)))+BU$40*(1-BU$81)*(1-BU$39)*($B$87-BU$85)*6)-(BU$49+BU$48)*BU40*(1-BU$81))/(1.1))</f>
        <v>7376.1311036224834</v>
      </c>
      <c r="BV87" s="4">
        <f t="shared" si="22"/>
        <v>0</v>
      </c>
      <c r="BW87" s="4">
        <f t="shared" si="22"/>
        <v>1968.5478120432558</v>
      </c>
      <c r="BX87" s="4">
        <f t="shared" si="22"/>
        <v>0</v>
      </c>
      <c r="BY87" s="4">
        <f>+(((BY40*(1-BY$81)*BY$39*(($B$86-BY$84)*(1-BY$83)+(BY$83*0.5*($B$86-BY$84)))+BY$40*(1-BY$81)*(1-BY$39)*($B$87-BY$85)*6)-(BY$49+BY$48)*BY40*(1-BY$81))/(1.1))</f>
        <v>1111.5550237130421</v>
      </c>
      <c r="BZ87" s="4">
        <f t="shared" si="22"/>
        <v>0</v>
      </c>
      <c r="CA87" s="4">
        <f t="shared" si="22"/>
        <v>2623.9682746734698</v>
      </c>
      <c r="CB87" s="4">
        <f t="shared" si="22"/>
        <v>0</v>
      </c>
      <c r="CC87" s="4">
        <f t="shared" si="22"/>
        <v>4376.6332248782401</v>
      </c>
      <c r="CD87" s="4">
        <f t="shared" si="22"/>
        <v>0</v>
      </c>
      <c r="CE87" s="4">
        <f t="shared" si="22"/>
        <v>0</v>
      </c>
      <c r="CF87" s="4">
        <f t="shared" si="22"/>
        <v>0</v>
      </c>
      <c r="CG87" s="4">
        <f t="shared" si="22"/>
        <v>1740.5479604519785</v>
      </c>
      <c r="CH87" s="4">
        <f t="shared" si="22"/>
        <v>0</v>
      </c>
      <c r="CI87" s="4">
        <f>+(((CI40*(1-CI$81)*CI$39*(($B$86-CI$84)*(1-CI$83)+(CI$83*0.5*($B$86-CI$84)))+CI$40*(1-CI$81)*(1-CI$39)*($B$87-CI$85)*6)-(CI$49+CI$48)*CI40*(1-CI$81))/(1.1))</f>
        <v>2586.2309483567506</v>
      </c>
      <c r="CJ87" s="4">
        <f t="shared" si="22"/>
        <v>0</v>
      </c>
      <c r="CK87" s="4">
        <f t="shared" si="22"/>
        <v>0</v>
      </c>
      <c r="CL87" s="4">
        <f t="shared" si="22"/>
        <v>0</v>
      </c>
      <c r="CM87" s="4">
        <f t="shared" si="22"/>
        <v>4127.4788914050851</v>
      </c>
      <c r="CN87" s="4">
        <f t="shared" si="22"/>
        <v>0</v>
      </c>
      <c r="CO87" s="4">
        <f>+(((CO40*(1-CO$81)*CO$39*(($B$86-CO$84)*(1-CO$83)+(CO$83*0.5*($B$86-CO$84)))+CO$40*(1-CO$81)*(1-CO$39)*($B$87-CO$85)*6)-(CO$49+CO$48)*CO40*(1-CO$81))/(1.1))</f>
        <v>1776.3982371976542</v>
      </c>
    </row>
    <row r="88" spans="1:94" outlineLevel="2" x14ac:dyDescent="0.25">
      <c r="B88">
        <v>1</v>
      </c>
      <c r="D88" s="4">
        <f>+(((D$38*((1-D$81)*(1-D$82)^$B88)*D$39*((1-D$83)*($B$86-D$84)+(D$83*0.5*($B$86-D$84)))+D$38*6*((1-D$81)*(1-D$82)^$B88)*(1-D$39)*($B$87-D$85))-(D$49+D$48)*D$38*(1-D$81)*(1-D$82)^$B88)/(1.1^$B89))</f>
        <v>822.85266011259262</v>
      </c>
      <c r="E88" s="4"/>
      <c r="F88">
        <f t="shared" ref="F88:BG92" si="24">+(((F$38*((1-F$81)*(1-F$82)^$B88)*F$39*((1-F$83)*($B$86-F$84)+(F$83*0.5*($B$86-F$84)))+F$38*6*((1-F$81)*(1-F$82)^$B88)*(1-F$39)*($B$87-F$85))-(F$49+F$48)*F$38*(1-F$81)*(1-F$82)^$B88)/(1.1^$B89))</f>
        <v>508.10882076701904</v>
      </c>
      <c r="G88">
        <f t="shared" si="24"/>
        <v>0</v>
      </c>
      <c r="H88">
        <f t="shared" si="24"/>
        <v>274.11273619192997</v>
      </c>
      <c r="I88">
        <f t="shared" si="24"/>
        <v>0</v>
      </c>
      <c r="J88">
        <f t="shared" si="24"/>
        <v>202.76233353973467</v>
      </c>
      <c r="K88">
        <f t="shared" si="24"/>
        <v>0</v>
      </c>
      <c r="L88">
        <f>+((((L$38+10)*((1-L$81)*(1-L$82)^$B88)*L$39*((1-L$83)*($B$86-L$84)+(L$83*0.5*($B$86-L$84)))+(L$38+10)*6*((1-L$81)*(1-L$82)^$B88)*(1-L$39)*($B$87-L$85))-(L$49+L$48)*(L$38+10)*(1-L$81)*(1-L$82)^$B88)/(1.1^$B89))</f>
        <v>989.46485618899783</v>
      </c>
      <c r="M88">
        <f t="shared" si="24"/>
        <v>0</v>
      </c>
      <c r="N88">
        <f t="shared" si="24"/>
        <v>444.484730763622</v>
      </c>
      <c r="O88" s="4">
        <f t="shared" si="24"/>
        <v>0</v>
      </c>
      <c r="P88" s="4">
        <f t="shared" si="24"/>
        <v>1388.5248521746012</v>
      </c>
      <c r="Q88" s="4">
        <f t="shared" si="24"/>
        <v>0</v>
      </c>
      <c r="R88">
        <f t="shared" si="24"/>
        <v>234.74134316845101</v>
      </c>
      <c r="S88">
        <f t="shared" si="24"/>
        <v>0</v>
      </c>
      <c r="T88">
        <f t="shared" si="24"/>
        <v>0</v>
      </c>
      <c r="U88">
        <f t="shared" si="24"/>
        <v>0</v>
      </c>
      <c r="V88">
        <f>+((((V$38+25)*((1-V$81)*(1-V$82)^$B88)*V$39*((1-V$83)*($B$86-V$84)+(V$83*0.5*($B$86-V$84)))+(V$38+25)*6*((1-V$81)*(1-V$82)^$B88)*(1-V$39)*($B$87-V$85))-(V$49+V$48)*(V$38+25)*(1-V$81)*(1-V$82)^$B88)/(1.1^$B89))</f>
        <v>1066.9143000341453</v>
      </c>
      <c r="W88">
        <f t="shared" si="24"/>
        <v>0</v>
      </c>
      <c r="X88">
        <f t="shared" si="24"/>
        <v>303.36220803857071</v>
      </c>
      <c r="Y88">
        <f t="shared" si="24"/>
        <v>0</v>
      </c>
      <c r="Z88">
        <f t="shared" si="24"/>
        <v>0</v>
      </c>
      <c r="AA88">
        <f t="shared" si="24"/>
        <v>0</v>
      </c>
      <c r="AB88">
        <f>+(((AB$40*((1-AB$81)*(1-AB$82)^$B88)*AB$39*((1-AB$83)*($B$86-AB$84)+(AB$83*0.5*($B$86-AB$84)))+AB$40*6*((1-AB$81)*(1-AB$82)^$B88)*(1-AB$39)*($B$87-AB$85))-(AB$49+AB$48)*AB$40*(1-AB$81)*(1-AB$82)^$B88)/(1.1^$B89))</f>
        <v>283.10251224856012</v>
      </c>
      <c r="AC88">
        <f t="shared" si="24"/>
        <v>0</v>
      </c>
      <c r="AD88">
        <f t="shared" si="24"/>
        <v>177.45119683907387</v>
      </c>
      <c r="AE88">
        <f t="shared" si="24"/>
        <v>0</v>
      </c>
      <c r="AF88">
        <f t="shared" si="24"/>
        <v>347.36868953436692</v>
      </c>
      <c r="AG88">
        <f t="shared" si="24"/>
        <v>0</v>
      </c>
      <c r="AH88" s="4">
        <f t="shared" si="24"/>
        <v>195.20488473959509</v>
      </c>
      <c r="AI88" s="4">
        <f t="shared" si="24"/>
        <v>0</v>
      </c>
      <c r="AJ88" s="4">
        <f t="shared" si="24"/>
        <v>171.50868607678359</v>
      </c>
      <c r="AK88" s="4">
        <f t="shared" si="24"/>
        <v>0</v>
      </c>
      <c r="AL88" s="4">
        <f t="shared" si="24"/>
        <v>0</v>
      </c>
      <c r="AM88" s="4">
        <f t="shared" si="24"/>
        <v>0</v>
      </c>
      <c r="AN88" s="4">
        <f t="shared" si="24"/>
        <v>348.20416358124368</v>
      </c>
      <c r="AO88" s="4">
        <f t="shared" si="24"/>
        <v>0</v>
      </c>
      <c r="AP88" s="4">
        <f t="shared" si="24"/>
        <v>0</v>
      </c>
      <c r="AQ88" s="4">
        <f t="shared" si="24"/>
        <v>0</v>
      </c>
      <c r="AR88" s="4">
        <f t="shared" si="24"/>
        <v>0</v>
      </c>
      <c r="AS88" s="4">
        <f t="shared" si="24"/>
        <v>532.82120901029725</v>
      </c>
      <c r="AT88" s="4">
        <f t="shared" si="24"/>
        <v>0</v>
      </c>
      <c r="AU88" s="4">
        <f t="shared" si="24"/>
        <v>0</v>
      </c>
      <c r="AV88" s="4">
        <f t="shared" si="24"/>
        <v>0</v>
      </c>
      <c r="AW88" s="4">
        <f t="shared" si="24"/>
        <v>688.38073537997889</v>
      </c>
      <c r="AX88" s="4">
        <f t="shared" si="24"/>
        <v>0</v>
      </c>
      <c r="AY88" s="4">
        <f t="shared" si="24"/>
        <v>316.2557803864841</v>
      </c>
      <c r="AZ88" s="4">
        <f t="shared" si="24"/>
        <v>0</v>
      </c>
      <c r="BA88" s="4">
        <f t="shared" si="24"/>
        <v>824.84818933699262</v>
      </c>
      <c r="BB88" s="4">
        <f t="shared" si="24"/>
        <v>0</v>
      </c>
      <c r="BC88" s="4">
        <f t="shared" si="24"/>
        <v>399.08214764367068</v>
      </c>
      <c r="BD88" s="4">
        <f t="shared" si="24"/>
        <v>0</v>
      </c>
      <c r="BE88" s="4">
        <f t="shared" ref="BE88:BE91" si="25">+(((BE$38*((1-BE$81)*(1-BE$82)^$B88)*BE$39*((1-BE$83)*($B$86-BE$84)+(BE$83*0.5*($B$86-BE$84)))+BE$38*6*((1-BE$81)*(1-BE$82)^$B88)*(1-BE$39)*($B$87-BE$85))-(BE$49+BE$48)*BE$38*(1-BE$81)*(1-BE$82)^$B88)/(1.1^$B89))</f>
        <v>521.22687648877172</v>
      </c>
      <c r="BF88" s="4">
        <f t="shared" si="24"/>
        <v>0</v>
      </c>
      <c r="BG88" s="4">
        <f t="shared" si="24"/>
        <v>474.99866435369808</v>
      </c>
      <c r="BH88" s="4"/>
      <c r="BI88" s="4"/>
      <c r="BJ88" s="4"/>
      <c r="BK88" s="4">
        <f>+(((BK$40*((1-BK$81)*(1-BK$82)^$B88)*BK$39*((1-BK$83)*($B$86-BK$84)+(BK$83*0.5*($B$86-BK$84)))+BK$40*6*((1-BK$81)*(1-BK$82)^$B88)*(1-BK$39)*($B$87-BK$85))-(BK$49+BK$48)*BK$40*(1-BK$81)*(1-BK$82)^$B88)/(1.1^$B89))</f>
        <v>3058.6436182112366</v>
      </c>
      <c r="BL88" s="4">
        <f t="shared" ref="BL88:CB103" si="26">+(((BL$38*((1-BL$81)*(1-BL$82)^$B88)*BL$39*((1-BL$83)*($B$86-BL$84)+(BL$83*0.5*($B$86-BL$84)))+BL$38*6*((1-BL$81)*(1-BL$82)^$B88)*(1-BL$39)*($B$87-BL$85))-(BL$49+BL$48)*BL$38*(1-BL$81)*(1-BL$82)^$B88)/(1.1^$B89))</f>
        <v>0</v>
      </c>
      <c r="BM88" s="4">
        <f>+(((BM$40*((1-BM$81)*(1-BM$82)^$B88)*BM$39*((1-BM$83)*($B$86-BM$84)+(BM$83*0.5*($B$86-BM$84)))+BM$40*6*((1-BM$81)*(1-BM$82)^$B88)*(1-BM$39)*($B$87-BM$85))-(BM$49+BM$48)*BM$40*(1-BM$81)*(1-BM$82)^$B88)/(1.1^$B89))</f>
        <v>2262.5794583676998</v>
      </c>
      <c r="BN88" s="4">
        <f t="shared" si="26"/>
        <v>0</v>
      </c>
      <c r="BO88" s="4">
        <f>+(((BO$40*((1-BO$81)*(1-BO$82)^$B88)*BO$39*((1-BO$83)*($B$86-BO$84)+(BO$83*0.5*($B$86-BO$84)))+BO$40*6*((1-BO$81)*(1-BO$82)^$B88)*(1-BO$39)*($B$87-BO$85))-(BO$49+BO$48)*BO$40*(1-BO$81)*(1-BO$82)^$B88)/(1.1^$B89))</f>
        <v>241.89494315618168</v>
      </c>
      <c r="BP88" s="4">
        <f t="shared" si="26"/>
        <v>0</v>
      </c>
      <c r="BQ88" s="4">
        <f t="shared" si="26"/>
        <v>888.18741902930742</v>
      </c>
      <c r="BR88" s="4">
        <f t="shared" si="26"/>
        <v>0</v>
      </c>
      <c r="BS88" s="4">
        <f t="shared" si="26"/>
        <v>1509.9129658109648</v>
      </c>
      <c r="BT88" s="4">
        <f t="shared" si="26"/>
        <v>0</v>
      </c>
      <c r="BU88" s="4">
        <f>+(((BU$40*((1-BU$81)*(1-BU$82)^$B88)*BU$39*((1-BU$83)*($B$86-BU$84)+(BU$83*0.5*($B$86-BU$84)))+BU$40*6*((1-BU$81)*(1-BU$82)^$B88)*(1-BU$39)*($B$87-BU$85))-(BU$49+BU$48)*BU$40*(1-BU$81)*(1-BU$82)^$B88)/(1.1^$B89))</f>
        <v>5699.7376709810096</v>
      </c>
      <c r="BV88" s="4">
        <f t="shared" si="26"/>
        <v>0</v>
      </c>
      <c r="BW88" s="4">
        <f t="shared" si="26"/>
        <v>1521.1505820334241</v>
      </c>
      <c r="BX88" s="4">
        <f t="shared" si="26"/>
        <v>0</v>
      </c>
      <c r="BY88" s="4">
        <f>+(((BY$40*((1-BY$81)*(1-BY$82)^$B88)*BY$39*((1-BY$83)*($B$86-BY$84)+(BY$83*0.5*($B$86-BY$84)))+BY$40*6*((1-BY$81)*(1-BY$82)^$B88)*(1-BY$39)*($B$87-BY$85))-(BY$49+BY$48)*BY$40*(1-BY$81)*(1-BY$82)^$B88)/(1.1^$B89))</f>
        <v>858.928881960078</v>
      </c>
      <c r="BZ88" s="4">
        <f t="shared" si="26"/>
        <v>0</v>
      </c>
      <c r="CA88" s="4">
        <f t="shared" si="26"/>
        <v>2027.6118486113173</v>
      </c>
      <c r="CB88" s="4">
        <f t="shared" si="26"/>
        <v>0</v>
      </c>
      <c r="CC88" s="4">
        <f t="shared" ref="CC88:CN103" si="27">+(((CC$38*((1-CC$81)*(1-CC$82)^$B88)*CC$39*((1-CC$83)*($B$86-CC$84)+(CC$83*0.5*($B$86-CC$84)))+CC$38*6*((1-CC$81)*(1-CC$82)^$B88)*(1-CC$39)*($B$87-CC$85))-(CC$49+CC$48)*CC$38*(1-CC$81)*(1-CC$82)^$B88)/(1.1^$B89))</f>
        <v>3381.9438555877309</v>
      </c>
      <c r="CD88" s="4">
        <f t="shared" si="27"/>
        <v>0</v>
      </c>
      <c r="CE88" s="4">
        <f t="shared" si="27"/>
        <v>0</v>
      </c>
      <c r="CF88" s="4">
        <f t="shared" si="27"/>
        <v>0</v>
      </c>
      <c r="CG88" s="4">
        <f t="shared" si="27"/>
        <v>1344.9688785310739</v>
      </c>
      <c r="CH88" s="4">
        <f t="shared" si="27"/>
        <v>0</v>
      </c>
      <c r="CI88" s="4">
        <f>+(((CI$40*((1-CI$81)*(1-CI$82)^$B88)*CI$39*((1-CI$83)*($B$86-CI$84)+(CI$83*0.5*($B$86-CI$84)))+CI$40*6*((1-CI$81)*(1-CI$82)^$B88)*(1-CI$39)*($B$87-CI$85))-(CI$49+CI$48)*CI$40*(1-CI$81)*(1-CI$82)^$B88)/(1.1^$B89))</f>
        <v>1998.4511873665788</v>
      </c>
      <c r="CJ88" s="4">
        <f t="shared" si="27"/>
        <v>0</v>
      </c>
      <c r="CK88" s="4">
        <f t="shared" si="27"/>
        <v>0</v>
      </c>
      <c r="CL88" s="4">
        <f t="shared" si="27"/>
        <v>0</v>
      </c>
      <c r="CM88" s="4">
        <f t="shared" si="27"/>
        <v>3189.4155069948392</v>
      </c>
      <c r="CN88" s="4">
        <f t="shared" si="27"/>
        <v>0</v>
      </c>
      <c r="CO88" s="4">
        <f>+(((CO$40*((1-CO$81)*(1-CO$82)^$B88)*CO$39*((1-CO$83)*($B$86-CO$84)+(CO$83*0.5*($B$86-CO$84)))+CO$40*6*((1-CO$81)*(1-CO$82)^$B88)*(1-CO$39)*($B$87-CO$85))-(CO$49+CO$48)*CO$40*(1-CO$81)*(1-CO$82)^$B88)/(1.1^$B89))</f>
        <v>1372.6713651072782</v>
      </c>
    </row>
    <row r="89" spans="1:94" outlineLevel="2" x14ac:dyDescent="0.25">
      <c r="B89">
        <v>2</v>
      </c>
      <c r="D89" s="4">
        <f>+(((D$38*((1-D$81)*(1-D$82)^$B89)*D$39*((1-D$83)*($B$86-D$84)+(D$83*0.5*($B$86-D$84)))+D$38*6*((1-D$81)*(1-D$82)^$B89)*(1-D$39)*($B$87-D$85))-(D$49+D$48)*D$38*(1-D$81)*(1-D$82)^$B89)/(1.1^$B90))</f>
        <v>635.84069190518494</v>
      </c>
      <c r="E89" s="4"/>
      <c r="F89">
        <f t="shared" si="24"/>
        <v>401.86788551573335</v>
      </c>
      <c r="G89">
        <f t="shared" si="24"/>
        <v>0</v>
      </c>
      <c r="H89">
        <f t="shared" si="24"/>
        <v>199.35471723049451</v>
      </c>
      <c r="I89">
        <f t="shared" si="24"/>
        <v>0</v>
      </c>
      <c r="J89">
        <f t="shared" si="24"/>
        <v>147.46351530162519</v>
      </c>
      <c r="K89">
        <f t="shared" si="24"/>
        <v>0</v>
      </c>
      <c r="L89">
        <f t="shared" ref="L89:L108" si="28">+((((L$38+10)*((1-L$81)*(1-L$82)^$B89)*L$39*((1-L$83)*($B$86-L$84)+(L$83*0.5*($B$86-L$84)))+(L$38+10)*6*((1-L$81)*(1-L$82)^$B89)*(1-L$39)*($B$87-L$85))-(L$49+L$48)*(L$38+10)*(1-L$81)*(1-L$82)^$B89)/(1.1^$B90))</f>
        <v>764.5864797824072</v>
      </c>
      <c r="M89">
        <f t="shared" si="24"/>
        <v>0</v>
      </c>
      <c r="N89">
        <f t="shared" si="24"/>
        <v>343.46547377188966</v>
      </c>
      <c r="O89" s="4">
        <f t="shared" si="24"/>
        <v>0</v>
      </c>
      <c r="P89" s="4">
        <f t="shared" si="24"/>
        <v>1072.951022134919</v>
      </c>
      <c r="Q89" s="4">
        <f t="shared" si="24"/>
        <v>0</v>
      </c>
      <c r="R89">
        <f t="shared" si="24"/>
        <v>187.79307453476088</v>
      </c>
      <c r="S89">
        <f t="shared" si="24"/>
        <v>0</v>
      </c>
      <c r="T89">
        <f t="shared" si="24"/>
        <v>0</v>
      </c>
      <c r="U89">
        <f t="shared" si="24"/>
        <v>0</v>
      </c>
      <c r="V89">
        <f t="shared" ref="V89:V108" si="29">+((((V$38+25)*((1-V$81)*(1-V$82)^$B89)*V$39*((1-V$83)*($B$86-V$84)+(V$83*0.5*($B$86-V$84)))+(V$38+25)*6*((1-V$81)*(1-V$82)^$B89)*(1-V$39)*($B$87-V$85))-(V$49+V$48)*(V$38+25)*(1-V$81)*(1-V$82)^$B89)/(1.1^$B90))</f>
        <v>775.93767275210564</v>
      </c>
      <c r="W89">
        <f t="shared" si="24"/>
        <v>0</v>
      </c>
      <c r="X89">
        <f t="shared" si="24"/>
        <v>234.41625166616825</v>
      </c>
      <c r="Y89">
        <f t="shared" si="24"/>
        <v>0</v>
      </c>
      <c r="Z89">
        <f t="shared" si="24"/>
        <v>0</v>
      </c>
      <c r="AA89">
        <f t="shared" si="24"/>
        <v>0</v>
      </c>
      <c r="AB89">
        <f t="shared" ref="AB89:AB108" si="30">+(((AB$40*((1-AB$81)*(1-AB$82)^$B89)*AB$39*((1-AB$83)*($B$86-AB$84)+(AB$83*0.5*($B$86-AB$84)))+AB$40*6*((1-AB$81)*(1-AB$82)^$B89)*(1-AB$39)*($B$87-AB$85))-(AB$49+AB$48)*AB$40*(1-AB$81)*(1-AB$82)^$B89)/(1.1^$B90))</f>
        <v>218.76103219206917</v>
      </c>
      <c r="AC89">
        <f t="shared" si="24"/>
        <v>0</v>
      </c>
      <c r="AD89">
        <f t="shared" si="24"/>
        <v>129.05541588296285</v>
      </c>
      <c r="AE89">
        <f t="shared" si="24"/>
        <v>0</v>
      </c>
      <c r="AF89">
        <f t="shared" si="24"/>
        <v>268.42126009473799</v>
      </c>
      <c r="AG89">
        <f t="shared" si="24"/>
        <v>0</v>
      </c>
      <c r="AH89" s="4">
        <f t="shared" si="24"/>
        <v>141.96718890152366</v>
      </c>
      <c r="AI89" s="4">
        <f t="shared" si="24"/>
        <v>0</v>
      </c>
      <c r="AJ89" s="4">
        <f t="shared" si="24"/>
        <v>124.73358987402442</v>
      </c>
      <c r="AK89" s="4">
        <f t="shared" si="24"/>
        <v>0</v>
      </c>
      <c r="AL89" s="4">
        <f t="shared" si="24"/>
        <v>0</v>
      </c>
      <c r="AM89" s="4">
        <f t="shared" si="24"/>
        <v>0</v>
      </c>
      <c r="AN89" s="4">
        <f t="shared" si="24"/>
        <v>269.06685367641535</v>
      </c>
      <c r="AO89" s="4">
        <f t="shared" si="24"/>
        <v>0</v>
      </c>
      <c r="AP89" s="4">
        <f t="shared" si="24"/>
        <v>0</v>
      </c>
      <c r="AQ89" s="4">
        <f t="shared" si="24"/>
        <v>0</v>
      </c>
      <c r="AR89" s="4">
        <f t="shared" si="24"/>
        <v>0</v>
      </c>
      <c r="AS89" s="4">
        <f t="shared" si="24"/>
        <v>387.50633382567077</v>
      </c>
      <c r="AT89" s="4">
        <f t="shared" si="24"/>
        <v>0</v>
      </c>
      <c r="AU89" s="4">
        <f t="shared" si="24"/>
        <v>0</v>
      </c>
      <c r="AV89" s="4">
        <f t="shared" si="24"/>
        <v>0</v>
      </c>
      <c r="AW89" s="4">
        <f t="shared" si="24"/>
        <v>563.22060167452798</v>
      </c>
      <c r="AX89" s="4">
        <f t="shared" si="24"/>
        <v>0</v>
      </c>
      <c r="AY89" s="4">
        <f t="shared" si="24"/>
        <v>230.00420391744296</v>
      </c>
      <c r="AZ89" s="4">
        <f t="shared" si="24"/>
        <v>0</v>
      </c>
      <c r="BA89" s="4">
        <f t="shared" si="24"/>
        <v>637.38269176040342</v>
      </c>
      <c r="BB89" s="4">
        <f t="shared" si="24"/>
        <v>0</v>
      </c>
      <c r="BC89" s="4">
        <f t="shared" si="24"/>
        <v>308.3816595428363</v>
      </c>
      <c r="BD89" s="4">
        <f t="shared" si="24"/>
        <v>0</v>
      </c>
      <c r="BE89" s="4">
        <f t="shared" si="25"/>
        <v>402.76622274132353</v>
      </c>
      <c r="BF89" s="4">
        <f t="shared" si="24"/>
        <v>0</v>
      </c>
      <c r="BG89" s="4">
        <f t="shared" si="24"/>
        <v>345.45357407541684</v>
      </c>
      <c r="BH89" s="4"/>
      <c r="BI89" s="4"/>
      <c r="BJ89" s="4"/>
      <c r="BK89" s="4">
        <f t="shared" ref="BK89:BM108" si="31">+(((BK$40*((1-BK$81)*(1-BK$82)^$B89)*BK$39*((1-BK$83)*($B$86-BK$84)+(BK$83*0.5*($B$86-BK$84)))+BK$40*6*((1-BK$81)*(1-BK$82)^$B89)*(1-BK$39)*($B$87-BK$85))-(BK$49+BK$48)*BK$40*(1-BK$81)*(1-BK$82)^$B89)/(1.1^$B90))</f>
        <v>2363.4973413450452</v>
      </c>
      <c r="BL89" s="4">
        <f t="shared" si="26"/>
        <v>0</v>
      </c>
      <c r="BM89" s="4">
        <f t="shared" si="31"/>
        <v>1748.3568541932218</v>
      </c>
      <c r="BN89" s="4">
        <f t="shared" si="26"/>
        <v>0</v>
      </c>
      <c r="BO89" s="4">
        <f t="shared" ref="BO89:BO108" si="32">+(((BO$40*((1-BO$81)*(1-BO$82)^$B89)*BO$39*((1-BO$83)*($B$86-BO$84)+(BO$83*0.5*($B$86-BO$84)))+BO$40*6*((1-BO$81)*(1-BO$82)^$B89)*(1-BO$39)*($B$87-BO$85))-(BO$49+BO$48)*BO$40*(1-BO$81)*(1-BO$82)^$B89)/(1.1^$B90))</f>
        <v>197.91404440051213</v>
      </c>
      <c r="BP89" s="4">
        <f t="shared" si="26"/>
        <v>0</v>
      </c>
      <c r="BQ89" s="4">
        <f t="shared" si="26"/>
        <v>645.95448656676888</v>
      </c>
      <c r="BR89" s="4">
        <f t="shared" si="26"/>
        <v>0</v>
      </c>
      <c r="BS89" s="4">
        <f t="shared" si="26"/>
        <v>1166.7509281266546</v>
      </c>
      <c r="BT89" s="4">
        <f t="shared" si="26"/>
        <v>0</v>
      </c>
      <c r="BU89" s="4">
        <f t="shared" ref="BU89:BU108" si="33">+(((BU$40*((1-BU$81)*(1-BU$82)^$B89)*BU$39*((1-BU$83)*($B$86-BU$84)+(BU$83*0.5*($B$86-BU$84)))+BU$40*6*((1-BU$81)*(1-BU$82)^$B89)*(1-BU$39)*($B$87-BU$85))-(BU$49+BU$48)*BU$40*(1-BU$81)*(1-BU$82)^$B89)/(1.1^$B90))</f>
        <v>4404.3427457580528</v>
      </c>
      <c r="BV89" s="4">
        <f t="shared" si="26"/>
        <v>0</v>
      </c>
      <c r="BW89" s="4">
        <f t="shared" si="26"/>
        <v>1175.434540662191</v>
      </c>
      <c r="BX89" s="4">
        <f t="shared" si="26"/>
        <v>0</v>
      </c>
      <c r="BY89" s="4">
        <f t="shared" ref="BY89:BY108" si="34">+(((BY$40*((1-BY$81)*(1-BY$82)^$B89)*BY$39*((1-BY$83)*($B$86-BY$84)+(BY$83*0.5*($B$86-BY$84)))+BY$40*6*((1-BY$81)*(1-BY$82)^$B89)*(1-BY$39)*($B$87-BY$85))-(BY$49+BY$48)*BY$40*(1-BY$81)*(1-BY$82)^$B89)/(1.1^$B90))</f>
        <v>663.71777242369581</v>
      </c>
      <c r="BZ89" s="4">
        <f t="shared" si="26"/>
        <v>0</v>
      </c>
      <c r="CA89" s="4">
        <f t="shared" si="26"/>
        <v>1566.7909739269267</v>
      </c>
      <c r="CB89" s="4">
        <f t="shared" si="26"/>
        <v>0</v>
      </c>
      <c r="CC89" s="4">
        <f t="shared" si="27"/>
        <v>2613.3202520450636</v>
      </c>
      <c r="CD89" s="4">
        <f t="shared" si="27"/>
        <v>0</v>
      </c>
      <c r="CE89" s="4">
        <f t="shared" si="27"/>
        <v>0</v>
      </c>
      <c r="CF89" s="4">
        <f t="shared" si="27"/>
        <v>0</v>
      </c>
      <c r="CG89" s="4">
        <f t="shared" si="27"/>
        <v>1039.2941334103753</v>
      </c>
      <c r="CH89" s="4">
        <f t="shared" si="27"/>
        <v>0</v>
      </c>
      <c r="CI89" s="4">
        <f t="shared" ref="CI89:CI108" si="35">+(((CI$40*((1-CI$81)*(1-CI$82)^$B89)*CI$39*((1-CI$83)*($B$86-CI$84)+(CI$83*0.5*($B$86-CI$84)))+CI$40*6*((1-CI$81)*(1-CI$82)^$B89)*(1-CI$39)*($B$87-CI$85))-(CI$49+CI$48)*CI$40*(1-CI$81)*(1-CI$82)^$B89)/(1.1^$B90))</f>
        <v>1544.2577356923564</v>
      </c>
      <c r="CJ89" s="4">
        <f t="shared" si="27"/>
        <v>0</v>
      </c>
      <c r="CK89" s="4">
        <f t="shared" si="27"/>
        <v>0</v>
      </c>
      <c r="CL89" s="4">
        <f t="shared" si="27"/>
        <v>0</v>
      </c>
      <c r="CM89" s="4">
        <f t="shared" si="27"/>
        <v>2464.5483463141927</v>
      </c>
      <c r="CN89" s="4">
        <f t="shared" si="27"/>
        <v>0</v>
      </c>
      <c r="CO89" s="4">
        <f t="shared" ref="CO89:CO108" si="36">+(((CO$40*((1-CO$81)*(1-CO$82)^$B89)*CO$39*((1-CO$83)*($B$86-CO$84)+(CO$83*0.5*($B$86-CO$84)))+CO$40*6*((1-CO$81)*(1-CO$82)^$B89)*(1-CO$39)*($B$87-CO$85))-(CO$49+CO$48)*CO$40*(1-CO$81)*(1-CO$82)^$B89)/(1.1^$B90))</f>
        <v>1060.700600310169</v>
      </c>
    </row>
    <row r="90" spans="1:94" outlineLevel="2" x14ac:dyDescent="0.25">
      <c r="B90">
        <v>3</v>
      </c>
      <c r="D90" s="4">
        <f t="shared" ref="D90:D108" si="37">+(((D$38*((1-D$81)*(1-D$82)^$B90)*D$39*((1-D$83)*($B$86-D$84)+(D$83*0.5*($B$86-D$84)))+D$38*6*((1-D$81)*(1-D$82)^$B90)*(1-D$39)*($B$87-D$85))-(D$49+D$48)*D$38*(1-D$81)*(1-D$82)^$B90)/(1.1^$B91))</f>
        <v>491.33144374491576</v>
      </c>
      <c r="E90" s="4"/>
      <c r="F90">
        <f t="shared" si="24"/>
        <v>317.8409639988073</v>
      </c>
      <c r="G90">
        <f t="shared" si="24"/>
        <v>0</v>
      </c>
      <c r="H90">
        <f t="shared" si="24"/>
        <v>144.98524889490511</v>
      </c>
      <c r="I90">
        <f t="shared" si="24"/>
        <v>0</v>
      </c>
      <c r="J90">
        <f t="shared" si="24"/>
        <v>107.24619294663654</v>
      </c>
      <c r="K90">
        <f t="shared" si="24"/>
        <v>0</v>
      </c>
      <c r="L90">
        <f t="shared" si="28"/>
        <v>590.81682528640545</v>
      </c>
      <c r="M90">
        <f t="shared" si="24"/>
        <v>0</v>
      </c>
      <c r="N90">
        <f t="shared" si="24"/>
        <v>265.40513882373301</v>
      </c>
      <c r="O90" s="4">
        <f t="shared" si="24"/>
        <v>0</v>
      </c>
      <c r="P90" s="4">
        <f t="shared" si="24"/>
        <v>829.09851710425551</v>
      </c>
      <c r="Q90" s="4">
        <f t="shared" si="24"/>
        <v>0</v>
      </c>
      <c r="R90">
        <f t="shared" si="24"/>
        <v>150.2344596278088</v>
      </c>
      <c r="S90">
        <f t="shared" si="24"/>
        <v>0</v>
      </c>
      <c r="T90">
        <f t="shared" si="24"/>
        <v>0</v>
      </c>
      <c r="U90">
        <f t="shared" si="24"/>
        <v>0</v>
      </c>
      <c r="V90">
        <f t="shared" si="29"/>
        <v>564.31830745607681</v>
      </c>
      <c r="W90">
        <f t="shared" si="24"/>
        <v>0</v>
      </c>
      <c r="X90">
        <f t="shared" si="24"/>
        <v>181.13983083294829</v>
      </c>
      <c r="Y90">
        <f t="shared" si="24"/>
        <v>0</v>
      </c>
      <c r="Z90">
        <f t="shared" si="24"/>
        <v>0</v>
      </c>
      <c r="AA90">
        <f t="shared" si="24"/>
        <v>0</v>
      </c>
      <c r="AB90">
        <f t="shared" si="30"/>
        <v>169.04261578478062</v>
      </c>
      <c r="AC90">
        <f t="shared" si="24"/>
        <v>0</v>
      </c>
      <c r="AD90">
        <f t="shared" si="24"/>
        <v>93.858484278518432</v>
      </c>
      <c r="AE90">
        <f t="shared" si="24"/>
        <v>0</v>
      </c>
      <c r="AF90">
        <f t="shared" si="24"/>
        <v>207.41642825502481</v>
      </c>
      <c r="AG90">
        <f t="shared" si="24"/>
        <v>0</v>
      </c>
      <c r="AH90" s="4">
        <f t="shared" si="24"/>
        <v>103.24886465565362</v>
      </c>
      <c r="AI90" s="4">
        <f t="shared" si="24"/>
        <v>0</v>
      </c>
      <c r="AJ90" s="4">
        <f t="shared" si="24"/>
        <v>90.715338090199594</v>
      </c>
      <c r="AK90" s="4">
        <f t="shared" si="24"/>
        <v>0</v>
      </c>
      <c r="AL90" s="4">
        <f t="shared" si="24"/>
        <v>0</v>
      </c>
      <c r="AM90" s="4">
        <f t="shared" si="24"/>
        <v>0</v>
      </c>
      <c r="AN90" s="4">
        <f t="shared" si="24"/>
        <v>207.91529602268466</v>
      </c>
      <c r="AO90" s="4">
        <f t="shared" si="24"/>
        <v>0</v>
      </c>
      <c r="AP90" s="4">
        <f t="shared" si="24"/>
        <v>0</v>
      </c>
      <c r="AQ90" s="4">
        <f t="shared" si="24"/>
        <v>0</v>
      </c>
      <c r="AR90" s="4">
        <f t="shared" si="24"/>
        <v>0</v>
      </c>
      <c r="AS90" s="4">
        <f t="shared" si="24"/>
        <v>281.82278823685152</v>
      </c>
      <c r="AT90" s="4">
        <f t="shared" si="24"/>
        <v>0</v>
      </c>
      <c r="AU90" s="4">
        <f t="shared" si="24"/>
        <v>0</v>
      </c>
      <c r="AV90" s="4">
        <f t="shared" si="24"/>
        <v>0</v>
      </c>
      <c r="AW90" s="4">
        <f t="shared" si="24"/>
        <v>460.81685591552269</v>
      </c>
      <c r="AX90" s="4">
        <f t="shared" si="24"/>
        <v>0</v>
      </c>
      <c r="AY90" s="4">
        <f t="shared" si="24"/>
        <v>167.27578466723131</v>
      </c>
      <c r="AZ90" s="4">
        <f t="shared" si="24"/>
        <v>0</v>
      </c>
      <c r="BA90" s="4">
        <f t="shared" si="24"/>
        <v>492.52298908758434</v>
      </c>
      <c r="BB90" s="4">
        <f t="shared" si="24"/>
        <v>0</v>
      </c>
      <c r="BC90" s="4">
        <f t="shared" si="24"/>
        <v>238.2949187376463</v>
      </c>
      <c r="BD90" s="4">
        <f t="shared" si="24"/>
        <v>0</v>
      </c>
      <c r="BE90" s="4">
        <f t="shared" si="25"/>
        <v>311.22844484556816</v>
      </c>
      <c r="BF90" s="4">
        <f t="shared" si="24"/>
        <v>0</v>
      </c>
      <c r="BG90" s="4">
        <f t="shared" si="24"/>
        <v>251.23896296393954</v>
      </c>
      <c r="BH90" s="4"/>
      <c r="BI90" s="4"/>
      <c r="BJ90" s="4"/>
      <c r="BK90" s="4">
        <f t="shared" si="31"/>
        <v>1826.3388546757169</v>
      </c>
      <c r="BL90" s="4">
        <f t="shared" si="26"/>
        <v>0</v>
      </c>
      <c r="BM90" s="4">
        <f t="shared" si="31"/>
        <v>1351.0030236947625</v>
      </c>
      <c r="BN90" s="4">
        <f t="shared" si="26"/>
        <v>0</v>
      </c>
      <c r="BO90" s="4">
        <f t="shared" si="32"/>
        <v>161.92967269132842</v>
      </c>
      <c r="BP90" s="4">
        <f t="shared" si="26"/>
        <v>0</v>
      </c>
      <c r="BQ90" s="4">
        <f t="shared" si="26"/>
        <v>469.7850811394685</v>
      </c>
      <c r="BR90" s="4">
        <f t="shared" si="26"/>
        <v>0</v>
      </c>
      <c r="BS90" s="4">
        <f t="shared" si="26"/>
        <v>901.58026264332386</v>
      </c>
      <c r="BT90" s="4">
        <f t="shared" si="26"/>
        <v>0</v>
      </c>
      <c r="BU90" s="4">
        <f t="shared" si="33"/>
        <v>3403.3557580857673</v>
      </c>
      <c r="BV90" s="4">
        <f t="shared" si="26"/>
        <v>0</v>
      </c>
      <c r="BW90" s="4">
        <f t="shared" si="26"/>
        <v>908.2903268753297</v>
      </c>
      <c r="BX90" s="4">
        <f t="shared" si="26"/>
        <v>0</v>
      </c>
      <c r="BY90" s="4">
        <f t="shared" si="34"/>
        <v>512.87282414558365</v>
      </c>
      <c r="BZ90" s="4">
        <f t="shared" si="26"/>
        <v>0</v>
      </c>
      <c r="CA90" s="4">
        <f t="shared" si="26"/>
        <v>1210.7021162162616</v>
      </c>
      <c r="CB90" s="4">
        <f t="shared" si="26"/>
        <v>0</v>
      </c>
      <c r="CC90" s="4">
        <f t="shared" si="27"/>
        <v>2019.3838311257311</v>
      </c>
      <c r="CD90" s="4">
        <f t="shared" si="27"/>
        <v>0</v>
      </c>
      <c r="CE90" s="4">
        <f t="shared" si="27"/>
        <v>0</v>
      </c>
      <c r="CF90" s="4">
        <f t="shared" si="27"/>
        <v>0</v>
      </c>
      <c r="CG90" s="4">
        <f t="shared" si="27"/>
        <v>803.09092127165366</v>
      </c>
      <c r="CH90" s="4">
        <f t="shared" si="27"/>
        <v>0</v>
      </c>
      <c r="CI90" s="4">
        <f t="shared" si="35"/>
        <v>1193.290068489548</v>
      </c>
      <c r="CJ90" s="4">
        <f t="shared" si="27"/>
        <v>0</v>
      </c>
      <c r="CK90" s="4">
        <f t="shared" si="27"/>
        <v>0</v>
      </c>
      <c r="CL90" s="4">
        <f t="shared" si="27"/>
        <v>0</v>
      </c>
      <c r="CM90" s="4">
        <f t="shared" si="27"/>
        <v>1904.4237221518761</v>
      </c>
      <c r="CN90" s="4">
        <f t="shared" si="27"/>
        <v>0</v>
      </c>
      <c r="CO90" s="4">
        <f t="shared" si="36"/>
        <v>819.63228205785799</v>
      </c>
    </row>
    <row r="91" spans="1:94" outlineLevel="2" x14ac:dyDescent="0.25">
      <c r="B91">
        <v>4</v>
      </c>
      <c r="D91" s="4">
        <f t="shared" si="37"/>
        <v>379.66520653016204</v>
      </c>
      <c r="E91" s="4"/>
      <c r="F91">
        <f t="shared" si="24"/>
        <v>251.38330788996578</v>
      </c>
      <c r="G91">
        <f t="shared" si="24"/>
        <v>0</v>
      </c>
      <c r="H91">
        <f t="shared" si="24"/>
        <v>105.44381737811285</v>
      </c>
      <c r="I91">
        <f t="shared" si="24"/>
        <v>0</v>
      </c>
      <c r="J91">
        <f t="shared" si="24"/>
        <v>77.997231233917518</v>
      </c>
      <c r="K91">
        <f t="shared" si="24"/>
        <v>0</v>
      </c>
      <c r="L91">
        <f t="shared" si="28"/>
        <v>456.54027408494954</v>
      </c>
      <c r="M91">
        <f t="shared" si="24"/>
        <v>0</v>
      </c>
      <c r="N91">
        <f t="shared" si="24"/>
        <v>205.0857890910664</v>
      </c>
      <c r="O91" s="4">
        <f t="shared" si="24"/>
        <v>0</v>
      </c>
      <c r="P91" s="4">
        <f t="shared" si="24"/>
        <v>640.66703594419755</v>
      </c>
      <c r="Q91" s="4">
        <f t="shared" si="24"/>
        <v>0</v>
      </c>
      <c r="R91">
        <f t="shared" si="24"/>
        <v>120.18756770224704</v>
      </c>
      <c r="S91">
        <f t="shared" si="24"/>
        <v>0</v>
      </c>
      <c r="T91">
        <f t="shared" si="24"/>
        <v>0</v>
      </c>
      <c r="U91">
        <f t="shared" si="24"/>
        <v>0</v>
      </c>
      <c r="V91">
        <f t="shared" si="29"/>
        <v>410.41331451351056</v>
      </c>
      <c r="W91">
        <f t="shared" si="24"/>
        <v>0</v>
      </c>
      <c r="X91">
        <f t="shared" si="24"/>
        <v>139.97168746182362</v>
      </c>
      <c r="Y91">
        <f t="shared" si="24"/>
        <v>0</v>
      </c>
      <c r="Z91">
        <f t="shared" si="24"/>
        <v>0</v>
      </c>
      <c r="AA91">
        <f t="shared" si="24"/>
        <v>0</v>
      </c>
      <c r="AB91">
        <f t="shared" si="30"/>
        <v>130.6238394700577</v>
      </c>
      <c r="AC91">
        <f t="shared" si="24"/>
        <v>0</v>
      </c>
      <c r="AD91">
        <f t="shared" si="24"/>
        <v>68.260715838922494</v>
      </c>
      <c r="AE91">
        <f t="shared" si="24"/>
        <v>0</v>
      </c>
      <c r="AF91">
        <f t="shared" si="24"/>
        <v>160.27633092433729</v>
      </c>
      <c r="AG91">
        <f t="shared" si="24"/>
        <v>0</v>
      </c>
      <c r="AH91" s="4">
        <f t="shared" si="24"/>
        <v>75.090083385929901</v>
      </c>
      <c r="AI91" s="4">
        <f t="shared" si="24"/>
        <v>0</v>
      </c>
      <c r="AJ91" s="4">
        <f t="shared" si="24"/>
        <v>65.974791338327009</v>
      </c>
      <c r="AK91" s="4">
        <f t="shared" si="24"/>
        <v>0</v>
      </c>
      <c r="AL91" s="4">
        <f t="shared" si="24"/>
        <v>0</v>
      </c>
      <c r="AM91" s="4">
        <f t="shared" si="24"/>
        <v>0</v>
      </c>
      <c r="AN91" s="4">
        <f t="shared" si="24"/>
        <v>160.66181965389262</v>
      </c>
      <c r="AO91" s="4">
        <f t="shared" si="24"/>
        <v>0</v>
      </c>
      <c r="AP91" s="4">
        <f t="shared" si="24"/>
        <v>0</v>
      </c>
      <c r="AQ91" s="4">
        <f t="shared" si="24"/>
        <v>0</v>
      </c>
      <c r="AR91" s="4">
        <f t="shared" si="24"/>
        <v>0</v>
      </c>
      <c r="AS91" s="4">
        <f t="shared" si="24"/>
        <v>204.96202780861924</v>
      </c>
      <c r="AT91" s="4">
        <f t="shared" si="24"/>
        <v>0</v>
      </c>
      <c r="AU91" s="4">
        <f t="shared" si="24"/>
        <v>0</v>
      </c>
      <c r="AV91" s="4">
        <f t="shared" si="24"/>
        <v>0</v>
      </c>
      <c r="AW91" s="4">
        <f t="shared" si="24"/>
        <v>377.03197302179132</v>
      </c>
      <c r="AX91" s="4">
        <f t="shared" si="24"/>
        <v>0</v>
      </c>
      <c r="AY91" s="4">
        <f t="shared" si="24"/>
        <v>121.65511612162275</v>
      </c>
      <c r="AZ91" s="4">
        <f t="shared" si="24"/>
        <v>0</v>
      </c>
      <c r="BA91" s="4">
        <f t="shared" si="24"/>
        <v>380.58594611313339</v>
      </c>
      <c r="BB91" s="4">
        <f t="shared" si="24"/>
        <v>0</v>
      </c>
      <c r="BC91" s="4">
        <f t="shared" si="24"/>
        <v>184.1369826609085</v>
      </c>
      <c r="BD91" s="4">
        <f t="shared" si="24"/>
        <v>0</v>
      </c>
      <c r="BE91" s="4">
        <f t="shared" si="25"/>
        <v>240.49470738066626</v>
      </c>
      <c r="BF91" s="4">
        <f t="shared" si="24"/>
        <v>0</v>
      </c>
      <c r="BG91" s="4">
        <f t="shared" si="24"/>
        <v>182.71924579195601</v>
      </c>
      <c r="BH91" s="4"/>
      <c r="BI91" s="4"/>
      <c r="BJ91" s="4"/>
      <c r="BK91" s="4">
        <f t="shared" si="31"/>
        <v>1411.2618422494172</v>
      </c>
      <c r="BL91" s="4">
        <f t="shared" si="26"/>
        <v>0</v>
      </c>
      <c r="BM91" s="4">
        <f t="shared" si="31"/>
        <v>1043.9568819459528</v>
      </c>
      <c r="BN91" s="4">
        <f t="shared" si="26"/>
        <v>0</v>
      </c>
      <c r="BO91" s="4">
        <f t="shared" si="32"/>
        <v>132.48791402017767</v>
      </c>
      <c r="BP91" s="4">
        <f t="shared" si="26"/>
        <v>0</v>
      </c>
      <c r="BQ91" s="4">
        <f t="shared" si="26"/>
        <v>341.6618771923408</v>
      </c>
      <c r="BR91" s="4">
        <f t="shared" si="26"/>
        <v>0</v>
      </c>
      <c r="BS91" s="4">
        <f t="shared" si="26"/>
        <v>696.675657497114</v>
      </c>
      <c r="BT91" s="4">
        <f t="shared" si="26"/>
        <v>0</v>
      </c>
      <c r="BU91" s="4">
        <f t="shared" si="33"/>
        <v>2629.8658130662748</v>
      </c>
      <c r="BV91" s="4">
        <f t="shared" si="26"/>
        <v>0</v>
      </c>
      <c r="BW91" s="4">
        <f t="shared" si="26"/>
        <v>701.86070713093625</v>
      </c>
      <c r="BX91" s="4">
        <f t="shared" si="26"/>
        <v>0</v>
      </c>
      <c r="BY91" s="4">
        <f t="shared" si="34"/>
        <v>396.3108186579509</v>
      </c>
      <c r="BZ91" s="4">
        <f t="shared" si="26"/>
        <v>0</v>
      </c>
      <c r="CA91" s="4">
        <f t="shared" si="26"/>
        <v>935.54254434892937</v>
      </c>
      <c r="CB91" s="4">
        <f t="shared" si="26"/>
        <v>0</v>
      </c>
      <c r="CC91" s="4">
        <f t="shared" si="27"/>
        <v>1560.4329604153372</v>
      </c>
      <c r="CD91" s="4">
        <f t="shared" si="27"/>
        <v>0</v>
      </c>
      <c r="CE91" s="4">
        <f t="shared" si="27"/>
        <v>0</v>
      </c>
      <c r="CF91" s="4">
        <f t="shared" si="27"/>
        <v>0</v>
      </c>
      <c r="CG91" s="4">
        <f t="shared" si="27"/>
        <v>620.57025734627769</v>
      </c>
      <c r="CH91" s="4">
        <f t="shared" si="27"/>
        <v>0</v>
      </c>
      <c r="CI91" s="4">
        <f t="shared" si="35"/>
        <v>922.08778019646877</v>
      </c>
      <c r="CJ91" s="4">
        <f t="shared" si="27"/>
        <v>0</v>
      </c>
      <c r="CK91" s="4">
        <f t="shared" si="27"/>
        <v>0</v>
      </c>
      <c r="CL91" s="4">
        <f t="shared" si="27"/>
        <v>0</v>
      </c>
      <c r="CM91" s="4">
        <f t="shared" si="27"/>
        <v>1471.6001489355406</v>
      </c>
      <c r="CN91" s="4">
        <f t="shared" si="27"/>
        <v>0</v>
      </c>
      <c r="CO91" s="4">
        <f t="shared" si="36"/>
        <v>633.35221795379937</v>
      </c>
    </row>
    <row r="92" spans="1:94" outlineLevel="2" x14ac:dyDescent="0.25">
      <c r="B92">
        <v>5</v>
      </c>
      <c r="D92" s="4">
        <f t="shared" si="37"/>
        <v>293.37765959148885</v>
      </c>
      <c r="E92" s="4"/>
      <c r="F92">
        <f t="shared" si="24"/>
        <v>198.82134351297285</v>
      </c>
      <c r="G92">
        <f t="shared" si="24"/>
        <v>0</v>
      </c>
      <c r="H92">
        <f t="shared" si="24"/>
        <v>76.686412638627516</v>
      </c>
      <c r="I92">
        <f t="shared" si="24"/>
        <v>0</v>
      </c>
      <c r="J92">
        <f t="shared" si="24"/>
        <v>56.725259079212719</v>
      </c>
      <c r="K92">
        <f t="shared" si="24"/>
        <v>0</v>
      </c>
      <c r="L92">
        <f t="shared" si="28"/>
        <v>352.78112088382466</v>
      </c>
      <c r="M92">
        <f t="shared" si="24"/>
        <v>0</v>
      </c>
      <c r="N92">
        <f t="shared" si="24"/>
        <v>158.47538247946036</v>
      </c>
      <c r="O92" s="4">
        <f t="shared" si="24"/>
        <v>0</v>
      </c>
      <c r="P92" s="4">
        <f t="shared" si="24"/>
        <v>495.0608914114253</v>
      </c>
      <c r="Q92" s="4">
        <f t="shared" si="24"/>
        <v>0</v>
      </c>
      <c r="R92">
        <f t="shared" si="24"/>
        <v>96.15005416179757</v>
      </c>
      <c r="S92">
        <f t="shared" si="24"/>
        <v>0</v>
      </c>
      <c r="T92">
        <f t="shared" si="24"/>
        <v>0</v>
      </c>
      <c r="U92">
        <f t="shared" si="24"/>
        <v>0</v>
      </c>
      <c r="V92">
        <f t="shared" si="29"/>
        <v>298.48241055528041</v>
      </c>
      <c r="W92">
        <f t="shared" si="24"/>
        <v>0</v>
      </c>
      <c r="X92">
        <f t="shared" si="24"/>
        <v>108.15994031140914</v>
      </c>
      <c r="Y92">
        <f t="shared" si="24"/>
        <v>0</v>
      </c>
      <c r="Z92">
        <f t="shared" si="24"/>
        <v>0</v>
      </c>
      <c r="AA92">
        <f t="shared" si="24"/>
        <v>0</v>
      </c>
      <c r="AB92">
        <f t="shared" si="30"/>
        <v>100.93660322686279</v>
      </c>
      <c r="AC92">
        <f t="shared" si="24"/>
        <v>0</v>
      </c>
      <c r="AD92">
        <f t="shared" si="24"/>
        <v>49.644156973761831</v>
      </c>
      <c r="AE92">
        <f t="shared" si="24"/>
        <v>0</v>
      </c>
      <c r="AF92">
        <f t="shared" si="24"/>
        <v>123.84989207789705</v>
      </c>
      <c r="AG92">
        <f t="shared" si="24"/>
        <v>0</v>
      </c>
      <c r="AH92" s="4">
        <f t="shared" si="24"/>
        <v>54.610969735221744</v>
      </c>
      <c r="AI92" s="4">
        <f t="shared" si="24"/>
        <v>0</v>
      </c>
      <c r="AJ92" s="4">
        <f t="shared" si="24"/>
        <v>47.98166642787416</v>
      </c>
      <c r="AK92" s="4">
        <f t="shared" si="24"/>
        <v>0</v>
      </c>
      <c r="AL92" s="4">
        <f t="shared" si="24"/>
        <v>0</v>
      </c>
      <c r="AM92" s="4">
        <f t="shared" si="24"/>
        <v>0</v>
      </c>
      <c r="AN92" s="4">
        <f t="shared" si="24"/>
        <v>124.1477697325534</v>
      </c>
      <c r="AO92" s="4">
        <f t="shared" si="24"/>
        <v>0</v>
      </c>
      <c r="AP92" s="4">
        <f t="shared" si="24"/>
        <v>0</v>
      </c>
      <c r="AQ92" s="4">
        <f t="shared" si="24"/>
        <v>0</v>
      </c>
      <c r="AR92" s="4">
        <f t="shared" si="24"/>
        <v>0</v>
      </c>
      <c r="AS92" s="4">
        <f t="shared" ref="AS92:AS108" si="38">+(((AS$38*((1-AS$81)*(1-AS$82)^$B92)*AS$39*((1-AS$83)*($B$86-AS$84)+(AS$83*0.5*($B$86-AS$84)))+AS$38*6*((1-AS$81)*(1-AS$82)^$B92)*(1-AS$39)*($B$87-AS$85))-(AS$49+AS$48)*AS$38*(1-AS$81)*(1-AS$82)^$B92)/(1.1^$B93))</f>
        <v>149.0632929517231</v>
      </c>
      <c r="AT92" s="4">
        <f t="shared" ref="AT92:AT108" si="39">+(((AT$38*((1-AT$81)*(1-AT$82)^$B92)*AT$39*((1-AT$83)*($B$86-AT$84)+(AT$83*0.5*($B$86-AT$84)))+AT$38*6*((1-AT$81)*(1-AT$82)^$B92)*(1-AT$39)*($B$87-AT$85))-(AT$49+AT$48)*AT$38*(1-AT$81)*(1-AT$82)^$B92)/(1.1^$B93))</f>
        <v>0</v>
      </c>
      <c r="AU92" s="4">
        <f t="shared" ref="AU92:AU108" si="40">+(((AU$38*((1-AU$81)*(1-AU$82)^$B92)*AU$39*((1-AU$83)*($B$86-AU$84)+(AU$83*0.5*($B$86-AU$84)))+AU$38*6*((1-AU$81)*(1-AU$82)^$B92)*(1-AU$39)*($B$87-AU$85))-(AU$49+AU$48)*AU$38*(1-AU$81)*(1-AU$82)^$B92)/(1.1^$B93))</f>
        <v>0</v>
      </c>
      <c r="AV92" s="4">
        <f t="shared" ref="AV92:AV108" si="41">+(((AV$38*((1-AV$81)*(1-AV$82)^$B92)*AV$39*((1-AV$83)*($B$86-AV$84)+(AV$83*0.5*($B$86-AV$84)))+AV$38*6*((1-AV$81)*(1-AV$82)^$B92)*(1-AV$39)*($B$87-AV$85))-(AV$49+AV$48)*AV$38*(1-AV$81)*(1-AV$82)^$B92)/(1.1^$B93))</f>
        <v>0</v>
      </c>
      <c r="AW92" s="4">
        <f t="shared" ref="AW92:AW108" si="42">+(((AW$38*((1-AW$81)*(1-AW$82)^$B92)*AW$39*((1-AW$83)*($B$86-AW$84)+(AW$83*0.5*($B$86-AW$84)))+AW$38*6*((1-AW$81)*(1-AW$82)^$B92)*(1-AW$39)*($B$87-AW$85))-(AW$49+AW$48)*AW$38*(1-AW$81)*(1-AW$82)^$B92)/(1.1^$B93))</f>
        <v>308.4807051996475</v>
      </c>
      <c r="AX92" s="4">
        <f t="shared" ref="AX92:AX108" si="43">+(((AX$38*((1-AX$81)*(1-AX$82)^$B92)*AX$39*((1-AX$83)*($B$86-AX$84)+(AX$83*0.5*($B$86-AX$84)))+AX$38*6*((1-AX$81)*(1-AX$82)^$B92)*(1-AX$39)*($B$87-AX$85))-(AX$49+AX$48)*AX$38*(1-AX$81)*(1-AX$82)^$B92)/(1.1^$B93))</f>
        <v>0</v>
      </c>
      <c r="AY92" s="4">
        <f t="shared" ref="AY92:AY108" si="44">+(((AY$38*((1-AY$81)*(1-AY$82)^$B92)*AY$39*((1-AY$83)*($B$86-AY$84)+(AY$83*0.5*($B$86-AY$84)))+AY$38*6*((1-AY$81)*(1-AY$82)^$B92)*(1-AY$39)*($B$87-AY$85))-(AY$49+AY$48)*AY$38*(1-AY$81)*(1-AY$82)^$B92)/(1.1^$B93))</f>
        <v>88.476448088452884</v>
      </c>
      <c r="AZ92" s="4">
        <f t="shared" ref="AZ92:AZ108" si="45">+(((AZ$38*((1-AZ$81)*(1-AZ$82)^$B92)*AZ$39*((1-AZ$83)*($B$86-AZ$84)+(AZ$83*0.5*($B$86-AZ$84)))+AZ$38*6*((1-AZ$81)*(1-AZ$82)^$B92)*(1-AZ$39)*($B$87-AZ$85))-(AZ$49+AZ$48)*AZ$38*(1-AZ$81)*(1-AZ$82)^$B92)/(1.1^$B93))</f>
        <v>0</v>
      </c>
      <c r="BA92" s="4">
        <f t="shared" ref="BA92:BA108" si="46">+(((BA$38*((1-BA$81)*(1-BA$82)^$B92)*BA$39*((1-BA$83)*($B$86-BA$84)+(BA$83*0.5*($B$86-BA$84)))+BA$38*6*((1-BA$81)*(1-BA$82)^$B92)*(1-BA$39)*($B$87-BA$85))-(BA$49+BA$48)*BA$38*(1-BA$81)*(1-BA$82)^$B92)/(1.1^$B93))</f>
        <v>294.0891401783303</v>
      </c>
      <c r="BB92" s="4">
        <f t="shared" ref="BB92:BB108" si="47">+(((BB$38*((1-BB$81)*(1-BB$82)^$B92)*BB$39*((1-BB$83)*($B$86-BB$84)+(BB$83*0.5*($B$86-BB$84)))+BB$38*6*((1-BB$81)*(1-BB$82)^$B92)*(1-BB$39)*($B$87-BB$85))-(BB$49+BB$48)*BB$38*(1-BB$81)*(1-BB$82)^$B92)/(1.1^$B93))</f>
        <v>0</v>
      </c>
      <c r="BC92" s="4">
        <f t="shared" ref="BC92:BE108" si="48">+(((BC$38*((1-BC$81)*(1-BC$82)^$B92)*BC$39*((1-BC$83)*($B$86-BC$84)+(BC$83*0.5*($B$86-BC$84)))+BC$38*6*((1-BC$81)*(1-BC$82)^$B92)*(1-BC$39)*($B$87-BC$85))-(BC$49+BC$48)*BC$38*(1-BC$81)*(1-BC$82)^$B92)/(1.1^$B93))</f>
        <v>142.28766841979294</v>
      </c>
      <c r="BD92" s="4">
        <f t="shared" ref="BD92:BD108" si="49">+(((BD$38*((1-BD$81)*(1-BD$82)^$B92)*BD$39*((1-BD$83)*($B$86-BD$84)+(BD$83*0.5*($B$86-BD$84)))+BD$38*6*((1-BD$81)*(1-BD$82)^$B92)*(1-BD$39)*($B$87-BD$85))-(BD$49+BD$48)*BD$38*(1-BD$81)*(1-BD$82)^$B92)/(1.1^$B93))</f>
        <v>0</v>
      </c>
      <c r="BE92" s="4">
        <f t="shared" si="48"/>
        <v>185.83681933960574</v>
      </c>
      <c r="BF92" s="4">
        <f t="shared" ref="BF92:BF108" si="50">+(((BF$38*((1-BF$81)*(1-BF$82)^$B92)*BF$39*((1-BF$83)*($B$86-BF$84)+(BF$83*0.5*($B$86-BF$84)))+BF$38*6*((1-BF$81)*(1-BF$82)^$B92)*(1-BF$39)*($B$87-BF$85))-(BF$49+BF$48)*BF$38*(1-BF$81)*(1-BF$82)^$B92)/(1.1^$B93))</f>
        <v>0</v>
      </c>
      <c r="BG92" s="4">
        <f t="shared" ref="BG92:BG108" si="51">+(((BG$38*((1-BG$81)*(1-BG$82)^$B92)*BG$39*((1-BG$83)*($B$86-BG$84)+(BG$83*0.5*($B$86-BG$84)))+BG$38*6*((1-BG$81)*(1-BG$82)^$B92)*(1-BG$39)*($B$87-BG$85))-(BG$49+BG$48)*BG$38*(1-BG$81)*(1-BG$82)^$B92)/(1.1^$B93))</f>
        <v>132.88672421233167</v>
      </c>
      <c r="BH92" s="4"/>
      <c r="BI92" s="4"/>
      <c r="BJ92" s="4"/>
      <c r="BK92" s="4">
        <f t="shared" si="31"/>
        <v>1090.5205144654585</v>
      </c>
      <c r="BL92" s="4">
        <f t="shared" si="26"/>
        <v>0</v>
      </c>
      <c r="BM92" s="4">
        <f t="shared" si="31"/>
        <v>806.6939542309633</v>
      </c>
      <c r="BN92" s="4">
        <f t="shared" si="26"/>
        <v>0</v>
      </c>
      <c r="BO92" s="4">
        <f t="shared" si="32"/>
        <v>108.39920238014538</v>
      </c>
      <c r="BP92" s="4">
        <f t="shared" si="26"/>
        <v>0</v>
      </c>
      <c r="BQ92" s="4">
        <f t="shared" si="26"/>
        <v>248.48136523079327</v>
      </c>
      <c r="BR92" s="4">
        <f t="shared" si="26"/>
        <v>0</v>
      </c>
      <c r="BS92" s="4">
        <f t="shared" si="26"/>
        <v>538.34028079322422</v>
      </c>
      <c r="BT92" s="4">
        <f t="shared" si="26"/>
        <v>0</v>
      </c>
      <c r="BU92" s="4">
        <f t="shared" si="33"/>
        <v>2032.1690373693939</v>
      </c>
      <c r="BV92" s="4">
        <f t="shared" si="26"/>
        <v>0</v>
      </c>
      <c r="BW92" s="4">
        <f t="shared" si="26"/>
        <v>542.34691005572358</v>
      </c>
      <c r="BX92" s="4">
        <f t="shared" si="26"/>
        <v>0</v>
      </c>
      <c r="BY92" s="4">
        <f t="shared" si="34"/>
        <v>306.24017805387098</v>
      </c>
      <c r="BZ92" s="4">
        <f t="shared" si="26"/>
        <v>0</v>
      </c>
      <c r="CA92" s="4">
        <f t="shared" si="26"/>
        <v>722.91923881508171</v>
      </c>
      <c r="CB92" s="4">
        <f t="shared" si="26"/>
        <v>0</v>
      </c>
      <c r="CC92" s="4">
        <f t="shared" si="27"/>
        <v>1205.7891057754878</v>
      </c>
      <c r="CD92" s="4">
        <f t="shared" si="27"/>
        <v>0</v>
      </c>
      <c r="CE92" s="4">
        <f t="shared" si="27"/>
        <v>0</v>
      </c>
      <c r="CF92" s="4">
        <f t="shared" si="27"/>
        <v>0</v>
      </c>
      <c r="CG92" s="4">
        <f t="shared" si="27"/>
        <v>479.53156249485102</v>
      </c>
      <c r="CH92" s="4">
        <f t="shared" si="27"/>
        <v>0</v>
      </c>
      <c r="CI92" s="4">
        <f t="shared" si="35"/>
        <v>712.52237560636206</v>
      </c>
      <c r="CJ92" s="4">
        <f t="shared" si="27"/>
        <v>0</v>
      </c>
      <c r="CK92" s="4">
        <f t="shared" si="27"/>
        <v>0</v>
      </c>
      <c r="CL92" s="4">
        <f t="shared" si="27"/>
        <v>0</v>
      </c>
      <c r="CM92" s="4">
        <f t="shared" si="27"/>
        <v>1137.1455696320086</v>
      </c>
      <c r="CN92" s="4">
        <f t="shared" si="27"/>
        <v>0</v>
      </c>
      <c r="CO92" s="4">
        <f t="shared" si="36"/>
        <v>489.40853205520841</v>
      </c>
    </row>
    <row r="93" spans="1:94" outlineLevel="2" x14ac:dyDescent="0.25">
      <c r="B93">
        <v>6</v>
      </c>
      <c r="D93" s="4">
        <f t="shared" si="37"/>
        <v>226.70091877524129</v>
      </c>
      <c r="E93" s="4"/>
      <c r="F93">
        <f t="shared" ref="F93:F108" si="52">+(((F$38*((1-F$81)*(1-F$82)^$B93)*F$39*((1-F$83)*($B$86-F$84)+(F$83*0.5*($B$86-F$84)))+F$38*6*((1-F$81)*(1-F$82)^$B93)*(1-F$39)*($B$87-F$85))-(F$49+F$48)*F$38*(1-F$81)*(1-F$82)^$B93)/(1.1^$B94))</f>
        <v>157.24960805116939</v>
      </c>
      <c r="G93">
        <f t="shared" ref="G93:G108" si="53">+(((G$38*((1-G$81)*(1-G$82)^$B93)*G$39*((1-G$83)*($B$86-G$84)+(G$83*0.5*($B$86-G$84)))+G$38*6*((1-G$81)*(1-G$82)^$B93)*(1-G$39)*($B$87-G$85))-(G$49+G$48)*G$38*(1-G$81)*(1-G$82)^$B93)/(1.1^$B94))</f>
        <v>0</v>
      </c>
      <c r="H93">
        <f t="shared" ref="H93:H108" si="54">+(((H$38*((1-H$81)*(1-H$82)^$B93)*H$39*((1-H$83)*($B$86-H$84)+(H$83*0.5*($B$86-H$84)))+H$38*6*((1-H$81)*(1-H$82)^$B93)*(1-H$39)*($B$87-H$85))-(H$49+H$48)*H$38*(1-H$81)*(1-H$82)^$B93)/(1.1^$B94))</f>
        <v>55.771936464456367</v>
      </c>
      <c r="I93">
        <f t="shared" ref="I93:I108" si="55">+(((I$38*((1-I$81)*(1-I$82)^$B93)*I$39*((1-I$83)*($B$86-I$84)+(I$83*0.5*($B$86-I$84)))+I$38*6*((1-I$81)*(1-I$82)^$B93)*(1-I$39)*($B$87-I$85))-(I$49+I$48)*I$38*(1-I$81)*(1-I$82)^$B93)/(1.1^$B94))</f>
        <v>0</v>
      </c>
      <c r="J93">
        <f t="shared" ref="J93:J108" si="56">+(((J$38*((1-J$81)*(1-J$82)^$B93)*J$39*((1-J$83)*($B$86-J$84)+(J$83*0.5*($B$86-J$84)))+J$38*6*((1-J$81)*(1-J$82)^$B93)*(1-J$39)*($B$87-J$85))-(J$49+J$48)*J$38*(1-J$81)*(1-J$82)^$B93)/(1.1^$B94))</f>
        <v>41.254733875791075</v>
      </c>
      <c r="K93">
        <f t="shared" ref="K93:K108" si="57">+(((K$38*((1-K$81)*(1-K$82)^$B93)*K$39*((1-K$83)*($B$86-K$84)+(K$83*0.5*($B$86-K$84)))+K$38*6*((1-K$81)*(1-K$82)^$B93)*(1-K$39)*($B$87-K$85))-(K$49+K$48)*K$38*(1-K$81)*(1-K$82)^$B93)/(1.1^$B94))</f>
        <v>0</v>
      </c>
      <c r="L93">
        <f t="shared" si="28"/>
        <v>272.60359341022809</v>
      </c>
      <c r="M93">
        <f t="shared" ref="M93:M108" si="58">+(((M$38*((1-M$81)*(1-M$82)^$B93)*M$39*((1-M$83)*($B$86-M$84)+(M$83*0.5*($B$86-M$84)))+M$38*6*((1-M$81)*(1-M$82)^$B93)*(1-M$39)*($B$87-M$85))-(M$49+M$48)*M$38*(1-M$81)*(1-M$82)^$B93)/(1.1^$B94))</f>
        <v>0</v>
      </c>
      <c r="N93">
        <f t="shared" ref="N93:N108" si="59">+(((N$38*((1-N$81)*(1-N$82)^$B93)*N$39*((1-N$83)*($B$86-N$84)+(N$83*0.5*($B$86-N$84)))+N$38*6*((1-N$81)*(1-N$82)^$B93)*(1-N$39)*($B$87-N$85))-(N$49+N$48)*N$38*(1-N$81)*(1-N$82)^$B93)/(1.1^$B94))</f>
        <v>122.45825009776478</v>
      </c>
      <c r="O93" s="4">
        <f t="shared" ref="O93:O108" si="60">+(((O$38*((1-O$81)*(1-O$82)^$B93)*O$39*((1-O$83)*($B$86-O$84)+(O$83*0.5*($B$86-O$84)))+O$38*6*((1-O$81)*(1-O$82)^$B93)*(1-O$39)*($B$87-O$85))-(O$49+O$48)*O$38*(1-O$81)*(1-O$82)^$B93)/(1.1^$B94))</f>
        <v>0</v>
      </c>
      <c r="P93" s="4">
        <f t="shared" ref="P93:P108" si="61">+(((P$38*((1-P$81)*(1-P$82)^$B93)*P$39*((1-P$83)*($B$86-P$84)+(P$83*0.5*($B$86-P$84)))+P$38*6*((1-P$81)*(1-P$82)^$B93)*(1-P$39)*($B$87-P$85))-(P$49+P$48)*P$38*(1-P$81)*(1-P$82)^$B93)/(1.1^$B94))</f>
        <v>382.54705245428306</v>
      </c>
      <c r="Q93" s="4">
        <f t="shared" ref="Q93:Q108" si="62">+(((Q$38*((1-Q$81)*(1-Q$82)^$B93)*Q$39*((1-Q$83)*($B$86-Q$84)+(Q$83*0.5*($B$86-Q$84)))+Q$38*6*((1-Q$81)*(1-Q$82)^$B93)*(1-Q$39)*($B$87-Q$85))-(Q$49+Q$48)*Q$38*(1-Q$81)*(1-Q$82)^$B93)/(1.1^$B94))</f>
        <v>0</v>
      </c>
      <c r="R93">
        <f t="shared" ref="R93:R108" si="63">+(((R$38*((1-R$81)*(1-R$82)^$B93)*R$39*((1-R$83)*($B$86-R$84)+(R$83*0.5*($B$86-R$84)))+R$38*6*((1-R$81)*(1-R$82)^$B93)*(1-R$39)*($B$87-R$85))-(R$49+R$48)*R$38*(1-R$81)*(1-R$82)^$B93)/(1.1^$B94))</f>
        <v>76.920043329438045</v>
      </c>
      <c r="S93">
        <f t="shared" ref="S93:S108" si="64">+(((S$38*((1-S$81)*(1-S$82)^$B93)*S$39*((1-S$83)*($B$86-S$84)+(S$83*0.5*($B$86-S$84)))+S$38*6*((1-S$81)*(1-S$82)^$B93)*(1-S$39)*($B$87-S$85))-(S$49+S$48)*S$38*(1-S$81)*(1-S$82)^$B93)/(1.1^$B94))</f>
        <v>0</v>
      </c>
      <c r="T93">
        <f t="shared" ref="T93:T108" si="65">+(((T$38*((1-T$81)*(1-T$82)^$B93)*T$39*((1-T$83)*($B$86-T$84)+(T$83*0.5*($B$86-T$84)))+T$38*6*((1-T$81)*(1-T$82)^$B93)*(1-T$39)*($B$87-T$85))-(T$49+T$48)*T$38*(1-T$81)*(1-T$82)^$B93)/(1.1^$B94))</f>
        <v>0</v>
      </c>
      <c r="U93">
        <f t="shared" ref="U93:U108" si="66">+(((U$38*((1-U$81)*(1-U$82)^$B93)*U$39*((1-U$83)*($B$86-U$84)+(U$83*0.5*($B$86-U$84)))+U$38*6*((1-U$81)*(1-U$82)^$B93)*(1-U$39)*($B$87-U$85))-(U$49+U$48)*U$38*(1-U$81)*(1-U$82)^$B93)/(1.1^$B94))</f>
        <v>0</v>
      </c>
      <c r="V93">
        <f t="shared" si="29"/>
        <v>217.07811676747659</v>
      </c>
      <c r="W93">
        <f t="shared" ref="W93:W108" si="67">+(((W$38*((1-W$81)*(1-W$82)^$B93)*W$39*((1-W$83)*($B$86-W$84)+(W$83*0.5*($B$86-W$84)))+W$38*6*((1-W$81)*(1-W$82)^$B93)*(1-W$39)*($B$87-W$85))-(W$49+W$48)*W$38*(1-W$81)*(1-W$82)^$B93)/(1.1^$B94))</f>
        <v>0</v>
      </c>
      <c r="X93">
        <f t="shared" ref="X93:X108" si="68">+(((X$38*((1-X$81)*(1-X$82)^$B93)*X$39*((1-X$83)*($B$86-X$84)+(X$83*0.5*($B$86-X$84)))+X$38*6*((1-X$81)*(1-X$82)^$B93)*(1-X$39)*($B$87-X$85))-(X$49+X$48)*X$38*(1-X$81)*(1-X$82)^$B93)/(1.1^$B94))</f>
        <v>83.578135695179796</v>
      </c>
      <c r="Y93">
        <f t="shared" ref="Y93:Y108" si="69">+(((Y$38*((1-Y$81)*(1-Y$82)^$B93)*Y$39*((1-Y$83)*($B$86-Y$84)+(Y$83*0.5*($B$86-Y$84)))+Y$38*6*((1-Y$81)*(1-Y$82)^$B93)*(1-Y$39)*($B$87-Y$85))-(Y$49+Y$48)*Y$38*(1-Y$81)*(1-Y$82)^$B93)/(1.1^$B94))</f>
        <v>0</v>
      </c>
      <c r="Z93">
        <f t="shared" ref="Z93:Z108" si="70">+(((Z$38*((1-Z$81)*(1-Z$82)^$B93)*Z$39*((1-Z$83)*($B$86-Z$84)+(Z$83*0.5*($B$86-Z$84)))+Z$38*6*((1-Z$81)*(1-Z$82)^$B93)*(1-Z$39)*($B$87-Z$85))-(Z$49+Z$48)*Z$38*(1-Z$81)*(1-Z$82)^$B93)/(1.1^$B94))</f>
        <v>0</v>
      </c>
      <c r="AA93">
        <f t="shared" ref="AA93:AA108" si="71">+(((AA$38*((1-AA$81)*(1-AA$82)^$B93)*AA$39*((1-AA$83)*($B$86-AA$84)+(AA$83*0.5*($B$86-AA$84)))+AA$38*6*((1-AA$81)*(1-AA$82)^$B93)*(1-AA$39)*($B$87-AA$85))-(AA$49+AA$48)*AA$38*(1-AA$81)*(1-AA$82)^$B93)/(1.1^$B94))</f>
        <v>0</v>
      </c>
      <c r="AB93">
        <f t="shared" si="30"/>
        <v>77.996466129848514</v>
      </c>
      <c r="AC93">
        <f t="shared" ref="AC93:AC108" si="72">+(((AC$38*((1-AC$81)*(1-AC$82)^$B93)*AC$39*((1-AC$83)*($B$86-AC$84)+(AC$83*0.5*($B$86-AC$84)))+AC$38*6*((1-AC$81)*(1-AC$82)^$B93)*(1-AC$39)*($B$87-AC$85))-(AC$49+AC$48)*AC$38*(1-AC$81)*(1-AC$82)^$B93)/(1.1^$B94))</f>
        <v>0</v>
      </c>
      <c r="AD93">
        <f t="shared" ref="AD93:AD108" si="73">+(((AD$38*((1-AD$81)*(1-AD$82)^$B93)*AD$39*((1-AD$83)*($B$86-AD$84)+(AD$83*0.5*($B$86-AD$84)))+AD$38*6*((1-AD$81)*(1-AD$82)^$B93)*(1-AD$39)*($B$87-AD$85))-(AD$49+AD$48)*AD$38*(1-AD$81)*(1-AD$82)^$B93)/(1.1^$B94))</f>
        <v>36.104841435463143</v>
      </c>
      <c r="AE93">
        <f t="shared" ref="AE93:AE108" si="74">+(((AE$38*((1-AE$81)*(1-AE$82)^$B93)*AE$39*((1-AE$83)*($B$86-AE$84)+(AE$83*0.5*($B$86-AE$84)))+AE$38*6*((1-AE$81)*(1-AE$82)^$B93)*(1-AE$39)*($B$87-AE$85))-(AE$49+AE$48)*AE$38*(1-AE$81)*(1-AE$82)^$B93)/(1.1^$B94))</f>
        <v>0</v>
      </c>
      <c r="AF93">
        <f t="shared" ref="AF93:AF108" si="75">+(((AF$38*((1-AF$81)*(1-AF$82)^$B93)*AF$39*((1-AF$83)*($B$86-AF$84)+(AF$83*0.5*($B$86-AF$84)))+AF$38*6*((1-AF$81)*(1-AF$82)^$B93)*(1-AF$39)*($B$87-AF$85))-(AF$49+AF$48)*AF$38*(1-AF$81)*(1-AF$82)^$B93)/(1.1^$B94))</f>
        <v>95.702189332920398</v>
      </c>
      <c r="AG93">
        <f t="shared" ref="AG93:AG108" si="76">+(((AG$38*((1-AG$81)*(1-AG$82)^$B93)*AG$39*((1-AG$83)*($B$86-AG$84)+(AG$83*0.5*($B$86-AG$84)))+AG$38*6*((1-AG$81)*(1-AG$82)^$B93)*(1-AG$39)*($B$87-AG$85))-(AG$49+AG$48)*AG$38*(1-AG$81)*(1-AG$82)^$B93)/(1.1^$B94))</f>
        <v>0</v>
      </c>
      <c r="AH93" s="4">
        <f t="shared" ref="AH93:AH108" si="77">+(((AH$38*((1-AH$81)*(1-AH$82)^$B93)*AH$39*((1-AH$83)*($B$86-AH$84)+(AH$83*0.5*($B$86-AH$84)))+AH$38*6*((1-AH$81)*(1-AH$82)^$B93)*(1-AH$39)*($B$87-AH$85))-(AH$49+AH$48)*AH$38*(1-AH$81)*(1-AH$82)^$B93)/(1.1^$B94))</f>
        <v>39.717068898343086</v>
      </c>
      <c r="AI93" s="4">
        <f t="shared" ref="AI93:AI108" si="78">+(((AI$38*((1-AI$81)*(1-AI$82)^$B93)*AI$39*((1-AI$83)*($B$86-AI$84)+(AI$83*0.5*($B$86-AI$84)))+AI$38*6*((1-AI$81)*(1-AI$82)^$B93)*(1-AI$39)*($B$87-AI$85))-(AI$49+AI$48)*AI$38*(1-AI$81)*(1-AI$82)^$B93)/(1.1^$B94))</f>
        <v>0</v>
      </c>
      <c r="AJ93" s="4">
        <f t="shared" ref="AJ93:AJ108" si="79">+(((AJ$38*((1-AJ$81)*(1-AJ$82)^$B93)*AJ$39*((1-AJ$83)*($B$86-AJ$84)+(AJ$83*0.5*($B$86-AJ$84)))+AJ$38*6*((1-AJ$81)*(1-AJ$82)^$B93)*(1-AJ$39)*($B$87-AJ$85))-(AJ$49+AJ$48)*AJ$38*(1-AJ$81)*(1-AJ$82)^$B93)/(1.1^$B94))</f>
        <v>34.895757402090297</v>
      </c>
      <c r="AK93" s="4">
        <f t="shared" ref="AK93:AK108" si="80">+(((AK$38*((1-AK$81)*(1-AK$82)^$B93)*AK$39*((1-AK$83)*($B$86-AK$84)+(AK$83*0.5*($B$86-AK$84)))+AK$38*6*((1-AK$81)*(1-AK$82)^$B93)*(1-AK$39)*($B$87-AK$85))-(AK$49+AK$48)*AK$38*(1-AK$81)*(1-AK$82)^$B93)/(1.1^$B94))</f>
        <v>0</v>
      </c>
      <c r="AL93" s="4">
        <f t="shared" ref="AL93:AL108" si="81">+(((AL$38*((1-AL$81)*(1-AL$82)^$B93)*AL$39*((1-AL$83)*($B$86-AL$84)+(AL$83*0.5*($B$86-AL$84)))+AL$38*6*((1-AL$81)*(1-AL$82)^$B93)*(1-AL$39)*($B$87-AL$85))-(AL$49+AL$48)*AL$38*(1-AL$81)*(1-AL$82)^$B93)/(1.1^$B94))</f>
        <v>0</v>
      </c>
      <c r="AM93" s="4">
        <f t="shared" ref="AM93:AM108" si="82">+(((AM$38*((1-AM$81)*(1-AM$82)^$B93)*AM$39*((1-AM$83)*($B$86-AM$84)+(AM$83*0.5*($B$86-AM$84)))+AM$38*6*((1-AM$81)*(1-AM$82)^$B93)*(1-AM$39)*($B$87-AM$85))-(AM$49+AM$48)*AM$38*(1-AM$81)*(1-AM$82)^$B93)/(1.1^$B94))</f>
        <v>0</v>
      </c>
      <c r="AN93" s="4">
        <f t="shared" ref="AN93:AN108" si="83">+(((AN$38*((1-AN$81)*(1-AN$82)^$B93)*AN$39*((1-AN$83)*($B$86-AN$84)+(AN$83*0.5*($B$86-AN$84)))+AN$38*6*((1-AN$81)*(1-AN$82)^$B93)*(1-AN$39)*($B$87-AN$85))-(AN$49+AN$48)*AN$38*(1-AN$81)*(1-AN$82)^$B93)/(1.1^$B94))</f>
        <v>95.932367520609446</v>
      </c>
      <c r="AO93" s="4">
        <f t="shared" ref="AO93:AO108" si="84">+(((AO$38*((1-AO$81)*(1-AO$82)^$B93)*AO$39*((1-AO$83)*($B$86-AO$84)+(AO$83*0.5*($B$86-AO$84)))+AO$38*6*((1-AO$81)*(1-AO$82)^$B93)*(1-AO$39)*($B$87-AO$85))-(AO$49+AO$48)*AO$38*(1-AO$81)*(1-AO$82)^$B93)/(1.1^$B94))</f>
        <v>0</v>
      </c>
      <c r="AP93" s="4">
        <f t="shared" ref="AP93:AP108" si="85">+(((AP$38*((1-AP$81)*(1-AP$82)^$B93)*AP$39*((1-AP$83)*($B$86-AP$84)+(AP$83*0.5*($B$86-AP$84)))+AP$38*6*((1-AP$81)*(1-AP$82)^$B93)*(1-AP$39)*($B$87-AP$85))-(AP$49+AP$48)*AP$38*(1-AP$81)*(1-AP$82)^$B93)/(1.1^$B94))</f>
        <v>0</v>
      </c>
      <c r="AQ93" s="4">
        <f t="shared" ref="AQ93:AQ108" si="86">+(((AQ$38*((1-AQ$81)*(1-AQ$82)^$B93)*AQ$39*((1-AQ$83)*($B$86-AQ$84)+(AQ$83*0.5*($B$86-AQ$84)))+AQ$38*6*((1-AQ$81)*(1-AQ$82)^$B93)*(1-AQ$39)*($B$87-AQ$85))-(AQ$49+AQ$48)*AQ$38*(1-AQ$81)*(1-AQ$82)^$B93)/(1.1^$B94))</f>
        <v>0</v>
      </c>
      <c r="AR93" s="4">
        <f t="shared" ref="AR93:AR108" si="87">+(((AR$38*((1-AR$81)*(1-AR$82)^$B93)*AR$39*((1-AR$83)*($B$86-AR$84)+(AR$83*0.5*($B$86-AR$84)))+AR$38*6*((1-AR$81)*(1-AR$82)^$B93)*(1-AR$39)*($B$87-AR$85))-(AR$49+AR$48)*AR$38*(1-AR$81)*(1-AR$82)^$B93)/(1.1^$B94))</f>
        <v>0</v>
      </c>
      <c r="AS93" s="4">
        <f t="shared" si="38"/>
        <v>108.40966760125316</v>
      </c>
      <c r="AT93" s="4">
        <f t="shared" si="39"/>
        <v>0</v>
      </c>
      <c r="AU93" s="4">
        <f t="shared" si="40"/>
        <v>0</v>
      </c>
      <c r="AV93" s="4">
        <f t="shared" si="41"/>
        <v>0</v>
      </c>
      <c r="AW93" s="4">
        <f t="shared" si="42"/>
        <v>252.39330425425706</v>
      </c>
      <c r="AX93" s="4">
        <f t="shared" si="43"/>
        <v>0</v>
      </c>
      <c r="AY93" s="4">
        <f t="shared" si="44"/>
        <v>64.346507700693039</v>
      </c>
      <c r="AZ93" s="4">
        <f t="shared" si="45"/>
        <v>0</v>
      </c>
      <c r="BA93" s="4">
        <f t="shared" si="46"/>
        <v>227.25069922870969</v>
      </c>
      <c r="BB93" s="4">
        <f t="shared" si="47"/>
        <v>0</v>
      </c>
      <c r="BC93" s="4">
        <f t="shared" si="48"/>
        <v>109.94956196074908</v>
      </c>
      <c r="BD93" s="4">
        <f t="shared" si="49"/>
        <v>0</v>
      </c>
      <c r="BE93" s="4">
        <f t="shared" si="48"/>
        <v>143.6011785806044</v>
      </c>
      <c r="BF93" s="4">
        <f t="shared" si="50"/>
        <v>0</v>
      </c>
      <c r="BG93" s="4">
        <f t="shared" si="51"/>
        <v>96.64489033624119</v>
      </c>
      <c r="BH93" s="4"/>
      <c r="BI93" s="4"/>
      <c r="BJ93" s="4"/>
      <c r="BK93" s="4">
        <f t="shared" si="31"/>
        <v>842.67494299603607</v>
      </c>
      <c r="BL93" s="4">
        <f t="shared" si="26"/>
        <v>0</v>
      </c>
      <c r="BM93" s="4">
        <f t="shared" si="31"/>
        <v>623.35441917847163</v>
      </c>
      <c r="BN93" s="4">
        <f t="shared" si="26"/>
        <v>0</v>
      </c>
      <c r="BO93" s="4">
        <f t="shared" si="32"/>
        <v>88.690256492846217</v>
      </c>
      <c r="BP93" s="4">
        <f t="shared" si="26"/>
        <v>0</v>
      </c>
      <c r="BQ93" s="4">
        <f t="shared" si="26"/>
        <v>180.71372016784966</v>
      </c>
      <c r="BR93" s="4">
        <f t="shared" si="26"/>
        <v>0</v>
      </c>
      <c r="BS93" s="4">
        <f t="shared" si="26"/>
        <v>415.9902169765823</v>
      </c>
      <c r="BT93" s="4">
        <f t="shared" si="26"/>
        <v>0</v>
      </c>
      <c r="BU93" s="4">
        <f t="shared" si="33"/>
        <v>1570.3124379672586</v>
      </c>
      <c r="BV93" s="4">
        <f t="shared" si="26"/>
        <v>0</v>
      </c>
      <c r="BW93" s="4">
        <f t="shared" si="26"/>
        <v>419.08624867942262</v>
      </c>
      <c r="BX93" s="4">
        <f t="shared" si="26"/>
        <v>0</v>
      </c>
      <c r="BY93" s="4">
        <f t="shared" si="34"/>
        <v>236.64013758708222</v>
      </c>
      <c r="BZ93" s="4">
        <f t="shared" si="26"/>
        <v>0</v>
      </c>
      <c r="CA93" s="4">
        <f t="shared" si="26"/>
        <v>558.61941181165389</v>
      </c>
      <c r="CB93" s="4">
        <f t="shared" si="26"/>
        <v>0</v>
      </c>
      <c r="CC93" s="4">
        <f t="shared" si="27"/>
        <v>931.74612719014942</v>
      </c>
      <c r="CD93" s="4">
        <f t="shared" si="27"/>
        <v>0</v>
      </c>
      <c r="CE93" s="4">
        <f t="shared" si="27"/>
        <v>0</v>
      </c>
      <c r="CF93" s="4">
        <f t="shared" si="27"/>
        <v>0</v>
      </c>
      <c r="CG93" s="4">
        <f t="shared" si="27"/>
        <v>370.54711647329384</v>
      </c>
      <c r="CH93" s="4">
        <f t="shared" si="27"/>
        <v>0</v>
      </c>
      <c r="CI93" s="4">
        <f t="shared" si="35"/>
        <v>550.58547205946149</v>
      </c>
      <c r="CJ93" s="4">
        <f t="shared" si="27"/>
        <v>0</v>
      </c>
      <c r="CK93" s="4">
        <f t="shared" si="27"/>
        <v>0</v>
      </c>
      <c r="CL93" s="4">
        <f t="shared" si="27"/>
        <v>0</v>
      </c>
      <c r="CM93" s="4">
        <f t="shared" si="27"/>
        <v>878.70339471564273</v>
      </c>
      <c r="CN93" s="4">
        <f t="shared" si="27"/>
        <v>0</v>
      </c>
      <c r="CO93" s="4">
        <f t="shared" si="36"/>
        <v>378.17932022447928</v>
      </c>
    </row>
    <row r="94" spans="1:94" outlineLevel="2" x14ac:dyDescent="0.25">
      <c r="B94">
        <v>7</v>
      </c>
      <c r="D94" s="4">
        <f t="shared" si="37"/>
        <v>175.17798268995921</v>
      </c>
      <c r="E94" s="4"/>
      <c r="F94">
        <f t="shared" si="52"/>
        <v>124.37014454956133</v>
      </c>
      <c r="G94">
        <f t="shared" si="53"/>
        <v>0</v>
      </c>
      <c r="H94">
        <f t="shared" si="54"/>
        <v>40.56140833778646</v>
      </c>
      <c r="I94">
        <f t="shared" si="55"/>
        <v>0</v>
      </c>
      <c r="J94">
        <f t="shared" si="56"/>
        <v>30.003442818757144</v>
      </c>
      <c r="K94">
        <f t="shared" si="57"/>
        <v>0</v>
      </c>
      <c r="L94">
        <f t="shared" si="28"/>
        <v>210.64823127153988</v>
      </c>
      <c r="M94">
        <f t="shared" si="58"/>
        <v>0</v>
      </c>
      <c r="N94">
        <f t="shared" si="59"/>
        <v>94.626829621000041</v>
      </c>
      <c r="O94" s="4">
        <f t="shared" si="60"/>
        <v>0</v>
      </c>
      <c r="P94" s="4">
        <f t="shared" si="61"/>
        <v>295.60454053285514</v>
      </c>
      <c r="Q94" s="4">
        <f t="shared" si="62"/>
        <v>0</v>
      </c>
      <c r="R94">
        <f t="shared" si="63"/>
        <v>61.536034663550446</v>
      </c>
      <c r="S94">
        <f t="shared" si="64"/>
        <v>0</v>
      </c>
      <c r="T94">
        <f t="shared" si="65"/>
        <v>0</v>
      </c>
      <c r="U94">
        <f t="shared" si="66"/>
        <v>0</v>
      </c>
      <c r="V94">
        <f t="shared" si="29"/>
        <v>157.87499401271029</v>
      </c>
      <c r="W94">
        <f t="shared" si="67"/>
        <v>0</v>
      </c>
      <c r="X94">
        <f t="shared" si="68"/>
        <v>64.583104855366187</v>
      </c>
      <c r="Y94">
        <f t="shared" si="69"/>
        <v>0</v>
      </c>
      <c r="Z94">
        <f t="shared" si="70"/>
        <v>0</v>
      </c>
      <c r="AA94">
        <f t="shared" si="71"/>
        <v>0</v>
      </c>
      <c r="AB94">
        <f t="shared" si="30"/>
        <v>60.269996554882965</v>
      </c>
      <c r="AC94">
        <f t="shared" si="72"/>
        <v>0</v>
      </c>
      <c r="AD94">
        <f t="shared" si="73"/>
        <v>26.258066498518652</v>
      </c>
      <c r="AE94">
        <f t="shared" si="74"/>
        <v>0</v>
      </c>
      <c r="AF94">
        <f t="shared" si="75"/>
        <v>73.951691757256654</v>
      </c>
      <c r="AG94">
        <f t="shared" si="76"/>
        <v>0</v>
      </c>
      <c r="AH94" s="4">
        <f t="shared" si="77"/>
        <v>28.885141016976792</v>
      </c>
      <c r="AI94" s="4">
        <f t="shared" si="78"/>
        <v>0</v>
      </c>
      <c r="AJ94" s="4">
        <f t="shared" si="79"/>
        <v>25.378732656065687</v>
      </c>
      <c r="AK94" s="4">
        <f t="shared" si="80"/>
        <v>0</v>
      </c>
      <c r="AL94" s="4">
        <f t="shared" si="81"/>
        <v>0</v>
      </c>
      <c r="AM94" s="4">
        <f t="shared" si="82"/>
        <v>0</v>
      </c>
      <c r="AN94" s="4">
        <f t="shared" si="83"/>
        <v>74.129556720470916</v>
      </c>
      <c r="AO94" s="4">
        <f t="shared" si="84"/>
        <v>0</v>
      </c>
      <c r="AP94" s="4">
        <f t="shared" si="85"/>
        <v>0</v>
      </c>
      <c r="AQ94" s="4">
        <f t="shared" si="86"/>
        <v>0</v>
      </c>
      <c r="AR94" s="4">
        <f t="shared" si="87"/>
        <v>0</v>
      </c>
      <c r="AS94" s="4">
        <f t="shared" si="38"/>
        <v>78.843394619093218</v>
      </c>
      <c r="AT94" s="4">
        <f t="shared" si="39"/>
        <v>0</v>
      </c>
      <c r="AU94" s="4">
        <f t="shared" si="40"/>
        <v>0</v>
      </c>
      <c r="AV94" s="4">
        <f t="shared" si="41"/>
        <v>0</v>
      </c>
      <c r="AW94" s="4">
        <f t="shared" si="42"/>
        <v>206.50361257166483</v>
      </c>
      <c r="AX94" s="4">
        <f t="shared" si="43"/>
        <v>0</v>
      </c>
      <c r="AY94" s="4">
        <f t="shared" si="44"/>
        <v>46.797460145958574</v>
      </c>
      <c r="AZ94" s="4">
        <f t="shared" si="45"/>
        <v>0</v>
      </c>
      <c r="BA94" s="4">
        <f t="shared" si="46"/>
        <v>175.60281304036661</v>
      </c>
      <c r="BB94" s="4">
        <f t="shared" si="47"/>
        <v>0</v>
      </c>
      <c r="BC94" s="4">
        <f t="shared" si="48"/>
        <v>84.961025151487888</v>
      </c>
      <c r="BD94" s="4">
        <f t="shared" si="49"/>
        <v>0</v>
      </c>
      <c r="BE94" s="4">
        <f t="shared" si="48"/>
        <v>110.96454708501248</v>
      </c>
      <c r="BF94" s="4">
        <f t="shared" si="50"/>
        <v>0</v>
      </c>
      <c r="BG94" s="4">
        <f t="shared" si="51"/>
        <v>70.287192971811777</v>
      </c>
      <c r="BH94" s="4"/>
      <c r="BI94" s="4"/>
      <c r="BJ94" s="4"/>
      <c r="BK94" s="4">
        <f t="shared" si="31"/>
        <v>651.15791049693712</v>
      </c>
      <c r="BL94" s="4">
        <f t="shared" si="26"/>
        <v>0</v>
      </c>
      <c r="BM94" s="4">
        <f t="shared" si="31"/>
        <v>481.68296027427346</v>
      </c>
      <c r="BN94" s="4">
        <f t="shared" si="26"/>
        <v>0</v>
      </c>
      <c r="BO94" s="4">
        <f t="shared" si="32"/>
        <v>72.564755312328742</v>
      </c>
      <c r="BP94" s="4">
        <f t="shared" si="26"/>
        <v>0</v>
      </c>
      <c r="BQ94" s="4">
        <f t="shared" si="26"/>
        <v>131.42816012207248</v>
      </c>
      <c r="BR94" s="4">
        <f t="shared" si="26"/>
        <v>0</v>
      </c>
      <c r="BS94" s="4">
        <f t="shared" si="26"/>
        <v>321.44698584554089</v>
      </c>
      <c r="BT94" s="4">
        <f t="shared" si="26"/>
        <v>0</v>
      </c>
      <c r="BU94" s="4">
        <f t="shared" si="33"/>
        <v>1213.4232475201545</v>
      </c>
      <c r="BV94" s="4">
        <f t="shared" si="26"/>
        <v>0</v>
      </c>
      <c r="BW94" s="4">
        <f t="shared" si="26"/>
        <v>323.83937397955384</v>
      </c>
      <c r="BX94" s="4">
        <f t="shared" si="26"/>
        <v>0</v>
      </c>
      <c r="BY94" s="4">
        <f t="shared" si="34"/>
        <v>182.85828813547255</v>
      </c>
      <c r="BZ94" s="4">
        <f t="shared" si="26"/>
        <v>0</v>
      </c>
      <c r="CA94" s="4">
        <f t="shared" si="26"/>
        <v>431.66045458173249</v>
      </c>
      <c r="CB94" s="4">
        <f t="shared" si="26"/>
        <v>0</v>
      </c>
      <c r="CC94" s="4">
        <f t="shared" si="27"/>
        <v>719.98564373784291</v>
      </c>
      <c r="CD94" s="4">
        <f t="shared" si="27"/>
        <v>0</v>
      </c>
      <c r="CE94" s="4">
        <f t="shared" si="27"/>
        <v>0</v>
      </c>
      <c r="CF94" s="4">
        <f t="shared" si="27"/>
        <v>0</v>
      </c>
      <c r="CG94" s="4">
        <f t="shared" si="27"/>
        <v>286.33186272936342</v>
      </c>
      <c r="CH94" s="4">
        <f t="shared" si="27"/>
        <v>0</v>
      </c>
      <c r="CI94" s="4">
        <f t="shared" si="35"/>
        <v>425.45241022776577</v>
      </c>
      <c r="CJ94" s="4">
        <f t="shared" si="27"/>
        <v>0</v>
      </c>
      <c r="CK94" s="4">
        <f t="shared" si="27"/>
        <v>0</v>
      </c>
      <c r="CL94" s="4">
        <f t="shared" si="27"/>
        <v>0</v>
      </c>
      <c r="CM94" s="4">
        <f t="shared" si="27"/>
        <v>678.99807773481484</v>
      </c>
      <c r="CN94" s="4">
        <f t="shared" si="27"/>
        <v>0</v>
      </c>
      <c r="CO94" s="4">
        <f t="shared" si="36"/>
        <v>292.22947471891575</v>
      </c>
    </row>
    <row r="95" spans="1:94" outlineLevel="2" x14ac:dyDescent="0.25">
      <c r="B95">
        <v>8</v>
      </c>
      <c r="D95" s="4">
        <f t="shared" si="37"/>
        <v>135.36480480587755</v>
      </c>
      <c r="E95" s="4"/>
      <c r="F95">
        <f t="shared" si="52"/>
        <v>98.365477961925791</v>
      </c>
      <c r="G95">
        <f t="shared" si="53"/>
        <v>0</v>
      </c>
      <c r="H95">
        <f t="shared" si="54"/>
        <v>29.499206063844696</v>
      </c>
      <c r="I95">
        <f t="shared" si="55"/>
        <v>0</v>
      </c>
      <c r="J95">
        <f t="shared" si="56"/>
        <v>21.820685686368829</v>
      </c>
      <c r="K95">
        <f t="shared" si="57"/>
        <v>0</v>
      </c>
      <c r="L95">
        <f t="shared" si="28"/>
        <v>162.7736332552808</v>
      </c>
      <c r="M95">
        <f t="shared" si="58"/>
        <v>0</v>
      </c>
      <c r="N95">
        <f t="shared" si="59"/>
        <v>73.120731979863677</v>
      </c>
      <c r="O95" s="4">
        <f t="shared" si="60"/>
        <v>0</v>
      </c>
      <c r="P95" s="4">
        <f t="shared" si="61"/>
        <v>228.42169041175165</v>
      </c>
      <c r="Q95" s="4">
        <f t="shared" si="62"/>
        <v>0</v>
      </c>
      <c r="R95">
        <f t="shared" si="63"/>
        <v>49.228827730840372</v>
      </c>
      <c r="S95">
        <f t="shared" si="64"/>
        <v>0</v>
      </c>
      <c r="T95">
        <f t="shared" si="65"/>
        <v>0</v>
      </c>
      <c r="U95">
        <f t="shared" si="66"/>
        <v>0</v>
      </c>
      <c r="V95">
        <f t="shared" si="29"/>
        <v>114.8181774637893</v>
      </c>
      <c r="W95">
        <f t="shared" si="67"/>
        <v>0</v>
      </c>
      <c r="X95">
        <f t="shared" si="68"/>
        <v>49.90512647914661</v>
      </c>
      <c r="Y95">
        <f t="shared" si="69"/>
        <v>0</v>
      </c>
      <c r="Z95">
        <f t="shared" si="70"/>
        <v>0</v>
      </c>
      <c r="AA95">
        <f t="shared" si="71"/>
        <v>0</v>
      </c>
      <c r="AB95">
        <f t="shared" si="30"/>
        <v>46.572270065136827</v>
      </c>
      <c r="AC95">
        <f t="shared" si="72"/>
        <v>0</v>
      </c>
      <c r="AD95">
        <f t="shared" si="73"/>
        <v>19.096775635286292</v>
      </c>
      <c r="AE95">
        <f t="shared" si="74"/>
        <v>0</v>
      </c>
      <c r="AF95">
        <f t="shared" si="75"/>
        <v>57.144489085152898</v>
      </c>
      <c r="AG95">
        <f t="shared" si="76"/>
        <v>0</v>
      </c>
      <c r="AH95" s="4">
        <f t="shared" si="77"/>
        <v>21.007375285074033</v>
      </c>
      <c r="AI95" s="4">
        <f t="shared" si="78"/>
        <v>0</v>
      </c>
      <c r="AJ95" s="4">
        <f t="shared" si="79"/>
        <v>18.457260113502311</v>
      </c>
      <c r="AK95" s="4">
        <f t="shared" si="80"/>
        <v>0</v>
      </c>
      <c r="AL95" s="4">
        <f t="shared" si="81"/>
        <v>0</v>
      </c>
      <c r="AM95" s="4">
        <f t="shared" si="82"/>
        <v>0</v>
      </c>
      <c r="AN95" s="4">
        <f t="shared" si="83"/>
        <v>57.281930193091156</v>
      </c>
      <c r="AO95" s="4">
        <f t="shared" si="84"/>
        <v>0</v>
      </c>
      <c r="AP95" s="4">
        <f t="shared" si="85"/>
        <v>0</v>
      </c>
      <c r="AQ95" s="4">
        <f t="shared" si="86"/>
        <v>0</v>
      </c>
      <c r="AR95" s="4">
        <f t="shared" si="87"/>
        <v>0</v>
      </c>
      <c r="AS95" s="4">
        <f t="shared" si="38"/>
        <v>57.340650632067799</v>
      </c>
      <c r="AT95" s="4">
        <f t="shared" si="39"/>
        <v>0</v>
      </c>
      <c r="AU95" s="4">
        <f t="shared" si="40"/>
        <v>0</v>
      </c>
      <c r="AV95" s="4">
        <f t="shared" si="41"/>
        <v>0</v>
      </c>
      <c r="AW95" s="4">
        <f t="shared" si="42"/>
        <v>168.95750119499846</v>
      </c>
      <c r="AX95" s="4">
        <f t="shared" si="43"/>
        <v>0</v>
      </c>
      <c r="AY95" s="4">
        <f t="shared" si="44"/>
        <v>34.034516469788066</v>
      </c>
      <c r="AZ95" s="4">
        <f t="shared" si="45"/>
        <v>0</v>
      </c>
      <c r="BA95" s="4">
        <f t="shared" si="46"/>
        <v>135.69308280391965</v>
      </c>
      <c r="BB95" s="4">
        <f t="shared" si="47"/>
        <v>0</v>
      </c>
      <c r="BC95" s="4">
        <f t="shared" si="48"/>
        <v>65.651701253422473</v>
      </c>
      <c r="BD95" s="4">
        <f t="shared" si="49"/>
        <v>0</v>
      </c>
      <c r="BE95" s="4">
        <f t="shared" si="48"/>
        <v>85.745331838418764</v>
      </c>
      <c r="BF95" s="4">
        <f t="shared" si="50"/>
        <v>0</v>
      </c>
      <c r="BG95" s="4">
        <f t="shared" si="51"/>
        <v>51.117958524954034</v>
      </c>
      <c r="BH95" s="4"/>
      <c r="BI95" s="4"/>
      <c r="BJ95" s="4"/>
      <c r="BK95" s="4">
        <f t="shared" si="31"/>
        <v>503.1674762930877</v>
      </c>
      <c r="BL95" s="4">
        <f t="shared" si="26"/>
        <v>0</v>
      </c>
      <c r="BM95" s="4">
        <f t="shared" si="31"/>
        <v>372.20956021193859</v>
      </c>
      <c r="BN95" s="4">
        <f t="shared" si="26"/>
        <v>0</v>
      </c>
      <c r="BO95" s="4">
        <f t="shared" si="32"/>
        <v>59.37116343735984</v>
      </c>
      <c r="BP95" s="4">
        <f t="shared" si="26"/>
        <v>0</v>
      </c>
      <c r="BQ95" s="4">
        <f t="shared" si="26"/>
        <v>95.584116452416382</v>
      </c>
      <c r="BR95" s="4">
        <f t="shared" si="26"/>
        <v>0</v>
      </c>
      <c r="BS95" s="4">
        <f t="shared" si="26"/>
        <v>248.39085269882705</v>
      </c>
      <c r="BT95" s="4">
        <f t="shared" si="26"/>
        <v>0</v>
      </c>
      <c r="BU95" s="4">
        <f t="shared" si="33"/>
        <v>937.64523672011956</v>
      </c>
      <c r="BV95" s="4">
        <f t="shared" si="26"/>
        <v>0</v>
      </c>
      <c r="BW95" s="4">
        <f t="shared" si="26"/>
        <v>250.23951625692797</v>
      </c>
      <c r="BX95" s="4">
        <f t="shared" si="26"/>
        <v>0</v>
      </c>
      <c r="BY95" s="4">
        <f t="shared" si="34"/>
        <v>141.29958628650158</v>
      </c>
      <c r="BZ95" s="4">
        <f t="shared" si="26"/>
        <v>0</v>
      </c>
      <c r="CA95" s="4">
        <f t="shared" si="26"/>
        <v>333.55580581315701</v>
      </c>
      <c r="CB95" s="4">
        <f t="shared" si="26"/>
        <v>0</v>
      </c>
      <c r="CC95" s="4">
        <f t="shared" si="27"/>
        <v>556.35254288833289</v>
      </c>
      <c r="CD95" s="4">
        <f t="shared" si="27"/>
        <v>0</v>
      </c>
      <c r="CE95" s="4">
        <f t="shared" si="27"/>
        <v>0</v>
      </c>
      <c r="CF95" s="4">
        <f t="shared" si="27"/>
        <v>0</v>
      </c>
      <c r="CG95" s="4">
        <f t="shared" si="27"/>
        <v>221.25643938178078</v>
      </c>
      <c r="CH95" s="4">
        <f t="shared" si="27"/>
        <v>0</v>
      </c>
      <c r="CI95" s="4">
        <f t="shared" si="35"/>
        <v>328.75868063054634</v>
      </c>
      <c r="CJ95" s="4">
        <f t="shared" si="27"/>
        <v>0</v>
      </c>
      <c r="CK95" s="4">
        <f t="shared" si="27"/>
        <v>0</v>
      </c>
      <c r="CL95" s="4">
        <f t="shared" si="27"/>
        <v>0</v>
      </c>
      <c r="CM95" s="4">
        <f t="shared" si="27"/>
        <v>524.68033279508415</v>
      </c>
      <c r="CN95" s="4">
        <f t="shared" si="27"/>
        <v>0</v>
      </c>
      <c r="CO95" s="4">
        <f t="shared" si="36"/>
        <v>225.81368501007134</v>
      </c>
    </row>
    <row r="96" spans="1:94" outlineLevel="2" x14ac:dyDescent="0.25">
      <c r="B96">
        <v>9</v>
      </c>
      <c r="D96" s="4">
        <f t="shared" si="37"/>
        <v>104.60007644090534</v>
      </c>
      <c r="E96" s="4"/>
      <c r="F96">
        <f t="shared" si="52"/>
        <v>77.79815075170491</v>
      </c>
      <c r="G96">
        <f t="shared" si="53"/>
        <v>0</v>
      </c>
      <c r="H96">
        <f t="shared" si="54"/>
        <v>21.453968046432504</v>
      </c>
      <c r="I96">
        <f t="shared" si="55"/>
        <v>0</v>
      </c>
      <c r="J96">
        <f t="shared" si="56"/>
        <v>15.869589590086422</v>
      </c>
      <c r="K96">
        <f t="shared" si="57"/>
        <v>0</v>
      </c>
      <c r="L96">
        <f t="shared" si="28"/>
        <v>125.7796256972624</v>
      </c>
      <c r="M96">
        <f t="shared" si="58"/>
        <v>0</v>
      </c>
      <c r="N96">
        <f t="shared" si="59"/>
        <v>56.502383802621921</v>
      </c>
      <c r="O96" s="4">
        <f t="shared" si="60"/>
        <v>0</v>
      </c>
      <c r="P96" s="4">
        <f t="shared" si="61"/>
        <v>176.50766986362621</v>
      </c>
      <c r="Q96" s="4">
        <f t="shared" si="62"/>
        <v>0</v>
      </c>
      <c r="R96">
        <f t="shared" si="63"/>
        <v>39.383062184672291</v>
      </c>
      <c r="S96">
        <f t="shared" si="64"/>
        <v>0</v>
      </c>
      <c r="T96">
        <f t="shared" si="65"/>
        <v>0</v>
      </c>
      <c r="U96">
        <f t="shared" si="66"/>
        <v>0</v>
      </c>
      <c r="V96">
        <f t="shared" si="29"/>
        <v>83.504129064574059</v>
      </c>
      <c r="W96">
        <f t="shared" si="67"/>
        <v>0</v>
      </c>
      <c r="X96">
        <f t="shared" si="68"/>
        <v>38.563052279340546</v>
      </c>
      <c r="Y96">
        <f t="shared" si="69"/>
        <v>0</v>
      </c>
      <c r="Z96">
        <f t="shared" si="70"/>
        <v>0</v>
      </c>
      <c r="AA96">
        <f t="shared" si="71"/>
        <v>0</v>
      </c>
      <c r="AB96">
        <f t="shared" si="30"/>
        <v>35.987663232151156</v>
      </c>
      <c r="AC96">
        <f t="shared" si="72"/>
        <v>0</v>
      </c>
      <c r="AD96">
        <f t="shared" si="73"/>
        <v>13.888564098390029</v>
      </c>
      <c r="AE96">
        <f t="shared" si="74"/>
        <v>0</v>
      </c>
      <c r="AF96">
        <f t="shared" si="75"/>
        <v>44.157105202163578</v>
      </c>
      <c r="AG96">
        <f t="shared" si="76"/>
        <v>0</v>
      </c>
      <c r="AH96" s="4">
        <f t="shared" si="77"/>
        <v>15.278091116417482</v>
      </c>
      <c r="AI96" s="4">
        <f t="shared" si="78"/>
        <v>0</v>
      </c>
      <c r="AJ96" s="4">
        <f t="shared" si="79"/>
        <v>13.423461900728956</v>
      </c>
      <c r="AK96" s="4">
        <f t="shared" si="80"/>
        <v>0</v>
      </c>
      <c r="AL96" s="4">
        <f t="shared" si="81"/>
        <v>0</v>
      </c>
      <c r="AM96" s="4">
        <f t="shared" si="82"/>
        <v>0</v>
      </c>
      <c r="AN96" s="4">
        <f t="shared" si="83"/>
        <v>44.263309694661338</v>
      </c>
      <c r="AO96" s="4">
        <f t="shared" si="84"/>
        <v>0</v>
      </c>
      <c r="AP96" s="4">
        <f t="shared" si="85"/>
        <v>0</v>
      </c>
      <c r="AQ96" s="4">
        <f t="shared" si="86"/>
        <v>0</v>
      </c>
      <c r="AR96" s="4">
        <f t="shared" si="87"/>
        <v>0</v>
      </c>
      <c r="AS96" s="4">
        <f t="shared" si="38"/>
        <v>41.702291368776578</v>
      </c>
      <c r="AT96" s="4">
        <f t="shared" si="39"/>
        <v>0</v>
      </c>
      <c r="AU96" s="4">
        <f t="shared" si="40"/>
        <v>0</v>
      </c>
      <c r="AV96" s="4">
        <f t="shared" si="41"/>
        <v>0</v>
      </c>
      <c r="AW96" s="4">
        <f t="shared" si="42"/>
        <v>138.23795552318063</v>
      </c>
      <c r="AX96" s="4">
        <f t="shared" si="43"/>
        <v>0</v>
      </c>
      <c r="AY96" s="4">
        <f t="shared" si="44"/>
        <v>24.752375614391315</v>
      </c>
      <c r="AZ96" s="4">
        <f t="shared" si="45"/>
        <v>0</v>
      </c>
      <c r="BA96" s="4">
        <f t="shared" si="46"/>
        <v>104.85374580302879</v>
      </c>
      <c r="BB96" s="4">
        <f t="shared" si="47"/>
        <v>0</v>
      </c>
      <c r="BC96" s="4">
        <f t="shared" si="48"/>
        <v>50.730860059462799</v>
      </c>
      <c r="BD96" s="4">
        <f t="shared" si="49"/>
        <v>0</v>
      </c>
      <c r="BE96" s="4">
        <f t="shared" si="48"/>
        <v>66.25775642059628</v>
      </c>
      <c r="BF96" s="4">
        <f t="shared" si="50"/>
        <v>0</v>
      </c>
      <c r="BG96" s="4">
        <f t="shared" si="51"/>
        <v>37.176697109057464</v>
      </c>
      <c r="BH96" s="4"/>
      <c r="BI96" s="4"/>
      <c r="BJ96" s="4"/>
      <c r="BK96" s="4">
        <f t="shared" si="31"/>
        <v>388.81123168102215</v>
      </c>
      <c r="BL96" s="4">
        <f t="shared" si="26"/>
        <v>0</v>
      </c>
      <c r="BM96" s="4">
        <f t="shared" si="31"/>
        <v>287.61647834558886</v>
      </c>
      <c r="BN96" s="4">
        <f t="shared" si="26"/>
        <v>0</v>
      </c>
      <c r="BO96" s="4">
        <f t="shared" si="32"/>
        <v>48.576406448749033</v>
      </c>
      <c r="BP96" s="4">
        <f t="shared" si="26"/>
        <v>0</v>
      </c>
      <c r="BQ96" s="4">
        <f t="shared" si="26"/>
        <v>69.515721056302823</v>
      </c>
      <c r="BR96" s="4">
        <f t="shared" si="26"/>
        <v>0</v>
      </c>
      <c r="BS96" s="4">
        <f t="shared" si="26"/>
        <v>191.93838617636629</v>
      </c>
      <c r="BT96" s="4">
        <f t="shared" si="26"/>
        <v>0</v>
      </c>
      <c r="BU96" s="4">
        <f t="shared" si="33"/>
        <v>724.54404655645567</v>
      </c>
      <c r="BV96" s="4">
        <f t="shared" si="26"/>
        <v>0</v>
      </c>
      <c r="BW96" s="4">
        <f t="shared" si="26"/>
        <v>193.3668989258079</v>
      </c>
      <c r="BX96" s="4">
        <f t="shared" si="26"/>
        <v>0</v>
      </c>
      <c r="BY96" s="4">
        <f t="shared" si="34"/>
        <v>109.18604394866026</v>
      </c>
      <c r="BZ96" s="4">
        <f t="shared" si="26"/>
        <v>0</v>
      </c>
      <c r="CA96" s="4">
        <f t="shared" si="26"/>
        <v>257.74766812834844</v>
      </c>
      <c r="CB96" s="4">
        <f t="shared" si="26"/>
        <v>0</v>
      </c>
      <c r="CC96" s="4">
        <f t="shared" si="27"/>
        <v>429.9087831409845</v>
      </c>
      <c r="CD96" s="4">
        <f t="shared" si="27"/>
        <v>0</v>
      </c>
      <c r="CE96" s="4">
        <f t="shared" si="27"/>
        <v>0</v>
      </c>
      <c r="CF96" s="4">
        <f t="shared" si="27"/>
        <v>0</v>
      </c>
      <c r="CG96" s="4">
        <f t="shared" si="27"/>
        <v>170.9708849768306</v>
      </c>
      <c r="CH96" s="4">
        <f t="shared" si="27"/>
        <v>0</v>
      </c>
      <c r="CI96" s="4">
        <f t="shared" si="35"/>
        <v>254.04079866905838</v>
      </c>
      <c r="CJ96" s="4">
        <f t="shared" si="27"/>
        <v>0</v>
      </c>
      <c r="CK96" s="4">
        <f t="shared" si="27"/>
        <v>0</v>
      </c>
      <c r="CL96" s="4">
        <f t="shared" si="27"/>
        <v>0</v>
      </c>
      <c r="CM96" s="4">
        <f t="shared" si="27"/>
        <v>405.43480261438305</v>
      </c>
      <c r="CN96" s="4">
        <f t="shared" si="27"/>
        <v>0</v>
      </c>
      <c r="CO96" s="4">
        <f t="shared" si="36"/>
        <v>174.49239296232778</v>
      </c>
    </row>
    <row r="97" spans="2:93" outlineLevel="2" x14ac:dyDescent="0.25">
      <c r="B97">
        <v>10</v>
      </c>
      <c r="D97" s="4">
        <f t="shared" si="37"/>
        <v>80.82733179524503</v>
      </c>
      <c r="E97" s="4"/>
      <c r="F97">
        <f t="shared" si="52"/>
        <v>61.531264685439325</v>
      </c>
      <c r="G97">
        <f t="shared" si="53"/>
        <v>0</v>
      </c>
      <c r="H97">
        <f t="shared" si="54"/>
        <v>15.602885851950914</v>
      </c>
      <c r="I97">
        <f t="shared" si="55"/>
        <v>0</v>
      </c>
      <c r="J97">
        <f t="shared" si="56"/>
        <v>11.541519701881034</v>
      </c>
      <c r="K97">
        <f t="shared" si="57"/>
        <v>0</v>
      </c>
      <c r="L97">
        <f t="shared" si="28"/>
        <v>97.193347129702786</v>
      </c>
      <c r="M97">
        <f t="shared" si="58"/>
        <v>0</v>
      </c>
      <c r="N97">
        <f t="shared" si="59"/>
        <v>43.660932938389656</v>
      </c>
      <c r="O97" s="4">
        <f t="shared" si="60"/>
        <v>0</v>
      </c>
      <c r="P97" s="4">
        <f t="shared" si="61"/>
        <v>136.39229034916573</v>
      </c>
      <c r="Q97" s="4">
        <f t="shared" si="62"/>
        <v>0</v>
      </c>
      <c r="R97">
        <f t="shared" si="63"/>
        <v>31.506449747737825</v>
      </c>
      <c r="S97">
        <f t="shared" si="64"/>
        <v>0</v>
      </c>
      <c r="T97">
        <f t="shared" si="65"/>
        <v>0</v>
      </c>
      <c r="U97">
        <f t="shared" si="66"/>
        <v>0</v>
      </c>
      <c r="V97">
        <f t="shared" si="29"/>
        <v>60.730275683326575</v>
      </c>
      <c r="W97">
        <f t="shared" si="67"/>
        <v>0</v>
      </c>
      <c r="X97">
        <f t="shared" si="68"/>
        <v>29.79872221585406</v>
      </c>
      <c r="Y97">
        <f t="shared" si="69"/>
        <v>0</v>
      </c>
      <c r="Z97">
        <f t="shared" si="70"/>
        <v>0</v>
      </c>
      <c r="AA97">
        <f t="shared" si="71"/>
        <v>0</v>
      </c>
      <c r="AB97">
        <f t="shared" si="30"/>
        <v>27.808648861207722</v>
      </c>
      <c r="AC97">
        <f t="shared" si="72"/>
        <v>0</v>
      </c>
      <c r="AD97">
        <f t="shared" si="73"/>
        <v>10.100773889738205</v>
      </c>
      <c r="AE97">
        <f t="shared" si="74"/>
        <v>0</v>
      </c>
      <c r="AF97">
        <f t="shared" si="75"/>
        <v>34.121399474399119</v>
      </c>
      <c r="AG97">
        <f t="shared" si="76"/>
        <v>0</v>
      </c>
      <c r="AH97" s="4">
        <f t="shared" si="77"/>
        <v>11.111338993758167</v>
      </c>
      <c r="AI97" s="4">
        <f t="shared" si="78"/>
        <v>0</v>
      </c>
      <c r="AJ97" s="4">
        <f t="shared" si="79"/>
        <v>9.7625177459846935</v>
      </c>
      <c r="AK97" s="4">
        <f t="shared" si="80"/>
        <v>0</v>
      </c>
      <c r="AL97" s="4">
        <f t="shared" si="81"/>
        <v>0</v>
      </c>
      <c r="AM97" s="4">
        <f t="shared" si="82"/>
        <v>0</v>
      </c>
      <c r="AN97" s="4">
        <f t="shared" si="83"/>
        <v>34.203466582238299</v>
      </c>
      <c r="AO97" s="4">
        <f t="shared" si="84"/>
        <v>0</v>
      </c>
      <c r="AP97" s="4">
        <f t="shared" si="85"/>
        <v>0</v>
      </c>
      <c r="AQ97" s="4">
        <f t="shared" si="86"/>
        <v>0</v>
      </c>
      <c r="AR97" s="4">
        <f t="shared" si="87"/>
        <v>0</v>
      </c>
      <c r="AS97" s="4">
        <f t="shared" si="38"/>
        <v>30.32893917729206</v>
      </c>
      <c r="AT97" s="4">
        <f t="shared" si="39"/>
        <v>0</v>
      </c>
      <c r="AU97" s="4">
        <f t="shared" si="40"/>
        <v>0</v>
      </c>
      <c r="AV97" s="4">
        <f t="shared" si="41"/>
        <v>0</v>
      </c>
      <c r="AW97" s="4">
        <f t="shared" si="42"/>
        <v>113.10378179169319</v>
      </c>
      <c r="AX97" s="4">
        <f t="shared" si="43"/>
        <v>0</v>
      </c>
      <c r="AY97" s="4">
        <f t="shared" si="44"/>
        <v>18.001727719557316</v>
      </c>
      <c r="AZ97" s="4">
        <f t="shared" si="45"/>
        <v>0</v>
      </c>
      <c r="BA97" s="4">
        <f t="shared" si="46"/>
        <v>81.023349029613129</v>
      </c>
      <c r="BB97" s="4">
        <f t="shared" si="47"/>
        <v>0</v>
      </c>
      <c r="BC97" s="4">
        <f t="shared" si="48"/>
        <v>39.201119136857614</v>
      </c>
      <c r="BD97" s="4">
        <f t="shared" si="49"/>
        <v>0</v>
      </c>
      <c r="BE97" s="4">
        <f t="shared" si="48"/>
        <v>51.19917541591532</v>
      </c>
      <c r="BF97" s="4">
        <f t="shared" si="50"/>
        <v>0</v>
      </c>
      <c r="BG97" s="4">
        <f t="shared" si="51"/>
        <v>27.03759789749634</v>
      </c>
      <c r="BH97" s="4"/>
      <c r="BI97" s="4"/>
      <c r="BJ97" s="4"/>
      <c r="BK97" s="4">
        <f t="shared" si="31"/>
        <v>300.44504266260799</v>
      </c>
      <c r="BL97" s="4">
        <f t="shared" si="26"/>
        <v>0</v>
      </c>
      <c r="BM97" s="4">
        <f t="shared" si="31"/>
        <v>222.24909690340951</v>
      </c>
      <c r="BN97" s="4">
        <f t="shared" si="26"/>
        <v>0</v>
      </c>
      <c r="BO97" s="4">
        <f t="shared" si="32"/>
        <v>39.744332548976452</v>
      </c>
      <c r="BP97" s="4">
        <f t="shared" si="26"/>
        <v>0</v>
      </c>
      <c r="BQ97" s="4">
        <f t="shared" si="26"/>
        <v>50.556888040947499</v>
      </c>
      <c r="BR97" s="4">
        <f t="shared" si="26"/>
        <v>0</v>
      </c>
      <c r="BS97" s="4">
        <f t="shared" si="26"/>
        <v>148.31602568173759</v>
      </c>
      <c r="BT97" s="4">
        <f t="shared" si="26"/>
        <v>0</v>
      </c>
      <c r="BU97" s="4">
        <f t="shared" si="33"/>
        <v>559.8749450663521</v>
      </c>
      <c r="BV97" s="4">
        <f t="shared" si="26"/>
        <v>0</v>
      </c>
      <c r="BW97" s="4">
        <f t="shared" si="26"/>
        <v>149.41987644266973</v>
      </c>
      <c r="BX97" s="4">
        <f t="shared" si="26"/>
        <v>0</v>
      </c>
      <c r="BY97" s="4">
        <f t="shared" si="34"/>
        <v>84.371033960328361</v>
      </c>
      <c r="BZ97" s="4">
        <f t="shared" si="26"/>
        <v>0</v>
      </c>
      <c r="CA97" s="4">
        <f t="shared" si="26"/>
        <v>199.16865264463286</v>
      </c>
      <c r="CB97" s="4">
        <f t="shared" si="26"/>
        <v>0</v>
      </c>
      <c r="CC97" s="4">
        <f t="shared" si="27"/>
        <v>332.20224151803347</v>
      </c>
      <c r="CD97" s="4">
        <f t="shared" si="27"/>
        <v>0</v>
      </c>
      <c r="CE97" s="4">
        <f t="shared" si="27"/>
        <v>0</v>
      </c>
      <c r="CF97" s="4">
        <f t="shared" si="27"/>
        <v>0</v>
      </c>
      <c r="CG97" s="4">
        <f t="shared" si="27"/>
        <v>132.11386566391451</v>
      </c>
      <c r="CH97" s="4">
        <f t="shared" si="27"/>
        <v>0</v>
      </c>
      <c r="CI97" s="4">
        <f t="shared" si="35"/>
        <v>196.30425351699961</v>
      </c>
      <c r="CJ97" s="4">
        <f t="shared" si="27"/>
        <v>0</v>
      </c>
      <c r="CK97" s="4">
        <f t="shared" si="27"/>
        <v>0</v>
      </c>
      <c r="CL97" s="4">
        <f t="shared" si="27"/>
        <v>0</v>
      </c>
      <c r="CM97" s="4">
        <f t="shared" si="27"/>
        <v>313.29052929293226</v>
      </c>
      <c r="CN97" s="4">
        <f t="shared" si="27"/>
        <v>0</v>
      </c>
      <c r="CO97" s="4">
        <f t="shared" si="36"/>
        <v>134.83503092543506</v>
      </c>
    </row>
    <row r="98" spans="2:93" outlineLevel="2" x14ac:dyDescent="0.25">
      <c r="B98">
        <v>11</v>
      </c>
      <c r="D98" s="4">
        <f t="shared" si="37"/>
        <v>62.457483659962065</v>
      </c>
      <c r="E98" s="4"/>
      <c r="F98">
        <f t="shared" si="52"/>
        <v>48.665636614847465</v>
      </c>
      <c r="G98">
        <f t="shared" si="53"/>
        <v>0</v>
      </c>
      <c r="H98">
        <f t="shared" si="54"/>
        <v>11.347553346873392</v>
      </c>
      <c r="I98">
        <f t="shared" si="55"/>
        <v>0</v>
      </c>
      <c r="J98">
        <f t="shared" si="56"/>
        <v>8.3938325104589353</v>
      </c>
      <c r="K98">
        <f t="shared" si="57"/>
        <v>0</v>
      </c>
      <c r="L98">
        <f t="shared" si="28"/>
        <v>75.103950054770323</v>
      </c>
      <c r="M98">
        <f t="shared" si="58"/>
        <v>0</v>
      </c>
      <c r="N98">
        <f t="shared" si="59"/>
        <v>33.737993634210191</v>
      </c>
      <c r="O98" s="4">
        <f t="shared" si="60"/>
        <v>0</v>
      </c>
      <c r="P98" s="4">
        <f t="shared" si="61"/>
        <v>105.39404254253714</v>
      </c>
      <c r="Q98" s="4">
        <f t="shared" si="62"/>
        <v>0</v>
      </c>
      <c r="R98">
        <f t="shared" si="63"/>
        <v>25.205159798190259</v>
      </c>
      <c r="S98">
        <f t="shared" si="64"/>
        <v>0</v>
      </c>
      <c r="T98">
        <f t="shared" si="65"/>
        <v>0</v>
      </c>
      <c r="U98">
        <f t="shared" si="66"/>
        <v>0</v>
      </c>
      <c r="V98">
        <f t="shared" si="29"/>
        <v>44.167473224237511</v>
      </c>
      <c r="W98">
        <f t="shared" si="67"/>
        <v>0</v>
      </c>
      <c r="X98">
        <f t="shared" si="68"/>
        <v>23.026285348614504</v>
      </c>
      <c r="Y98">
        <f t="shared" si="69"/>
        <v>0</v>
      </c>
      <c r="Z98">
        <f t="shared" si="70"/>
        <v>0</v>
      </c>
      <c r="AA98">
        <f t="shared" si="71"/>
        <v>0</v>
      </c>
      <c r="AB98">
        <f t="shared" si="30"/>
        <v>21.48850139275142</v>
      </c>
      <c r="AC98">
        <f t="shared" si="72"/>
        <v>0</v>
      </c>
      <c r="AD98">
        <f t="shared" si="73"/>
        <v>7.3460173743550605</v>
      </c>
      <c r="AE98">
        <f t="shared" si="74"/>
        <v>0</v>
      </c>
      <c r="AF98">
        <f t="shared" si="75"/>
        <v>26.366535957490232</v>
      </c>
      <c r="AG98">
        <f t="shared" si="76"/>
        <v>0</v>
      </c>
      <c r="AH98" s="4">
        <f t="shared" si="77"/>
        <v>8.0809738136423057</v>
      </c>
      <c r="AI98" s="4">
        <f t="shared" si="78"/>
        <v>0</v>
      </c>
      <c r="AJ98" s="4">
        <f t="shared" si="79"/>
        <v>7.1000129061706883</v>
      </c>
      <c r="AK98" s="4">
        <f t="shared" si="80"/>
        <v>0</v>
      </c>
      <c r="AL98" s="4">
        <f t="shared" si="81"/>
        <v>0</v>
      </c>
      <c r="AM98" s="4">
        <f t="shared" si="82"/>
        <v>0</v>
      </c>
      <c r="AN98" s="4">
        <f t="shared" si="83"/>
        <v>26.42995144991141</v>
      </c>
      <c r="AO98" s="4">
        <f t="shared" si="84"/>
        <v>0</v>
      </c>
      <c r="AP98" s="4">
        <f t="shared" si="85"/>
        <v>0</v>
      </c>
      <c r="AQ98" s="4">
        <f t="shared" si="86"/>
        <v>0</v>
      </c>
      <c r="AR98" s="4">
        <f t="shared" si="87"/>
        <v>0</v>
      </c>
      <c r="AS98" s="4">
        <f t="shared" si="38"/>
        <v>22.057410310757859</v>
      </c>
      <c r="AT98" s="4">
        <f t="shared" si="39"/>
        <v>0</v>
      </c>
      <c r="AU98" s="4">
        <f t="shared" si="40"/>
        <v>0</v>
      </c>
      <c r="AV98" s="4">
        <f t="shared" si="41"/>
        <v>0</v>
      </c>
      <c r="AW98" s="4">
        <f t="shared" si="42"/>
        <v>92.539457829567212</v>
      </c>
      <c r="AX98" s="4">
        <f t="shared" si="43"/>
        <v>0</v>
      </c>
      <c r="AY98" s="4">
        <f t="shared" si="44"/>
        <v>13.092165614223511</v>
      </c>
      <c r="AZ98" s="4">
        <f t="shared" si="45"/>
        <v>0</v>
      </c>
      <c r="BA98" s="4">
        <f t="shared" si="46"/>
        <v>62.608951522882883</v>
      </c>
      <c r="BB98" s="4">
        <f t="shared" si="47"/>
        <v>0</v>
      </c>
      <c r="BC98" s="4">
        <f t="shared" si="48"/>
        <v>30.291773878480878</v>
      </c>
      <c r="BD98" s="4">
        <f t="shared" si="49"/>
        <v>0</v>
      </c>
      <c r="BE98" s="4">
        <f t="shared" si="48"/>
        <v>39.562999185025461</v>
      </c>
      <c r="BF98" s="4">
        <f t="shared" si="50"/>
        <v>0</v>
      </c>
      <c r="BG98" s="4">
        <f t="shared" si="51"/>
        <v>19.663707561815524</v>
      </c>
      <c r="BH98" s="4"/>
      <c r="BI98" s="4"/>
      <c r="BJ98" s="4"/>
      <c r="BK98" s="4">
        <f t="shared" si="31"/>
        <v>232.16207842110623</v>
      </c>
      <c r="BL98" s="4">
        <f t="shared" si="26"/>
        <v>0</v>
      </c>
      <c r="BM98" s="4">
        <f t="shared" si="31"/>
        <v>171.73793851627099</v>
      </c>
      <c r="BN98" s="4">
        <f t="shared" si="26"/>
        <v>0</v>
      </c>
      <c r="BO98" s="4">
        <f t="shared" si="32"/>
        <v>32.518090267344334</v>
      </c>
      <c r="BP98" s="4">
        <f t="shared" si="26"/>
        <v>0</v>
      </c>
      <c r="BQ98" s="4">
        <f t="shared" si="26"/>
        <v>36.768645847961814</v>
      </c>
      <c r="BR98" s="4">
        <f t="shared" si="26"/>
        <v>0</v>
      </c>
      <c r="BS98" s="4">
        <f t="shared" si="26"/>
        <v>114.60783802679722</v>
      </c>
      <c r="BT98" s="4">
        <f t="shared" si="26"/>
        <v>0</v>
      </c>
      <c r="BU98" s="4">
        <f t="shared" si="33"/>
        <v>432.63063936945389</v>
      </c>
      <c r="BV98" s="4">
        <f t="shared" si="26"/>
        <v>0</v>
      </c>
      <c r="BW98" s="4">
        <f t="shared" si="26"/>
        <v>115.46081361479023</v>
      </c>
      <c r="BX98" s="4">
        <f t="shared" si="26"/>
        <v>0</v>
      </c>
      <c r="BY98" s="4">
        <f t="shared" si="34"/>
        <v>65.195798969344636</v>
      </c>
      <c r="BZ98" s="4">
        <f t="shared" si="26"/>
        <v>0</v>
      </c>
      <c r="CA98" s="4">
        <f t="shared" si="26"/>
        <v>153.90304977085273</v>
      </c>
      <c r="CB98" s="4">
        <f t="shared" si="26"/>
        <v>0</v>
      </c>
      <c r="CC98" s="4">
        <f t="shared" si="27"/>
        <v>256.70173208211673</v>
      </c>
      <c r="CD98" s="4">
        <f t="shared" si="27"/>
        <v>0</v>
      </c>
      <c r="CE98" s="4">
        <f t="shared" si="27"/>
        <v>0</v>
      </c>
      <c r="CF98" s="4">
        <f t="shared" si="27"/>
        <v>0</v>
      </c>
      <c r="CG98" s="4">
        <f t="shared" si="27"/>
        <v>102.08798710393394</v>
      </c>
      <c r="CH98" s="4">
        <f t="shared" si="27"/>
        <v>0</v>
      </c>
      <c r="CI98" s="4">
        <f t="shared" si="35"/>
        <v>151.68965044495425</v>
      </c>
      <c r="CJ98" s="4">
        <f t="shared" si="27"/>
        <v>0</v>
      </c>
      <c r="CK98" s="4">
        <f t="shared" si="27"/>
        <v>0</v>
      </c>
      <c r="CL98" s="4">
        <f t="shared" si="27"/>
        <v>0</v>
      </c>
      <c r="CM98" s="4">
        <f t="shared" si="27"/>
        <v>242.08813627181144</v>
      </c>
      <c r="CN98" s="4">
        <f t="shared" si="27"/>
        <v>0</v>
      </c>
      <c r="CO98" s="4">
        <f t="shared" si="36"/>
        <v>104.19070571510888</v>
      </c>
    </row>
    <row r="99" spans="2:93" outlineLevel="2" x14ac:dyDescent="0.25">
      <c r="B99">
        <v>12</v>
      </c>
      <c r="D99" s="4">
        <f t="shared" si="37"/>
        <v>48.262601009970702</v>
      </c>
      <c r="E99" s="4"/>
      <c r="F99">
        <f t="shared" si="52"/>
        <v>38.490094413561188</v>
      </c>
      <c r="G99">
        <f t="shared" si="53"/>
        <v>0</v>
      </c>
      <c r="H99">
        <f t="shared" si="54"/>
        <v>8.2527660704533776</v>
      </c>
      <c r="I99">
        <f t="shared" si="55"/>
        <v>0</v>
      </c>
      <c r="J99">
        <f t="shared" si="56"/>
        <v>6.1046054621519552</v>
      </c>
      <c r="K99">
        <f t="shared" si="57"/>
        <v>0</v>
      </c>
      <c r="L99">
        <f t="shared" si="28"/>
        <v>58.034870496867967</v>
      </c>
      <c r="M99">
        <f t="shared" si="58"/>
        <v>0</v>
      </c>
      <c r="N99">
        <f t="shared" si="59"/>
        <v>26.070267808253323</v>
      </c>
      <c r="O99" s="4">
        <f t="shared" si="60"/>
        <v>0</v>
      </c>
      <c r="P99" s="4">
        <f t="shared" si="61"/>
        <v>81.440851055596866</v>
      </c>
      <c r="Q99" s="4">
        <f t="shared" si="62"/>
        <v>0</v>
      </c>
      <c r="R99">
        <f t="shared" si="63"/>
        <v>20.164127838552208</v>
      </c>
      <c r="S99">
        <f t="shared" si="64"/>
        <v>0</v>
      </c>
      <c r="T99">
        <f t="shared" si="65"/>
        <v>0</v>
      </c>
      <c r="U99">
        <f t="shared" si="66"/>
        <v>0</v>
      </c>
      <c r="V99">
        <f t="shared" si="29"/>
        <v>32.121798708536375</v>
      </c>
      <c r="W99">
        <f t="shared" si="67"/>
        <v>0</v>
      </c>
      <c r="X99">
        <f t="shared" si="68"/>
        <v>17.793038678474833</v>
      </c>
      <c r="Y99">
        <f t="shared" si="69"/>
        <v>0</v>
      </c>
      <c r="Z99">
        <f t="shared" si="70"/>
        <v>0</v>
      </c>
      <c r="AA99">
        <f t="shared" si="71"/>
        <v>0</v>
      </c>
      <c r="AB99">
        <f t="shared" si="30"/>
        <v>16.60475107621701</v>
      </c>
      <c r="AC99">
        <f t="shared" si="72"/>
        <v>0</v>
      </c>
      <c r="AD99">
        <f t="shared" si="73"/>
        <v>5.3425580904400451</v>
      </c>
      <c r="AE99">
        <f t="shared" si="74"/>
        <v>0</v>
      </c>
      <c r="AF99">
        <f t="shared" si="75"/>
        <v>20.37414142169699</v>
      </c>
      <c r="AG99">
        <f t="shared" si="76"/>
        <v>0</v>
      </c>
      <c r="AH99" s="4">
        <f t="shared" si="77"/>
        <v>5.8770718644671307</v>
      </c>
      <c r="AI99" s="4">
        <f t="shared" si="78"/>
        <v>0</v>
      </c>
      <c r="AJ99" s="4">
        <f t="shared" si="79"/>
        <v>5.1636457499423178</v>
      </c>
      <c r="AK99" s="4">
        <f t="shared" si="80"/>
        <v>0</v>
      </c>
      <c r="AL99" s="4">
        <f t="shared" si="81"/>
        <v>0</v>
      </c>
      <c r="AM99" s="4">
        <f t="shared" si="82"/>
        <v>0</v>
      </c>
      <c r="AN99" s="4">
        <f t="shared" si="83"/>
        <v>20.423144302204275</v>
      </c>
      <c r="AO99" s="4">
        <f t="shared" si="84"/>
        <v>0</v>
      </c>
      <c r="AP99" s="4">
        <f t="shared" si="85"/>
        <v>0</v>
      </c>
      <c r="AQ99" s="4">
        <f t="shared" si="86"/>
        <v>0</v>
      </c>
      <c r="AR99" s="4">
        <f t="shared" si="87"/>
        <v>0</v>
      </c>
      <c r="AS99" s="4">
        <f t="shared" si="38"/>
        <v>16.041752953278451</v>
      </c>
      <c r="AT99" s="4">
        <f t="shared" si="39"/>
        <v>0</v>
      </c>
      <c r="AU99" s="4">
        <f t="shared" si="40"/>
        <v>0</v>
      </c>
      <c r="AV99" s="4">
        <f t="shared" si="41"/>
        <v>0</v>
      </c>
      <c r="AW99" s="4">
        <f t="shared" si="42"/>
        <v>75.714101860554962</v>
      </c>
      <c r="AX99" s="4">
        <f t="shared" si="43"/>
        <v>0</v>
      </c>
      <c r="AY99" s="4">
        <f t="shared" si="44"/>
        <v>9.5215749921625559</v>
      </c>
      <c r="AZ99" s="4">
        <f t="shared" si="45"/>
        <v>0</v>
      </c>
      <c r="BA99" s="4">
        <f t="shared" si="46"/>
        <v>48.379644358591314</v>
      </c>
      <c r="BB99" s="4">
        <f t="shared" si="47"/>
        <v>0</v>
      </c>
      <c r="BC99" s="4">
        <f t="shared" si="48"/>
        <v>23.407279815189767</v>
      </c>
      <c r="BD99" s="4">
        <f t="shared" si="49"/>
        <v>0</v>
      </c>
      <c r="BE99" s="4">
        <f t="shared" si="48"/>
        <v>30.571408461156032</v>
      </c>
      <c r="BF99" s="4">
        <f t="shared" si="50"/>
        <v>0</v>
      </c>
      <c r="BG99" s="4">
        <f t="shared" si="51"/>
        <v>14.300878226774936</v>
      </c>
      <c r="BH99" s="4"/>
      <c r="BI99" s="4"/>
      <c r="BJ99" s="4"/>
      <c r="BK99" s="4">
        <f t="shared" si="31"/>
        <v>179.39796968903664</v>
      </c>
      <c r="BL99" s="4">
        <f t="shared" si="26"/>
        <v>0</v>
      </c>
      <c r="BM99" s="4">
        <f t="shared" si="31"/>
        <v>132.70658885348215</v>
      </c>
      <c r="BN99" s="4">
        <f t="shared" si="26"/>
        <v>0</v>
      </c>
      <c r="BO99" s="4">
        <f t="shared" si="32"/>
        <v>26.605710218736288</v>
      </c>
      <c r="BP99" s="4">
        <f t="shared" si="26"/>
        <v>0</v>
      </c>
      <c r="BQ99" s="4">
        <f t="shared" si="26"/>
        <v>26.740833343972238</v>
      </c>
      <c r="BR99" s="4">
        <f t="shared" si="26"/>
        <v>0</v>
      </c>
      <c r="BS99" s="4">
        <f t="shared" si="26"/>
        <v>88.560602111616035</v>
      </c>
      <c r="BT99" s="4">
        <f t="shared" si="26"/>
        <v>0</v>
      </c>
      <c r="BU99" s="4">
        <f t="shared" si="33"/>
        <v>334.30549405821438</v>
      </c>
      <c r="BV99" s="4">
        <f t="shared" si="26"/>
        <v>0</v>
      </c>
      <c r="BW99" s="4">
        <f t="shared" si="26"/>
        <v>89.219719611428829</v>
      </c>
      <c r="BX99" s="4">
        <f t="shared" si="26"/>
        <v>0</v>
      </c>
      <c r="BY99" s="4">
        <f t="shared" si="34"/>
        <v>50.378571930857227</v>
      </c>
      <c r="BZ99" s="4">
        <f t="shared" si="26"/>
        <v>0</v>
      </c>
      <c r="CA99" s="4">
        <f t="shared" si="26"/>
        <v>118.92508391384075</v>
      </c>
      <c r="CB99" s="4">
        <f t="shared" si="26"/>
        <v>0</v>
      </c>
      <c r="CC99" s="4">
        <f t="shared" si="27"/>
        <v>198.36042933618108</v>
      </c>
      <c r="CD99" s="4">
        <f t="shared" si="27"/>
        <v>0</v>
      </c>
      <c r="CE99" s="4">
        <f t="shared" si="27"/>
        <v>0</v>
      </c>
      <c r="CF99" s="4">
        <f t="shared" si="27"/>
        <v>0</v>
      </c>
      <c r="CG99" s="4">
        <f t="shared" si="27"/>
        <v>78.886171853039841</v>
      </c>
      <c r="CH99" s="4">
        <f t="shared" si="27"/>
        <v>0</v>
      </c>
      <c r="CI99" s="4">
        <f t="shared" si="35"/>
        <v>117.21472988928285</v>
      </c>
      <c r="CJ99" s="4">
        <f t="shared" si="27"/>
        <v>0</v>
      </c>
      <c r="CK99" s="4">
        <f t="shared" si="27"/>
        <v>0</v>
      </c>
      <c r="CL99" s="4">
        <f t="shared" si="27"/>
        <v>0</v>
      </c>
      <c r="CM99" s="4">
        <f t="shared" si="27"/>
        <v>187.06810530094506</v>
      </c>
      <c r="CN99" s="4">
        <f t="shared" si="27"/>
        <v>0</v>
      </c>
      <c r="CO99" s="4">
        <f t="shared" si="36"/>
        <v>80.510999870765971</v>
      </c>
    </row>
    <row r="100" spans="2:93" outlineLevel="2" x14ac:dyDescent="0.25">
      <c r="B100">
        <v>13</v>
      </c>
      <c r="D100" s="4">
        <f t="shared" si="37"/>
        <v>37.29382805315916</v>
      </c>
      <c r="E100" s="4"/>
      <c r="F100">
        <f t="shared" si="52"/>
        <v>30.44216558163475</v>
      </c>
      <c r="G100">
        <f t="shared" si="53"/>
        <v>0</v>
      </c>
      <c r="H100">
        <f t="shared" si="54"/>
        <v>6.0020116876024554</v>
      </c>
      <c r="I100">
        <f t="shared" si="55"/>
        <v>0</v>
      </c>
      <c r="J100">
        <f t="shared" si="56"/>
        <v>4.4397130633832385</v>
      </c>
      <c r="K100">
        <f t="shared" si="57"/>
        <v>0</v>
      </c>
      <c r="L100">
        <f t="shared" si="28"/>
        <v>44.845127202125241</v>
      </c>
      <c r="M100">
        <f t="shared" si="58"/>
        <v>0</v>
      </c>
      <c r="N100">
        <f t="shared" si="59"/>
        <v>20.145206942741197</v>
      </c>
      <c r="O100" s="4">
        <f t="shared" si="60"/>
        <v>0</v>
      </c>
      <c r="P100" s="4">
        <f t="shared" si="61"/>
        <v>62.931566724779401</v>
      </c>
      <c r="Q100" s="4">
        <f t="shared" si="62"/>
        <v>0</v>
      </c>
      <c r="R100">
        <f t="shared" si="63"/>
        <v>16.131302270841751</v>
      </c>
      <c r="S100">
        <f t="shared" si="64"/>
        <v>0</v>
      </c>
      <c r="T100">
        <f t="shared" si="65"/>
        <v>0</v>
      </c>
      <c r="U100">
        <f t="shared" si="66"/>
        <v>0</v>
      </c>
      <c r="V100">
        <f t="shared" si="29"/>
        <v>23.361308151662818</v>
      </c>
      <c r="W100">
        <f t="shared" si="67"/>
        <v>0</v>
      </c>
      <c r="X100">
        <f t="shared" si="68"/>
        <v>13.749166251548736</v>
      </c>
      <c r="Y100">
        <f t="shared" si="69"/>
        <v>0</v>
      </c>
      <c r="Z100">
        <f t="shared" si="70"/>
        <v>0</v>
      </c>
      <c r="AA100">
        <f t="shared" si="71"/>
        <v>0</v>
      </c>
      <c r="AB100">
        <f t="shared" si="30"/>
        <v>12.83094401344041</v>
      </c>
      <c r="AC100">
        <f t="shared" si="72"/>
        <v>0</v>
      </c>
      <c r="AD100">
        <f t="shared" si="73"/>
        <v>3.885496793047305</v>
      </c>
      <c r="AE100">
        <f t="shared" si="74"/>
        <v>0</v>
      </c>
      <c r="AF100">
        <f t="shared" si="75"/>
        <v>15.743654734947679</v>
      </c>
      <c r="AG100">
        <f t="shared" si="76"/>
        <v>0</v>
      </c>
      <c r="AH100" s="4">
        <f t="shared" si="77"/>
        <v>4.274234083248821</v>
      </c>
      <c r="AI100" s="4">
        <f t="shared" si="78"/>
        <v>0</v>
      </c>
      <c r="AJ100" s="4">
        <f t="shared" si="79"/>
        <v>3.7553787272307773</v>
      </c>
      <c r="AK100" s="4">
        <f t="shared" si="80"/>
        <v>0</v>
      </c>
      <c r="AL100" s="4">
        <f t="shared" si="81"/>
        <v>0</v>
      </c>
      <c r="AM100" s="4">
        <f t="shared" si="82"/>
        <v>0</v>
      </c>
      <c r="AN100" s="4">
        <f t="shared" si="83"/>
        <v>15.781520597157849</v>
      </c>
      <c r="AO100" s="4">
        <f t="shared" si="84"/>
        <v>0</v>
      </c>
      <c r="AP100" s="4">
        <f t="shared" si="85"/>
        <v>0</v>
      </c>
      <c r="AQ100" s="4">
        <f t="shared" si="86"/>
        <v>0</v>
      </c>
      <c r="AR100" s="4">
        <f t="shared" si="87"/>
        <v>0</v>
      </c>
      <c r="AS100" s="4">
        <f t="shared" si="38"/>
        <v>11.666729420566146</v>
      </c>
      <c r="AT100" s="4">
        <f t="shared" si="39"/>
        <v>0</v>
      </c>
      <c r="AU100" s="4">
        <f t="shared" si="40"/>
        <v>0</v>
      </c>
      <c r="AV100" s="4">
        <f t="shared" si="41"/>
        <v>0</v>
      </c>
      <c r="AW100" s="4">
        <f t="shared" si="42"/>
        <v>61.947901522272261</v>
      </c>
      <c r="AX100" s="4">
        <f t="shared" si="43"/>
        <v>0</v>
      </c>
      <c r="AY100" s="4">
        <f t="shared" si="44"/>
        <v>6.9247818124818545</v>
      </c>
      <c r="AZ100" s="4">
        <f t="shared" si="45"/>
        <v>0</v>
      </c>
      <c r="BA100" s="4">
        <f t="shared" si="46"/>
        <v>37.384270640729646</v>
      </c>
      <c r="BB100" s="4">
        <f t="shared" si="47"/>
        <v>0</v>
      </c>
      <c r="BC100" s="4">
        <f t="shared" si="48"/>
        <v>18.087443493555728</v>
      </c>
      <c r="BD100" s="4">
        <f t="shared" si="49"/>
        <v>0</v>
      </c>
      <c r="BE100" s="4">
        <f t="shared" si="48"/>
        <v>23.623361083620566</v>
      </c>
      <c r="BF100" s="4">
        <f t="shared" si="50"/>
        <v>0</v>
      </c>
      <c r="BG100" s="4">
        <f t="shared" si="51"/>
        <v>10.400638710381765</v>
      </c>
      <c r="BH100" s="4"/>
      <c r="BI100" s="4"/>
      <c r="BJ100" s="4"/>
      <c r="BK100" s="4">
        <f t="shared" si="31"/>
        <v>138.62570385061917</v>
      </c>
      <c r="BL100" s="4">
        <f t="shared" si="26"/>
        <v>0</v>
      </c>
      <c r="BM100" s="4">
        <f t="shared" si="31"/>
        <v>102.54600047769068</v>
      </c>
      <c r="BN100" s="4">
        <f t="shared" si="26"/>
        <v>0</v>
      </c>
      <c r="BO100" s="4">
        <f t="shared" si="32"/>
        <v>21.768308360784218</v>
      </c>
      <c r="BP100" s="4">
        <f t="shared" si="26"/>
        <v>0</v>
      </c>
      <c r="BQ100" s="4">
        <f t="shared" si="26"/>
        <v>19.447878795616173</v>
      </c>
      <c r="BR100" s="4">
        <f t="shared" si="26"/>
        <v>0</v>
      </c>
      <c r="BS100" s="4">
        <f t="shared" si="26"/>
        <v>68.433192540794195</v>
      </c>
      <c r="BT100" s="4">
        <f t="shared" si="26"/>
        <v>0</v>
      </c>
      <c r="BU100" s="4">
        <f t="shared" si="33"/>
        <v>258.32697268134729</v>
      </c>
      <c r="BV100" s="4">
        <f t="shared" si="26"/>
        <v>0</v>
      </c>
      <c r="BW100" s="4">
        <f t="shared" si="26"/>
        <v>68.942510608831356</v>
      </c>
      <c r="BX100" s="4">
        <f t="shared" si="26"/>
        <v>0</v>
      </c>
      <c r="BY100" s="4">
        <f t="shared" si="34"/>
        <v>38.92889649202602</v>
      </c>
      <c r="BZ100" s="4">
        <f t="shared" si="26"/>
        <v>0</v>
      </c>
      <c r="CA100" s="4">
        <f t="shared" si="26"/>
        <v>91.8966557516042</v>
      </c>
      <c r="CB100" s="4">
        <f t="shared" si="26"/>
        <v>0</v>
      </c>
      <c r="CC100" s="4">
        <f t="shared" si="27"/>
        <v>153.27851357795805</v>
      </c>
      <c r="CD100" s="4">
        <f t="shared" si="27"/>
        <v>0</v>
      </c>
      <c r="CE100" s="4">
        <f t="shared" si="27"/>
        <v>0</v>
      </c>
      <c r="CF100" s="4">
        <f t="shared" si="27"/>
        <v>0</v>
      </c>
      <c r="CG100" s="4">
        <f t="shared" si="27"/>
        <v>60.957496431894427</v>
      </c>
      <c r="CH100" s="4">
        <f t="shared" si="27"/>
        <v>0</v>
      </c>
      <c r="CI100" s="4">
        <f t="shared" si="35"/>
        <v>90.57501855080946</v>
      </c>
      <c r="CJ100" s="4">
        <f t="shared" si="27"/>
        <v>0</v>
      </c>
      <c r="CK100" s="4">
        <f t="shared" si="27"/>
        <v>0</v>
      </c>
      <c r="CL100" s="4">
        <f t="shared" si="27"/>
        <v>0</v>
      </c>
      <c r="CM100" s="4">
        <f t="shared" si="27"/>
        <v>144.55262682345759</v>
      </c>
      <c r="CN100" s="4">
        <f t="shared" si="27"/>
        <v>0</v>
      </c>
      <c r="CO100" s="4">
        <f t="shared" si="36"/>
        <v>62.213045354682798</v>
      </c>
    </row>
    <row r="101" spans="2:93" outlineLevel="2" x14ac:dyDescent="0.25">
      <c r="B101">
        <v>14</v>
      </c>
      <c r="D101" s="4">
        <f t="shared" si="37"/>
        <v>28.817958041077528</v>
      </c>
      <c r="E101" s="4"/>
      <c r="F101">
        <f t="shared" si="52"/>
        <v>24.076985505474763</v>
      </c>
      <c r="G101">
        <f t="shared" si="53"/>
        <v>0</v>
      </c>
      <c r="H101">
        <f t="shared" si="54"/>
        <v>4.3650994091654232</v>
      </c>
      <c r="I101">
        <f t="shared" si="55"/>
        <v>0</v>
      </c>
      <c r="J101">
        <f t="shared" si="56"/>
        <v>3.2288822279150833</v>
      </c>
      <c r="K101">
        <f t="shared" si="57"/>
        <v>0</v>
      </c>
      <c r="L101">
        <f t="shared" si="28"/>
        <v>34.653052838005856</v>
      </c>
      <c r="M101">
        <f t="shared" si="58"/>
        <v>0</v>
      </c>
      <c r="N101">
        <f t="shared" si="59"/>
        <v>15.566750819390931</v>
      </c>
      <c r="O101" s="4">
        <f t="shared" si="60"/>
        <v>0</v>
      </c>
      <c r="P101" s="4">
        <f t="shared" si="61"/>
        <v>48.628937923693165</v>
      </c>
      <c r="Q101" s="4">
        <f t="shared" si="62"/>
        <v>0</v>
      </c>
      <c r="R101">
        <f t="shared" si="63"/>
        <v>12.905041816673407</v>
      </c>
      <c r="S101">
        <f t="shared" si="64"/>
        <v>0</v>
      </c>
      <c r="T101">
        <f t="shared" si="65"/>
        <v>0</v>
      </c>
      <c r="U101">
        <f t="shared" si="66"/>
        <v>0</v>
      </c>
      <c r="V101">
        <f t="shared" si="29"/>
        <v>16.990042292118417</v>
      </c>
      <c r="W101">
        <f t="shared" si="67"/>
        <v>0</v>
      </c>
      <c r="X101">
        <f t="shared" si="68"/>
        <v>10.624355739833115</v>
      </c>
      <c r="Y101">
        <f t="shared" si="69"/>
        <v>0</v>
      </c>
      <c r="Z101">
        <f t="shared" si="70"/>
        <v>0</v>
      </c>
      <c r="AA101">
        <f t="shared" si="71"/>
        <v>0</v>
      </c>
      <c r="AB101">
        <f t="shared" si="30"/>
        <v>9.9148203740221348</v>
      </c>
      <c r="AC101">
        <f t="shared" si="72"/>
        <v>0</v>
      </c>
      <c r="AD101">
        <f t="shared" si="73"/>
        <v>2.8258158494889489</v>
      </c>
      <c r="AE101">
        <f t="shared" si="74"/>
        <v>0</v>
      </c>
      <c r="AF101">
        <f t="shared" si="75"/>
        <v>12.165551386095929</v>
      </c>
      <c r="AG101">
        <f t="shared" si="76"/>
        <v>0</v>
      </c>
      <c r="AH101" s="4">
        <f t="shared" si="77"/>
        <v>3.1085338787264156</v>
      </c>
      <c r="AI101" s="4">
        <f t="shared" si="78"/>
        <v>0</v>
      </c>
      <c r="AJ101" s="4">
        <f t="shared" si="79"/>
        <v>2.7311845288951115</v>
      </c>
      <c r="AK101" s="4">
        <f t="shared" si="80"/>
        <v>0</v>
      </c>
      <c r="AL101" s="4">
        <f t="shared" si="81"/>
        <v>0</v>
      </c>
      <c r="AM101" s="4">
        <f t="shared" si="82"/>
        <v>0</v>
      </c>
      <c r="AN101" s="4">
        <f t="shared" si="83"/>
        <v>12.194811370531063</v>
      </c>
      <c r="AO101" s="4">
        <f t="shared" si="84"/>
        <v>0</v>
      </c>
      <c r="AP101" s="4">
        <f t="shared" si="85"/>
        <v>0</v>
      </c>
      <c r="AQ101" s="4">
        <f t="shared" si="86"/>
        <v>0</v>
      </c>
      <c r="AR101" s="4">
        <f t="shared" si="87"/>
        <v>0</v>
      </c>
      <c r="AS101" s="4">
        <f t="shared" si="38"/>
        <v>8.4848941240481022</v>
      </c>
      <c r="AT101" s="4">
        <f t="shared" si="39"/>
        <v>0</v>
      </c>
      <c r="AU101" s="4">
        <f t="shared" si="40"/>
        <v>0</v>
      </c>
      <c r="AV101" s="4">
        <f t="shared" si="41"/>
        <v>0</v>
      </c>
      <c r="AW101" s="4">
        <f t="shared" si="42"/>
        <v>50.684646700040936</v>
      </c>
      <c r="AX101" s="4">
        <f t="shared" si="43"/>
        <v>0</v>
      </c>
      <c r="AY101" s="4">
        <f t="shared" si="44"/>
        <v>5.0362049545322574</v>
      </c>
      <c r="AZ101" s="4">
        <f t="shared" si="45"/>
        <v>0</v>
      </c>
      <c r="BA101" s="4">
        <f t="shared" si="46"/>
        <v>28.887845495109264</v>
      </c>
      <c r="BB101" s="4">
        <f t="shared" si="47"/>
        <v>0</v>
      </c>
      <c r="BC101" s="4">
        <f t="shared" si="48"/>
        <v>13.976660881383971</v>
      </c>
      <c r="BD101" s="4">
        <f t="shared" si="49"/>
        <v>0</v>
      </c>
      <c r="BE101" s="4">
        <f t="shared" si="48"/>
        <v>18.254415382797713</v>
      </c>
      <c r="BF101" s="4">
        <f t="shared" si="50"/>
        <v>0</v>
      </c>
      <c r="BG101" s="4">
        <f t="shared" si="51"/>
        <v>7.5641008802776479</v>
      </c>
      <c r="BH101" s="4"/>
      <c r="BI101" s="4"/>
      <c r="BJ101" s="4"/>
      <c r="BK101" s="4">
        <f t="shared" si="31"/>
        <v>107.11986206638751</v>
      </c>
      <c r="BL101" s="4">
        <f t="shared" si="26"/>
        <v>0</v>
      </c>
      <c r="BM101" s="4">
        <f t="shared" si="31"/>
        <v>79.240091278215544</v>
      </c>
      <c r="BN101" s="4">
        <f t="shared" si="26"/>
        <v>0</v>
      </c>
      <c r="BO101" s="4">
        <f t="shared" si="32"/>
        <v>17.810434113368895</v>
      </c>
      <c r="BP101" s="4">
        <f t="shared" si="26"/>
        <v>0</v>
      </c>
      <c r="BQ101" s="4">
        <f t="shared" si="26"/>
        <v>14.143911851357215</v>
      </c>
      <c r="BR101" s="4">
        <f t="shared" si="26"/>
        <v>0</v>
      </c>
      <c r="BS101" s="4">
        <f t="shared" si="26"/>
        <v>52.880194236068228</v>
      </c>
      <c r="BT101" s="4">
        <f t="shared" si="26"/>
        <v>0</v>
      </c>
      <c r="BU101" s="4">
        <f t="shared" si="33"/>
        <v>199.61629707195021</v>
      </c>
      <c r="BV101" s="4">
        <f t="shared" si="26"/>
        <v>0</v>
      </c>
      <c r="BW101" s="4">
        <f t="shared" si="26"/>
        <v>53.273758197733308</v>
      </c>
      <c r="BX101" s="4">
        <f t="shared" si="26"/>
        <v>0</v>
      </c>
      <c r="BY101" s="4">
        <f t="shared" si="34"/>
        <v>30.081420016565559</v>
      </c>
      <c r="BZ101" s="4">
        <f t="shared" si="26"/>
        <v>0</v>
      </c>
      <c r="CA101" s="4">
        <f t="shared" si="26"/>
        <v>71.011052171694118</v>
      </c>
      <c r="CB101" s="4">
        <f t="shared" si="26"/>
        <v>0</v>
      </c>
      <c r="CC101" s="4">
        <f t="shared" si="27"/>
        <v>118.4424877647858</v>
      </c>
      <c r="CD101" s="4">
        <f t="shared" si="27"/>
        <v>0</v>
      </c>
      <c r="CE101" s="4">
        <f t="shared" si="27"/>
        <v>0</v>
      </c>
      <c r="CF101" s="4">
        <f t="shared" si="27"/>
        <v>0</v>
      </c>
      <c r="CG101" s="4">
        <f t="shared" si="27"/>
        <v>47.10351997010023</v>
      </c>
      <c r="CH101" s="4">
        <f t="shared" si="27"/>
        <v>0</v>
      </c>
      <c r="CI101" s="4">
        <f t="shared" si="35"/>
        <v>69.989787061989105</v>
      </c>
      <c r="CJ101" s="4">
        <f t="shared" si="27"/>
        <v>0</v>
      </c>
      <c r="CK101" s="4">
        <f t="shared" si="27"/>
        <v>0</v>
      </c>
      <c r="CL101" s="4">
        <f t="shared" si="27"/>
        <v>0</v>
      </c>
      <c r="CM101" s="4">
        <f t="shared" si="27"/>
        <v>111.69975709085357</v>
      </c>
      <c r="CN101" s="4">
        <f t="shared" si="27"/>
        <v>0</v>
      </c>
      <c r="CO101" s="4">
        <f t="shared" si="36"/>
        <v>48.073716864982146</v>
      </c>
    </row>
    <row r="102" spans="2:93" outlineLevel="2" x14ac:dyDescent="0.25">
      <c r="B102">
        <v>15</v>
      </c>
      <c r="D102" s="4">
        <f t="shared" si="37"/>
        <v>22.268422122650811</v>
      </c>
      <c r="E102" s="4"/>
      <c r="F102">
        <f t="shared" si="52"/>
        <v>19.0427067179664</v>
      </c>
      <c r="G102">
        <f t="shared" si="53"/>
        <v>0</v>
      </c>
      <c r="H102">
        <f t="shared" si="54"/>
        <v>3.1746177521203083</v>
      </c>
      <c r="I102">
        <f t="shared" si="55"/>
        <v>0</v>
      </c>
      <c r="J102">
        <f t="shared" si="56"/>
        <v>2.3482779839382424</v>
      </c>
      <c r="K102">
        <f t="shared" si="57"/>
        <v>0</v>
      </c>
      <c r="L102">
        <f t="shared" si="28"/>
        <v>26.777359011186341</v>
      </c>
      <c r="M102">
        <f t="shared" si="58"/>
        <v>0</v>
      </c>
      <c r="N102">
        <f t="shared" si="59"/>
        <v>12.028852905892984</v>
      </c>
      <c r="O102" s="4">
        <f t="shared" si="60"/>
        <v>0</v>
      </c>
      <c r="P102" s="4">
        <f t="shared" si="61"/>
        <v>37.576906577399249</v>
      </c>
      <c r="Q102" s="4">
        <f t="shared" si="62"/>
        <v>0</v>
      </c>
      <c r="R102">
        <f t="shared" si="63"/>
        <v>10.32403345333873</v>
      </c>
      <c r="S102">
        <f t="shared" si="64"/>
        <v>0</v>
      </c>
      <c r="T102">
        <f t="shared" si="65"/>
        <v>0</v>
      </c>
      <c r="U102">
        <f t="shared" si="66"/>
        <v>0</v>
      </c>
      <c r="V102">
        <f t="shared" si="29"/>
        <v>12.356394394267937</v>
      </c>
      <c r="W102">
        <f t="shared" si="67"/>
        <v>0</v>
      </c>
      <c r="X102">
        <f t="shared" si="68"/>
        <v>8.2097294353255847</v>
      </c>
      <c r="Y102">
        <f t="shared" si="69"/>
        <v>0</v>
      </c>
      <c r="Z102">
        <f t="shared" si="70"/>
        <v>0</v>
      </c>
      <c r="AA102">
        <f t="shared" si="71"/>
        <v>0</v>
      </c>
      <c r="AB102">
        <f t="shared" si="30"/>
        <v>7.6614521071989214</v>
      </c>
      <c r="AC102">
        <f t="shared" si="72"/>
        <v>0</v>
      </c>
      <c r="AD102">
        <f t="shared" si="73"/>
        <v>2.055138799628327</v>
      </c>
      <c r="AE102">
        <f t="shared" si="74"/>
        <v>0</v>
      </c>
      <c r="AF102">
        <f t="shared" si="75"/>
        <v>9.4006533438013982</v>
      </c>
      <c r="AG102">
        <f t="shared" si="76"/>
        <v>0</v>
      </c>
      <c r="AH102" s="4">
        <f t="shared" si="77"/>
        <v>2.2607519118010306</v>
      </c>
      <c r="AI102" s="4">
        <f t="shared" si="78"/>
        <v>0</v>
      </c>
      <c r="AJ102" s="4">
        <f t="shared" si="79"/>
        <v>1.9863160210146262</v>
      </c>
      <c r="AK102" s="4">
        <f t="shared" si="80"/>
        <v>0</v>
      </c>
      <c r="AL102" s="4">
        <f t="shared" si="81"/>
        <v>0</v>
      </c>
      <c r="AM102" s="4">
        <f t="shared" si="82"/>
        <v>0</v>
      </c>
      <c r="AN102" s="4">
        <f t="shared" si="83"/>
        <v>9.4232633317739971</v>
      </c>
      <c r="AO102" s="4">
        <f t="shared" si="84"/>
        <v>0</v>
      </c>
      <c r="AP102" s="4">
        <f t="shared" si="85"/>
        <v>0</v>
      </c>
      <c r="AQ102" s="4">
        <f t="shared" si="86"/>
        <v>0</v>
      </c>
      <c r="AR102" s="4">
        <f t="shared" si="87"/>
        <v>0</v>
      </c>
      <c r="AS102" s="4">
        <f t="shared" si="38"/>
        <v>6.1708320902168046</v>
      </c>
      <c r="AT102" s="4">
        <f t="shared" si="39"/>
        <v>0</v>
      </c>
      <c r="AU102" s="4">
        <f t="shared" si="40"/>
        <v>0</v>
      </c>
      <c r="AV102" s="4">
        <f t="shared" si="41"/>
        <v>0</v>
      </c>
      <c r="AW102" s="4">
        <f t="shared" si="42"/>
        <v>41.469256390942576</v>
      </c>
      <c r="AX102" s="4">
        <f t="shared" si="43"/>
        <v>0</v>
      </c>
      <c r="AY102" s="4">
        <f t="shared" si="44"/>
        <v>3.6626945123870986</v>
      </c>
      <c r="AZ102" s="4">
        <f t="shared" si="45"/>
        <v>0</v>
      </c>
      <c r="BA102" s="4">
        <f t="shared" si="46"/>
        <v>22.32242606440261</v>
      </c>
      <c r="BB102" s="4">
        <f t="shared" si="47"/>
        <v>0</v>
      </c>
      <c r="BC102" s="4">
        <f t="shared" si="48"/>
        <v>10.800147044705794</v>
      </c>
      <c r="BD102" s="4">
        <f t="shared" si="49"/>
        <v>0</v>
      </c>
      <c r="BE102" s="4">
        <f t="shared" si="48"/>
        <v>14.105684613980047</v>
      </c>
      <c r="BF102" s="4">
        <f t="shared" si="50"/>
        <v>0</v>
      </c>
      <c r="BG102" s="4">
        <f t="shared" si="51"/>
        <v>5.5011642765655635</v>
      </c>
      <c r="BH102" s="4"/>
      <c r="BI102" s="4"/>
      <c r="BJ102" s="4"/>
      <c r="BK102" s="4">
        <f t="shared" si="31"/>
        <v>82.774438869481259</v>
      </c>
      <c r="BL102" s="4">
        <f t="shared" si="26"/>
        <v>0</v>
      </c>
      <c r="BM102" s="4">
        <f t="shared" si="31"/>
        <v>61.230979624075616</v>
      </c>
      <c r="BN102" s="4">
        <f t="shared" si="26"/>
        <v>0</v>
      </c>
      <c r="BO102" s="4">
        <f t="shared" si="32"/>
        <v>14.57217336548368</v>
      </c>
      <c r="BP102" s="4">
        <f t="shared" si="26"/>
        <v>0</v>
      </c>
      <c r="BQ102" s="4">
        <f t="shared" si="26"/>
        <v>10.286481346441615</v>
      </c>
      <c r="BR102" s="4">
        <f t="shared" si="26"/>
        <v>0</v>
      </c>
      <c r="BS102" s="4">
        <f t="shared" si="26"/>
        <v>40.861968273325445</v>
      </c>
      <c r="BT102" s="4">
        <f t="shared" si="26"/>
        <v>0</v>
      </c>
      <c r="BU102" s="4">
        <f t="shared" si="33"/>
        <v>154.24895682832511</v>
      </c>
      <c r="BV102" s="4">
        <f t="shared" si="26"/>
        <v>0</v>
      </c>
      <c r="BW102" s="4">
        <f t="shared" si="26"/>
        <v>41.166085880066639</v>
      </c>
      <c r="BX102" s="4">
        <f t="shared" si="26"/>
        <v>0</v>
      </c>
      <c r="BY102" s="4">
        <f t="shared" si="34"/>
        <v>23.244733649164292</v>
      </c>
      <c r="BZ102" s="4">
        <f t="shared" si="26"/>
        <v>0</v>
      </c>
      <c r="CA102" s="4">
        <f t="shared" si="26"/>
        <v>54.872176678127261</v>
      </c>
      <c r="CB102" s="4">
        <f t="shared" si="26"/>
        <v>0</v>
      </c>
      <c r="CC102" s="4">
        <f t="shared" si="27"/>
        <v>91.523740545516276</v>
      </c>
      <c r="CD102" s="4">
        <f t="shared" si="27"/>
        <v>0</v>
      </c>
      <c r="CE102" s="4">
        <f t="shared" si="27"/>
        <v>0</v>
      </c>
      <c r="CF102" s="4">
        <f t="shared" si="27"/>
        <v>0</v>
      </c>
      <c r="CG102" s="4">
        <f t="shared" si="27"/>
        <v>36.398174522350168</v>
      </c>
      <c r="CH102" s="4">
        <f t="shared" si="27"/>
        <v>0</v>
      </c>
      <c r="CI102" s="4">
        <f t="shared" si="35"/>
        <v>54.08301727517339</v>
      </c>
      <c r="CJ102" s="4">
        <f t="shared" si="27"/>
        <v>0</v>
      </c>
      <c r="CK102" s="4">
        <f t="shared" si="27"/>
        <v>0</v>
      </c>
      <c r="CL102" s="4">
        <f t="shared" si="27"/>
        <v>0</v>
      </c>
      <c r="CM102" s="4">
        <f t="shared" si="27"/>
        <v>86.313448661114066</v>
      </c>
      <c r="CN102" s="4">
        <f t="shared" si="27"/>
        <v>0</v>
      </c>
      <c r="CO102" s="4">
        <f t="shared" si="36"/>
        <v>37.14787212294074</v>
      </c>
    </row>
    <row r="103" spans="2:93" outlineLevel="2" x14ac:dyDescent="0.25">
      <c r="B103">
        <v>16</v>
      </c>
      <c r="D103" s="4">
        <f t="shared" si="37"/>
        <v>17.207417094775636</v>
      </c>
      <c r="E103" s="4"/>
      <c r="F103">
        <f t="shared" si="52"/>
        <v>15.061049858755249</v>
      </c>
      <c r="G103">
        <f t="shared" si="53"/>
        <v>0</v>
      </c>
      <c r="H103">
        <f t="shared" si="54"/>
        <v>2.3088129106329505</v>
      </c>
      <c r="I103">
        <f t="shared" si="55"/>
        <v>0</v>
      </c>
      <c r="J103">
        <f t="shared" si="56"/>
        <v>1.7078385337732676</v>
      </c>
      <c r="K103">
        <f t="shared" si="57"/>
        <v>0</v>
      </c>
      <c r="L103">
        <f t="shared" si="28"/>
        <v>20.691595599553086</v>
      </c>
      <c r="M103">
        <f t="shared" si="58"/>
        <v>0</v>
      </c>
      <c r="N103">
        <f t="shared" si="59"/>
        <v>9.2950227000082197</v>
      </c>
      <c r="O103" s="4">
        <f t="shared" si="60"/>
        <v>0</v>
      </c>
      <c r="P103" s="4">
        <f t="shared" si="61"/>
        <v>29.036700537081241</v>
      </c>
      <c r="Q103" s="4">
        <f t="shared" si="62"/>
        <v>0</v>
      </c>
      <c r="R103">
        <f t="shared" si="63"/>
        <v>8.2592267626709823</v>
      </c>
      <c r="S103">
        <f t="shared" si="64"/>
        <v>0</v>
      </c>
      <c r="T103">
        <f t="shared" si="65"/>
        <v>0</v>
      </c>
      <c r="U103">
        <f t="shared" si="66"/>
        <v>0</v>
      </c>
      <c r="V103">
        <f t="shared" si="29"/>
        <v>8.9864686503766844</v>
      </c>
      <c r="W103">
        <f t="shared" si="67"/>
        <v>0</v>
      </c>
      <c r="X103">
        <f t="shared" si="68"/>
        <v>6.3438818363879541</v>
      </c>
      <c r="Y103">
        <f t="shared" si="69"/>
        <v>0</v>
      </c>
      <c r="Z103">
        <f t="shared" si="70"/>
        <v>0</v>
      </c>
      <c r="AA103">
        <f t="shared" si="71"/>
        <v>0</v>
      </c>
      <c r="AB103">
        <f t="shared" si="30"/>
        <v>5.9202129919264399</v>
      </c>
      <c r="AC103">
        <f t="shared" si="72"/>
        <v>0</v>
      </c>
      <c r="AD103">
        <f t="shared" si="73"/>
        <v>1.4946463997296919</v>
      </c>
      <c r="AE103">
        <f t="shared" si="74"/>
        <v>0</v>
      </c>
      <c r="AF103">
        <f t="shared" si="75"/>
        <v>7.2641412202101732</v>
      </c>
      <c r="AG103">
        <f t="shared" si="76"/>
        <v>0</v>
      </c>
      <c r="AH103" s="4">
        <f t="shared" si="77"/>
        <v>1.6441832085825672</v>
      </c>
      <c r="AI103" s="4">
        <f t="shared" si="78"/>
        <v>0</v>
      </c>
      <c r="AJ103" s="4">
        <f t="shared" si="79"/>
        <v>1.444593469828819</v>
      </c>
      <c r="AK103" s="4">
        <f t="shared" si="80"/>
        <v>0</v>
      </c>
      <c r="AL103" s="4">
        <f t="shared" si="81"/>
        <v>0</v>
      </c>
      <c r="AM103" s="4">
        <f t="shared" si="82"/>
        <v>0</v>
      </c>
      <c r="AN103" s="4">
        <f t="shared" si="83"/>
        <v>7.2816125745526366</v>
      </c>
      <c r="AO103" s="4">
        <f t="shared" si="84"/>
        <v>0</v>
      </c>
      <c r="AP103" s="4">
        <f t="shared" si="85"/>
        <v>0</v>
      </c>
      <c r="AQ103" s="4">
        <f t="shared" si="86"/>
        <v>0</v>
      </c>
      <c r="AR103" s="4">
        <f t="shared" si="87"/>
        <v>0</v>
      </c>
      <c r="AS103" s="4">
        <f t="shared" si="38"/>
        <v>4.487877883794039</v>
      </c>
      <c r="AT103" s="4">
        <f t="shared" si="39"/>
        <v>0</v>
      </c>
      <c r="AU103" s="4">
        <f t="shared" si="40"/>
        <v>0</v>
      </c>
      <c r="AV103" s="4">
        <f t="shared" si="41"/>
        <v>0</v>
      </c>
      <c r="AW103" s="4">
        <f t="shared" si="42"/>
        <v>33.929391592589376</v>
      </c>
      <c r="AX103" s="4">
        <f t="shared" si="43"/>
        <v>0</v>
      </c>
      <c r="AY103" s="4">
        <f t="shared" si="44"/>
        <v>2.6637778271906161</v>
      </c>
      <c r="AZ103" s="4">
        <f t="shared" si="45"/>
        <v>0</v>
      </c>
      <c r="BA103" s="4">
        <f t="shared" si="46"/>
        <v>17.249147413402021</v>
      </c>
      <c r="BB103" s="4">
        <f t="shared" si="47"/>
        <v>0</v>
      </c>
      <c r="BC103" s="4">
        <f t="shared" si="48"/>
        <v>8.3455681709090204</v>
      </c>
      <c r="BD103" s="4">
        <f t="shared" si="49"/>
        <v>0</v>
      </c>
      <c r="BE103" s="4">
        <f t="shared" si="48"/>
        <v>10.899847201711854</v>
      </c>
      <c r="BF103" s="4">
        <f t="shared" si="50"/>
        <v>0</v>
      </c>
      <c r="BG103" s="4">
        <f t="shared" si="51"/>
        <v>4.0008467465931368</v>
      </c>
      <c r="BH103" s="4"/>
      <c r="BI103" s="4"/>
      <c r="BJ103" s="4"/>
      <c r="BK103" s="4">
        <f t="shared" si="31"/>
        <v>63.962066399144604</v>
      </c>
      <c r="BL103" s="4">
        <f t="shared" si="26"/>
        <v>0</v>
      </c>
      <c r="BM103" s="4">
        <f t="shared" si="31"/>
        <v>47.314847891331183</v>
      </c>
      <c r="BN103" s="4">
        <f t="shared" si="26"/>
        <v>0</v>
      </c>
      <c r="BO103" s="4">
        <f t="shared" si="32"/>
        <v>11.92268729903207</v>
      </c>
      <c r="BP103" s="4">
        <f t="shared" si="26"/>
        <v>0</v>
      </c>
      <c r="BQ103" s="4">
        <f t="shared" si="26"/>
        <v>7.4810773428666284</v>
      </c>
      <c r="BR103" s="4">
        <f t="shared" si="26"/>
        <v>0</v>
      </c>
      <c r="BS103" s="4">
        <f t="shared" si="26"/>
        <v>31.57515730211512</v>
      </c>
      <c r="BT103" s="4">
        <f t="shared" si="26"/>
        <v>0</v>
      </c>
      <c r="BU103" s="4">
        <f t="shared" si="33"/>
        <v>119.1923757309785</v>
      </c>
      <c r="BV103" s="4">
        <f t="shared" si="26"/>
        <v>0</v>
      </c>
      <c r="BW103" s="4">
        <f t="shared" si="26"/>
        <v>31.810157270960588</v>
      </c>
      <c r="BX103" s="4">
        <f t="shared" si="26"/>
        <v>0</v>
      </c>
      <c r="BY103" s="4">
        <f t="shared" si="34"/>
        <v>17.961839637990593</v>
      </c>
      <c r="BZ103" s="4">
        <f t="shared" si="26"/>
        <v>0</v>
      </c>
      <c r="CA103" s="4">
        <f t="shared" si="26"/>
        <v>42.401227433098349</v>
      </c>
      <c r="CB103" s="4">
        <f t="shared" ref="CB103:CB108" si="88">+(((CB$38*((1-CB$81)*(1-CB$82)^$B103)*CB$39*((1-CB$83)*($B$86-CB$84)+(CB$83*0.5*($B$86-CB$84)))+CB$38*6*((1-CB$81)*(1-CB$82)^$B103)*(1-CB$39)*($B$87-CB$85))-(CB$49+CB$48)*CB$38*(1-CB$81)*(1-CB$82)^$B103)/(1.1^$B104))</f>
        <v>0</v>
      </c>
      <c r="CC103" s="4">
        <f t="shared" si="27"/>
        <v>70.722890421535325</v>
      </c>
      <c r="CD103" s="4">
        <f t="shared" si="27"/>
        <v>0</v>
      </c>
      <c r="CE103" s="4">
        <f t="shared" si="27"/>
        <v>0</v>
      </c>
      <c r="CF103" s="4">
        <f t="shared" si="27"/>
        <v>0</v>
      </c>
      <c r="CG103" s="4">
        <f t="shared" si="27"/>
        <v>28.125862130906956</v>
      </c>
      <c r="CH103" s="4">
        <f t="shared" si="27"/>
        <v>0</v>
      </c>
      <c r="CI103" s="4">
        <f t="shared" si="35"/>
        <v>41.791422439906704</v>
      </c>
      <c r="CJ103" s="4">
        <f t="shared" si="27"/>
        <v>0</v>
      </c>
      <c r="CK103" s="4">
        <f t="shared" si="27"/>
        <v>0</v>
      </c>
      <c r="CL103" s="4">
        <f t="shared" si="27"/>
        <v>0</v>
      </c>
      <c r="CM103" s="4">
        <f t="shared" si="27"/>
        <v>66.696755783588173</v>
      </c>
      <c r="CN103" s="4">
        <f t="shared" si="27"/>
        <v>0</v>
      </c>
      <c r="CO103" s="4">
        <f t="shared" si="36"/>
        <v>28.705173913181479</v>
      </c>
    </row>
    <row r="104" spans="2:93" outlineLevel="2" x14ac:dyDescent="0.25">
      <c r="B104">
        <v>17</v>
      </c>
      <c r="D104" s="4">
        <f t="shared" si="37"/>
        <v>13.296640482326627</v>
      </c>
      <c r="E104" s="4"/>
      <c r="F104">
        <f t="shared" si="52"/>
        <v>11.911921251924603</v>
      </c>
      <c r="G104">
        <f t="shared" si="53"/>
        <v>0</v>
      </c>
      <c r="H104">
        <f t="shared" si="54"/>
        <v>1.6791366622785096</v>
      </c>
      <c r="I104">
        <f t="shared" si="55"/>
        <v>0</v>
      </c>
      <c r="J104">
        <f t="shared" si="56"/>
        <v>1.2420643881987397</v>
      </c>
      <c r="K104">
        <f t="shared" si="57"/>
        <v>0</v>
      </c>
      <c r="L104">
        <f t="shared" si="28"/>
        <v>15.988960236018295</v>
      </c>
      <c r="M104">
        <f t="shared" si="58"/>
        <v>0</v>
      </c>
      <c r="N104">
        <f t="shared" si="59"/>
        <v>7.1825175409154394</v>
      </c>
      <c r="O104" s="4">
        <f t="shared" si="60"/>
        <v>0</v>
      </c>
      <c r="P104" s="4">
        <f t="shared" si="61"/>
        <v>22.437450415017327</v>
      </c>
      <c r="Q104" s="4">
        <f t="shared" si="62"/>
        <v>0</v>
      </c>
      <c r="R104">
        <f t="shared" si="63"/>
        <v>6.6073814101367843</v>
      </c>
      <c r="S104">
        <f t="shared" si="64"/>
        <v>0</v>
      </c>
      <c r="T104">
        <f t="shared" si="65"/>
        <v>0</v>
      </c>
      <c r="U104">
        <f t="shared" si="66"/>
        <v>0</v>
      </c>
      <c r="V104">
        <f t="shared" si="29"/>
        <v>6.5356135639103163</v>
      </c>
      <c r="W104">
        <f t="shared" si="67"/>
        <v>0</v>
      </c>
      <c r="X104">
        <f t="shared" si="68"/>
        <v>4.9020905099361443</v>
      </c>
      <c r="Y104">
        <f t="shared" si="69"/>
        <v>0</v>
      </c>
      <c r="Z104">
        <f t="shared" si="70"/>
        <v>0</v>
      </c>
      <c r="AA104">
        <f t="shared" si="71"/>
        <v>0</v>
      </c>
      <c r="AB104">
        <f t="shared" si="30"/>
        <v>4.5747100392158826</v>
      </c>
      <c r="AC104">
        <f t="shared" si="72"/>
        <v>0</v>
      </c>
      <c r="AD104">
        <f t="shared" si="73"/>
        <v>1.087015563439776</v>
      </c>
      <c r="AE104">
        <f t="shared" si="74"/>
        <v>0</v>
      </c>
      <c r="AF104">
        <f t="shared" si="75"/>
        <v>5.6132000337987709</v>
      </c>
      <c r="AG104">
        <f t="shared" si="76"/>
        <v>0</v>
      </c>
      <c r="AH104" s="4">
        <f t="shared" si="77"/>
        <v>1.1957696062418675</v>
      </c>
      <c r="AI104" s="4">
        <f t="shared" si="78"/>
        <v>0</v>
      </c>
      <c r="AJ104" s="4">
        <f t="shared" si="79"/>
        <v>1.0506134326027774</v>
      </c>
      <c r="AK104" s="4">
        <f t="shared" si="80"/>
        <v>0</v>
      </c>
      <c r="AL104" s="4">
        <f t="shared" si="81"/>
        <v>0</v>
      </c>
      <c r="AM104" s="4">
        <f t="shared" si="82"/>
        <v>0</v>
      </c>
      <c r="AN104" s="4">
        <f t="shared" si="83"/>
        <v>5.6267006257906722</v>
      </c>
      <c r="AO104" s="4">
        <f t="shared" si="84"/>
        <v>0</v>
      </c>
      <c r="AP104" s="4">
        <f t="shared" si="85"/>
        <v>0</v>
      </c>
      <c r="AQ104" s="4">
        <f t="shared" si="86"/>
        <v>0</v>
      </c>
      <c r="AR104" s="4">
        <f t="shared" si="87"/>
        <v>0</v>
      </c>
      <c r="AS104" s="4">
        <f t="shared" si="38"/>
        <v>3.2639111882138474</v>
      </c>
      <c r="AT104" s="4">
        <f t="shared" si="39"/>
        <v>0</v>
      </c>
      <c r="AU104" s="4">
        <f t="shared" si="40"/>
        <v>0</v>
      </c>
      <c r="AV104" s="4">
        <f t="shared" si="41"/>
        <v>0</v>
      </c>
      <c r="AW104" s="4">
        <f t="shared" si="42"/>
        <v>27.760411303027684</v>
      </c>
      <c r="AX104" s="4">
        <f t="shared" si="43"/>
        <v>0</v>
      </c>
      <c r="AY104" s="4">
        <f t="shared" si="44"/>
        <v>1.9372929652295396</v>
      </c>
      <c r="AZ104" s="4">
        <f t="shared" si="45"/>
        <v>0</v>
      </c>
      <c r="BA104" s="4">
        <f t="shared" si="46"/>
        <v>13.328886637628832</v>
      </c>
      <c r="BB104" s="4">
        <f t="shared" si="47"/>
        <v>0</v>
      </c>
      <c r="BC104" s="4">
        <f t="shared" si="48"/>
        <v>6.4488481320660611</v>
      </c>
      <c r="BD104" s="4">
        <f t="shared" si="49"/>
        <v>0</v>
      </c>
      <c r="BE104" s="4">
        <f t="shared" si="48"/>
        <v>8.4226092013227962</v>
      </c>
      <c r="BF104" s="4">
        <f t="shared" si="50"/>
        <v>0</v>
      </c>
      <c r="BG104" s="4">
        <f t="shared" si="51"/>
        <v>2.9097067247950097</v>
      </c>
      <c r="BH104" s="4"/>
      <c r="BI104" s="4"/>
      <c r="BJ104" s="4"/>
      <c r="BK104" s="4">
        <f t="shared" si="31"/>
        <v>49.425233126611744</v>
      </c>
      <c r="BL104" s="4">
        <f t="shared" ref="BL104:BL108" si="89">+(((BL$38*((1-BL$81)*(1-BL$82)^$B104)*BL$39*((1-BL$83)*($B$86-BL$84)+(BL$83*0.5*($B$86-BL$84)))+BL$38*6*((1-BL$81)*(1-BL$82)^$B104)*(1-BL$39)*($B$87-BL$85))-(BL$49+BL$48)*BL$38*(1-BL$81)*(1-BL$82)^$B104)/(1.1^$B105))</f>
        <v>0</v>
      </c>
      <c r="BM104" s="4">
        <f t="shared" si="31"/>
        <v>36.561473370574078</v>
      </c>
      <c r="BN104" s="4">
        <f t="shared" ref="BN104:BP108" si="90">+(((BN$38*((1-BN$81)*(1-BN$82)^$B104)*BN$39*((1-BN$83)*($B$86-BN$84)+(BN$83*0.5*($B$86-BN$84)))+BN$38*6*((1-BN$81)*(1-BN$82)^$B104)*(1-BN$39)*($B$87-BN$85))-(BN$49+BN$48)*BN$38*(1-BN$81)*(1-BN$82)^$B104)/(1.1^$B105))</f>
        <v>0</v>
      </c>
      <c r="BO104" s="4">
        <f t="shared" si="32"/>
        <v>9.7549259719353447</v>
      </c>
      <c r="BP104" s="4">
        <f t="shared" si="90"/>
        <v>0</v>
      </c>
      <c r="BQ104" s="4">
        <f t="shared" ref="BQ104:BQ108" si="91">+(((BQ$38*((1-BQ$81)*(1-BQ$82)^$B104)*BQ$39*((1-BQ$83)*($B$86-BQ$84)+(BQ$83*0.5*($B$86-BQ$84)))+BQ$38*6*((1-BQ$81)*(1-BQ$82)^$B104)*(1-BQ$39)*($B$87-BQ$85))-(BQ$49+BQ$48)*BQ$38*(1-BQ$81)*(1-BQ$82)^$B104)/(1.1^$B105))</f>
        <v>5.4407835220848213</v>
      </c>
      <c r="BR104" s="4">
        <f t="shared" ref="BR104:BR108" si="92">+(((BR$38*((1-BR$81)*(1-BR$82)^$B104)*BR$39*((1-BR$83)*($B$86-BR$84)+(BR$83*0.5*($B$86-BR$84)))+BR$38*6*((1-BR$81)*(1-BR$82)^$B104)*(1-BR$39)*($B$87-BR$85))-(BR$49+BR$48)*BR$38*(1-BR$81)*(1-BR$82)^$B104)/(1.1^$B105))</f>
        <v>0</v>
      </c>
      <c r="BS104" s="4">
        <f t="shared" ref="BS104:BS108" si="93">+(((BS$38*((1-BS$81)*(1-BS$82)^$B104)*BS$39*((1-BS$83)*($B$86-BS$84)+(BS$83*0.5*($B$86-BS$84)))+BS$38*6*((1-BS$81)*(1-BS$82)^$B104)*(1-BS$39)*($B$87-BS$85))-(BS$49+BS$48)*BS$38*(1-BS$81)*(1-BS$82)^$B104)/(1.1^$B105))</f>
        <v>24.398985187998051</v>
      </c>
      <c r="BT104" s="4">
        <f t="shared" ref="BT104:BT108" si="94">+(((BT$38*((1-BT$81)*(1-BT$82)^$B104)*BT$39*((1-BT$83)*($B$86-BT$84)+(BT$83*0.5*($B$86-BT$84)))+BT$38*6*((1-BT$81)*(1-BT$82)^$B104)*(1-BT$39)*($B$87-BT$85))-(BT$49+BT$48)*BT$38*(1-BT$81)*(1-BT$82)^$B104)/(1.1^$B105))</f>
        <v>0</v>
      </c>
      <c r="BU104" s="4">
        <f t="shared" si="33"/>
        <v>92.103199428483364</v>
      </c>
      <c r="BV104" s="4">
        <f t="shared" ref="BV104:BV108" si="95">+(((BV$38*((1-BV$81)*(1-BV$82)^$B104)*BV$39*((1-BV$83)*($B$86-BV$84)+(BV$83*0.5*($B$86-BV$84)))+BV$38*6*((1-BV$81)*(1-BV$82)^$B104)*(1-BV$39)*($B$87-BV$85))-(BV$49+BV$48)*BV$38*(1-BV$81)*(1-BV$82)^$B104)/(1.1^$B105))</f>
        <v>0</v>
      </c>
      <c r="BW104" s="4">
        <f t="shared" ref="BW104:BW108" si="96">+(((BW$38*((1-BW$81)*(1-BW$82)^$B104)*BW$39*((1-BW$83)*($B$86-BW$84)+(BW$83*0.5*($B$86-BW$84)))+BW$38*6*((1-BW$81)*(1-BW$82)^$B104)*(1-BW$39)*($B$87-BW$85))-(BW$49+BW$48)*BW$38*(1-BW$81)*(1-BW$82)^$B104)/(1.1^$B105))</f>
        <v>24.580576073014996</v>
      </c>
      <c r="BX104" s="4">
        <f t="shared" ref="BX104:BX108" si="97">+(((BX$38*((1-BX$81)*(1-BX$82)^$B104)*BX$39*((1-BX$83)*($B$86-BX$84)+(BX$83*0.5*($B$86-BX$84)))+BX$38*6*((1-BX$81)*(1-BX$82)^$B104)*(1-BX$39)*($B$87-BX$85))-(BX$49+BX$48)*BX$38*(1-BX$81)*(1-BX$82)^$B104)/(1.1^$B105))</f>
        <v>0</v>
      </c>
      <c r="BY104" s="4">
        <f t="shared" si="34"/>
        <v>13.879603356629097</v>
      </c>
      <c r="BZ104" s="4">
        <f t="shared" ref="BZ104:BZ108" si="98">+(((BZ$38*((1-BZ$81)*(1-BZ$82)^$B104)*BZ$39*((1-BZ$83)*($B$86-BZ$84)+(BZ$83*0.5*($B$86-BZ$84)))+BZ$38*6*((1-BZ$81)*(1-BZ$82)^$B104)*(1-BZ$39)*($B$87-BZ$85))-(BZ$49+BZ$48)*BZ$38*(1-BZ$81)*(1-BZ$82)^$B104)/(1.1^$B105))</f>
        <v>0</v>
      </c>
      <c r="CA104" s="4">
        <f t="shared" ref="CA104:CA108" si="99">+(((CA$38*((1-CA$81)*(1-CA$82)^$B104)*CA$39*((1-CA$83)*($B$86-CA$84)+(CA$83*0.5*($B$86-CA$84)))+CA$38*6*((1-CA$81)*(1-CA$82)^$B104)*(1-CA$39)*($B$87-CA$85))-(CA$49+CA$48)*CA$38*(1-CA$81)*(1-CA$82)^$B104)/(1.1^$B105))</f>
        <v>32.764584834666913</v>
      </c>
      <c r="CB104" s="4">
        <f t="shared" si="88"/>
        <v>0</v>
      </c>
      <c r="CC104" s="4">
        <f t="shared" ref="CC104:CC108" si="100">+(((CC$38*((1-CC$81)*(1-CC$82)^$B104)*CC$39*((1-CC$83)*($B$86-CC$84)+(CC$83*0.5*($B$86-CC$84)))+CC$38*6*((1-CC$81)*(1-CC$82)^$B104)*(1-CC$39)*($B$87-CC$85))-(CC$49+CC$48)*CC$38*(1-CC$81)*(1-CC$82)^$B104)/(1.1^$B105))</f>
        <v>54.649506234822731</v>
      </c>
      <c r="CD104" s="4">
        <f t="shared" ref="CD104:CD108" si="101">+(((CD$38*((1-CD$81)*(1-CD$82)^$B104)*CD$39*((1-CD$83)*($B$86-CD$84)+(CD$83*0.5*($B$86-CD$84)))+CD$38*6*((1-CD$81)*(1-CD$82)^$B104)*(1-CD$39)*($B$87-CD$85))-(CD$49+CD$48)*CD$38*(1-CD$81)*(1-CD$82)^$B104)/(1.1^$B105))</f>
        <v>0</v>
      </c>
      <c r="CE104" s="4">
        <f t="shared" ref="CE104:CE108" si="102">+(((CE$38*((1-CE$81)*(1-CE$82)^$B104)*CE$39*((1-CE$83)*($B$86-CE$84)+(CE$83*0.5*($B$86-CE$84)))+CE$38*6*((1-CE$81)*(1-CE$82)^$B104)*(1-CE$39)*($B$87-CE$85))-(CE$49+CE$48)*CE$38*(1-CE$81)*(1-CE$82)^$B104)/(1.1^$B105))</f>
        <v>0</v>
      </c>
      <c r="CF104" s="4">
        <f t="shared" ref="CF104:CF108" si="103">+(((CF$38*((1-CF$81)*(1-CF$82)^$B104)*CF$39*((1-CF$83)*($B$86-CF$84)+(CF$83*0.5*($B$86-CF$84)))+CF$38*6*((1-CF$81)*(1-CF$82)^$B104)*(1-CF$39)*($B$87-CF$85))-(CF$49+CF$48)*CF$38*(1-CF$81)*(1-CF$82)^$B104)/(1.1^$B105))</f>
        <v>0</v>
      </c>
      <c r="CG104" s="4">
        <f t="shared" ref="CG104:CG108" si="104">+(((CG$38*((1-CG$81)*(1-CG$82)^$B104)*CG$39*((1-CG$83)*($B$86-CG$84)+(CG$83*0.5*($B$86-CG$84)))+CG$38*6*((1-CG$81)*(1-CG$82)^$B104)*(1-CG$39)*($B$87-CG$85))-(CG$49+CG$48)*CG$38*(1-CG$81)*(1-CG$82)^$B104)/(1.1^$B105))</f>
        <v>21.733620737519001</v>
      </c>
      <c r="CH104" s="4">
        <f t="shared" ref="CH104:CH108" si="105">+(((CH$38*((1-CH$81)*(1-CH$82)^$B104)*CH$39*((1-CH$83)*($B$86-CH$84)+(CH$83*0.5*($B$86-CH$84)))+CH$38*6*((1-CH$81)*(1-CH$82)^$B104)*(1-CH$39)*($B$87-CH$85))-(CH$49+CH$48)*CH$38*(1-CH$81)*(1-CH$82)^$B104)/(1.1^$B105))</f>
        <v>0</v>
      </c>
      <c r="CI104" s="4">
        <f t="shared" si="35"/>
        <v>32.293371885382463</v>
      </c>
      <c r="CJ104" s="4">
        <f t="shared" ref="CJ104:CJ108" si="106">+(((CJ$38*((1-CJ$81)*(1-CJ$82)^$B104)*CJ$39*((1-CJ$83)*($B$86-CJ$84)+(CJ$83*0.5*($B$86-CJ$84)))+CJ$38*6*((1-CJ$81)*(1-CJ$82)^$B104)*(1-CJ$39)*($B$87-CJ$85))-(CJ$49+CJ$48)*CJ$38*(1-CJ$81)*(1-CJ$82)^$B104)/(1.1^$B105))</f>
        <v>0</v>
      </c>
      <c r="CK104" s="4">
        <f t="shared" ref="CK104:CK108" si="107">+(((CK$38*((1-CK$81)*(1-CK$82)^$B104)*CK$39*((1-CK$83)*($B$86-CK$84)+(CK$83*0.5*($B$86-CK$84)))+CK$38*6*((1-CK$81)*(1-CK$82)^$B104)*(1-CK$39)*($B$87-CK$85))-(CK$49+CK$48)*CK$38*(1-CK$81)*(1-CK$82)^$B104)/(1.1^$B105))</f>
        <v>0</v>
      </c>
      <c r="CL104" s="4">
        <f t="shared" ref="CL104:CL108" si="108">+(((CL$38*((1-CL$81)*(1-CL$82)^$B104)*CL$39*((1-CL$83)*($B$86-CL$84)+(CL$83*0.5*($B$86-CL$84)))+CL$38*6*((1-CL$81)*(1-CL$82)^$B104)*(1-CL$39)*($B$87-CL$85))-(CL$49+CL$48)*CL$38*(1-CL$81)*(1-CL$82)^$B104)/(1.1^$B105))</f>
        <v>0</v>
      </c>
      <c r="CM104" s="4">
        <f t="shared" ref="CM104:CM108" si="109">+(((CM$38*((1-CM$81)*(1-CM$82)^$B104)*CM$39*((1-CM$83)*($B$86-CM$84)+(CM$83*0.5*($B$86-CM$84)))+CM$38*6*((1-CM$81)*(1-CM$82)^$B104)*(1-CM$39)*($B$87-CM$85))-(CM$49+CM$48)*CM$38*(1-CM$81)*(1-CM$82)^$B104)/(1.1^$B105))</f>
        <v>51.538402196409031</v>
      </c>
      <c r="CN104" s="4">
        <f t="shared" ref="CN104:CN108" si="110">+(((CN$38*((1-CN$81)*(1-CN$82)^$B104)*CN$39*((1-CN$83)*($B$86-CN$84)+(CN$83*0.5*($B$86-CN$84)))+CN$38*6*((1-CN$81)*(1-CN$82)^$B104)*(1-CN$39)*($B$87-CN$85))-(CN$49+CN$48)*CN$38*(1-CN$81)*(1-CN$82)^$B104)/(1.1^$B105))</f>
        <v>0</v>
      </c>
      <c r="CO104" s="4">
        <f t="shared" si="36"/>
        <v>22.181270751094779</v>
      </c>
    </row>
    <row r="105" spans="2:93" outlineLevel="2" x14ac:dyDescent="0.25">
      <c r="B105">
        <v>18</v>
      </c>
      <c r="D105" s="4">
        <f t="shared" si="37"/>
        <v>10.274676736343295</v>
      </c>
      <c r="E105" s="4"/>
      <c r="F105">
        <f t="shared" si="52"/>
        <v>9.4212468083403671</v>
      </c>
      <c r="G105">
        <f t="shared" si="53"/>
        <v>0</v>
      </c>
      <c r="H105">
        <f t="shared" si="54"/>
        <v>1.2211902998389161</v>
      </c>
      <c r="I105">
        <f t="shared" si="55"/>
        <v>0</v>
      </c>
      <c r="J105">
        <f t="shared" si="56"/>
        <v>0.90331955505362893</v>
      </c>
      <c r="K105">
        <f t="shared" si="57"/>
        <v>0</v>
      </c>
      <c r="L105">
        <f t="shared" si="28"/>
        <v>12.355105636923225</v>
      </c>
      <c r="M105">
        <f t="shared" si="58"/>
        <v>0</v>
      </c>
      <c r="N105">
        <f t="shared" si="59"/>
        <v>5.5501271907073857</v>
      </c>
      <c r="O105" s="4">
        <f t="shared" si="60"/>
        <v>0</v>
      </c>
      <c r="P105" s="4">
        <f t="shared" si="61"/>
        <v>17.338029866149746</v>
      </c>
      <c r="Q105" s="4">
        <f t="shared" si="62"/>
        <v>0</v>
      </c>
      <c r="R105">
        <f t="shared" si="63"/>
        <v>5.2859051281094294</v>
      </c>
      <c r="S105">
        <f t="shared" si="64"/>
        <v>0</v>
      </c>
      <c r="T105">
        <f t="shared" si="65"/>
        <v>0</v>
      </c>
      <c r="U105">
        <f t="shared" si="66"/>
        <v>0</v>
      </c>
      <c r="V105">
        <f t="shared" si="29"/>
        <v>4.7531735010256835</v>
      </c>
      <c r="W105">
        <f t="shared" si="67"/>
        <v>0</v>
      </c>
      <c r="X105">
        <f t="shared" si="68"/>
        <v>3.7879790304052023</v>
      </c>
      <c r="Y105">
        <f t="shared" si="69"/>
        <v>0</v>
      </c>
      <c r="Z105">
        <f t="shared" si="70"/>
        <v>0</v>
      </c>
      <c r="AA105">
        <f t="shared" si="71"/>
        <v>0</v>
      </c>
      <c r="AB105">
        <f t="shared" si="30"/>
        <v>3.5350032121213637</v>
      </c>
      <c r="AC105">
        <f t="shared" si="72"/>
        <v>0</v>
      </c>
      <c r="AD105">
        <f t="shared" si="73"/>
        <v>0.79055677341074593</v>
      </c>
      <c r="AE105">
        <f t="shared" si="74"/>
        <v>0</v>
      </c>
      <c r="AF105">
        <f t="shared" si="75"/>
        <v>4.3374727533899566</v>
      </c>
      <c r="AG105">
        <f t="shared" si="76"/>
        <v>0</v>
      </c>
      <c r="AH105" s="4">
        <f t="shared" si="77"/>
        <v>0.86965062272135774</v>
      </c>
      <c r="AI105" s="4">
        <f t="shared" si="78"/>
        <v>0</v>
      </c>
      <c r="AJ105" s="4">
        <f t="shared" si="79"/>
        <v>0.76408249643838355</v>
      </c>
      <c r="AK105" s="4">
        <f t="shared" si="80"/>
        <v>0</v>
      </c>
      <c r="AL105" s="4">
        <f t="shared" si="81"/>
        <v>0</v>
      </c>
      <c r="AM105" s="4">
        <f t="shared" si="82"/>
        <v>0</v>
      </c>
      <c r="AN105" s="4">
        <f t="shared" si="83"/>
        <v>4.3479050290200645</v>
      </c>
      <c r="AO105" s="4">
        <f t="shared" si="84"/>
        <v>0</v>
      </c>
      <c r="AP105" s="4">
        <f t="shared" si="85"/>
        <v>0</v>
      </c>
      <c r="AQ105" s="4">
        <f t="shared" si="86"/>
        <v>0</v>
      </c>
      <c r="AR105" s="4">
        <f t="shared" si="87"/>
        <v>0</v>
      </c>
      <c r="AS105" s="4">
        <f t="shared" si="38"/>
        <v>2.3737535914282519</v>
      </c>
      <c r="AT105" s="4">
        <f t="shared" si="39"/>
        <v>0</v>
      </c>
      <c r="AU105" s="4">
        <f t="shared" si="40"/>
        <v>0</v>
      </c>
      <c r="AV105" s="4">
        <f t="shared" si="41"/>
        <v>0</v>
      </c>
      <c r="AW105" s="4">
        <f t="shared" si="42"/>
        <v>22.713063793386272</v>
      </c>
      <c r="AX105" s="4">
        <f t="shared" si="43"/>
        <v>0</v>
      </c>
      <c r="AY105" s="4">
        <f t="shared" si="44"/>
        <v>1.4089403383487558</v>
      </c>
      <c r="AZ105" s="4">
        <f t="shared" si="45"/>
        <v>0</v>
      </c>
      <c r="BA105" s="4">
        <f t="shared" si="46"/>
        <v>10.299594219985915</v>
      </c>
      <c r="BB105" s="4">
        <f t="shared" si="47"/>
        <v>0</v>
      </c>
      <c r="BC105" s="4">
        <f t="shared" si="48"/>
        <v>4.9832008293237742</v>
      </c>
      <c r="BD105" s="4">
        <f t="shared" si="49"/>
        <v>0</v>
      </c>
      <c r="BE105" s="4">
        <f t="shared" si="48"/>
        <v>6.5083798373857968</v>
      </c>
      <c r="BF105" s="4">
        <f t="shared" si="50"/>
        <v>0</v>
      </c>
      <c r="BG105" s="4">
        <f t="shared" si="51"/>
        <v>2.1161503453054604</v>
      </c>
      <c r="BH105" s="4"/>
      <c r="BI105" s="4"/>
      <c r="BJ105" s="4"/>
      <c r="BK105" s="4">
        <f t="shared" si="31"/>
        <v>38.19222559783632</v>
      </c>
      <c r="BL105" s="4">
        <f t="shared" si="89"/>
        <v>0</v>
      </c>
      <c r="BM105" s="4">
        <f t="shared" si="31"/>
        <v>28.252047604534514</v>
      </c>
      <c r="BN105" s="4">
        <f t="shared" si="90"/>
        <v>0</v>
      </c>
      <c r="BO105" s="4">
        <f t="shared" si="32"/>
        <v>7.9813030679470929</v>
      </c>
      <c r="BP105" s="4">
        <f t="shared" si="90"/>
        <v>0</v>
      </c>
      <c r="BQ105" s="4">
        <f t="shared" si="91"/>
        <v>3.9569334706071406</v>
      </c>
      <c r="BR105" s="4">
        <f t="shared" si="92"/>
        <v>0</v>
      </c>
      <c r="BS105" s="4">
        <f t="shared" si="93"/>
        <v>18.853761281634846</v>
      </c>
      <c r="BT105" s="4">
        <f t="shared" si="94"/>
        <v>0</v>
      </c>
      <c r="BU105" s="4">
        <f t="shared" si="33"/>
        <v>71.170654103828042</v>
      </c>
      <c r="BV105" s="4">
        <f t="shared" si="95"/>
        <v>0</v>
      </c>
      <c r="BW105" s="4">
        <f t="shared" si="96"/>
        <v>18.99408151096614</v>
      </c>
      <c r="BX105" s="4">
        <f t="shared" si="97"/>
        <v>0</v>
      </c>
      <c r="BY105" s="4">
        <f t="shared" si="34"/>
        <v>10.725148048304296</v>
      </c>
      <c r="BZ105" s="4">
        <f t="shared" si="98"/>
        <v>0</v>
      </c>
      <c r="CA105" s="4">
        <f t="shared" si="99"/>
        <v>25.318088281333502</v>
      </c>
      <c r="CB105" s="4">
        <f t="shared" si="88"/>
        <v>0</v>
      </c>
      <c r="CC105" s="4">
        <f t="shared" si="100"/>
        <v>42.22916390872664</v>
      </c>
      <c r="CD105" s="4">
        <f t="shared" si="101"/>
        <v>0</v>
      </c>
      <c r="CE105" s="4">
        <f t="shared" si="102"/>
        <v>0</v>
      </c>
      <c r="CF105" s="4">
        <f t="shared" si="103"/>
        <v>0</v>
      </c>
      <c r="CG105" s="4">
        <f t="shared" si="104"/>
        <v>16.794161478991956</v>
      </c>
      <c r="CH105" s="4">
        <f t="shared" si="105"/>
        <v>0</v>
      </c>
      <c r="CI105" s="4">
        <f t="shared" si="35"/>
        <v>24.953969184159174</v>
      </c>
      <c r="CJ105" s="4">
        <f t="shared" si="106"/>
        <v>0</v>
      </c>
      <c r="CK105" s="4">
        <f t="shared" si="107"/>
        <v>0</v>
      </c>
      <c r="CL105" s="4">
        <f t="shared" si="108"/>
        <v>0</v>
      </c>
      <c r="CM105" s="4">
        <f t="shared" si="109"/>
        <v>39.825128969952431</v>
      </c>
      <c r="CN105" s="4">
        <f t="shared" si="110"/>
        <v>0</v>
      </c>
      <c r="CO105" s="4">
        <f t="shared" si="36"/>
        <v>17.140072853118696</v>
      </c>
    </row>
    <row r="106" spans="2:93" outlineLevel="2" x14ac:dyDescent="0.25">
      <c r="B106">
        <v>19</v>
      </c>
      <c r="D106" s="4">
        <f t="shared" si="37"/>
        <v>7.9395229326289138</v>
      </c>
      <c r="E106" s="4"/>
      <c r="F106">
        <f t="shared" si="52"/>
        <v>7.4513497484146525</v>
      </c>
      <c r="G106">
        <f t="shared" si="53"/>
        <v>0</v>
      </c>
      <c r="H106">
        <f t="shared" si="54"/>
        <v>0.88813839988284815</v>
      </c>
      <c r="I106">
        <f t="shared" si="55"/>
        <v>0</v>
      </c>
      <c r="J106">
        <f t="shared" si="56"/>
        <v>0.65695967640263941</v>
      </c>
      <c r="K106">
        <f t="shared" si="57"/>
        <v>0</v>
      </c>
      <c r="L106">
        <f t="shared" si="28"/>
        <v>9.5471270830770347</v>
      </c>
      <c r="M106">
        <f t="shared" si="58"/>
        <v>0</v>
      </c>
      <c r="N106">
        <f t="shared" si="59"/>
        <v>4.2887346473647971</v>
      </c>
      <c r="O106" s="4">
        <f t="shared" si="60"/>
        <v>0</v>
      </c>
      <c r="P106" s="4">
        <f t="shared" si="61"/>
        <v>13.397568532933894</v>
      </c>
      <c r="Q106" s="4">
        <f t="shared" si="62"/>
        <v>0</v>
      </c>
      <c r="R106">
        <f t="shared" si="63"/>
        <v>4.2287241024875399</v>
      </c>
      <c r="S106">
        <f t="shared" si="64"/>
        <v>0</v>
      </c>
      <c r="T106">
        <f t="shared" si="65"/>
        <v>0</v>
      </c>
      <c r="U106">
        <f t="shared" si="66"/>
        <v>0</v>
      </c>
      <c r="V106">
        <f t="shared" si="29"/>
        <v>3.456853455291407</v>
      </c>
      <c r="W106">
        <f t="shared" si="67"/>
        <v>0</v>
      </c>
      <c r="X106">
        <f t="shared" si="68"/>
        <v>2.9270747053131112</v>
      </c>
      <c r="Y106">
        <f t="shared" si="69"/>
        <v>0</v>
      </c>
      <c r="Z106">
        <f t="shared" si="70"/>
        <v>0</v>
      </c>
      <c r="AA106">
        <f t="shared" si="71"/>
        <v>0</v>
      </c>
      <c r="AB106">
        <f t="shared" si="30"/>
        <v>2.7315933911846906</v>
      </c>
      <c r="AC106">
        <f t="shared" si="72"/>
        <v>0</v>
      </c>
      <c r="AD106">
        <f t="shared" si="73"/>
        <v>0.57495038066236093</v>
      </c>
      <c r="AE106">
        <f t="shared" si="74"/>
        <v>0</v>
      </c>
      <c r="AF106">
        <f t="shared" si="75"/>
        <v>3.3516834912558755</v>
      </c>
      <c r="AG106">
        <f t="shared" si="76"/>
        <v>0</v>
      </c>
      <c r="AH106" s="4">
        <f t="shared" si="77"/>
        <v>0.63247318016098764</v>
      </c>
      <c r="AI106" s="4">
        <f t="shared" si="78"/>
        <v>0</v>
      </c>
      <c r="AJ106" s="4">
        <f t="shared" si="79"/>
        <v>0.55569636104609721</v>
      </c>
      <c r="AK106" s="4">
        <f t="shared" si="80"/>
        <v>0</v>
      </c>
      <c r="AL106" s="4">
        <f t="shared" si="81"/>
        <v>0</v>
      </c>
      <c r="AM106" s="4">
        <f t="shared" si="82"/>
        <v>0</v>
      </c>
      <c r="AN106" s="4">
        <f t="shared" si="83"/>
        <v>3.3597447951518689</v>
      </c>
      <c r="AO106" s="4">
        <f t="shared" si="84"/>
        <v>0</v>
      </c>
      <c r="AP106" s="4">
        <f t="shared" si="85"/>
        <v>0</v>
      </c>
      <c r="AQ106" s="4">
        <f t="shared" si="86"/>
        <v>0</v>
      </c>
      <c r="AR106" s="4">
        <f t="shared" si="87"/>
        <v>0</v>
      </c>
      <c r="AS106" s="4">
        <f t="shared" si="38"/>
        <v>1.7263662483114566</v>
      </c>
      <c r="AT106" s="4">
        <f t="shared" si="39"/>
        <v>0</v>
      </c>
      <c r="AU106" s="4">
        <f t="shared" si="40"/>
        <v>0</v>
      </c>
      <c r="AV106" s="4">
        <f t="shared" si="41"/>
        <v>0</v>
      </c>
      <c r="AW106" s="4">
        <f t="shared" si="42"/>
        <v>18.583415830952408</v>
      </c>
      <c r="AX106" s="4">
        <f t="shared" si="43"/>
        <v>0</v>
      </c>
      <c r="AY106" s="4">
        <f t="shared" si="44"/>
        <v>1.0246838824354587</v>
      </c>
      <c r="AZ106" s="4">
        <f t="shared" si="45"/>
        <v>0</v>
      </c>
      <c r="BA106" s="4">
        <f t="shared" si="46"/>
        <v>7.9587773518072975</v>
      </c>
      <c r="BB106" s="4">
        <f t="shared" si="47"/>
        <v>0</v>
      </c>
      <c r="BC106" s="4">
        <f t="shared" si="48"/>
        <v>3.8506551862956426</v>
      </c>
      <c r="BD106" s="4">
        <f t="shared" si="49"/>
        <v>0</v>
      </c>
      <c r="BE106" s="4">
        <f t="shared" si="48"/>
        <v>5.029202601616297</v>
      </c>
      <c r="BF106" s="4">
        <f t="shared" si="50"/>
        <v>0</v>
      </c>
      <c r="BG106" s="4">
        <f t="shared" si="51"/>
        <v>1.5390184329494259</v>
      </c>
      <c r="BH106" s="4"/>
      <c r="BI106" s="4"/>
      <c r="BJ106" s="4"/>
      <c r="BK106" s="4">
        <f t="shared" si="31"/>
        <v>29.512174325600796</v>
      </c>
      <c r="BL106" s="4">
        <f t="shared" si="89"/>
        <v>0</v>
      </c>
      <c r="BM106" s="4">
        <f t="shared" si="31"/>
        <v>21.831127694413034</v>
      </c>
      <c r="BN106" s="4">
        <f t="shared" si="90"/>
        <v>0</v>
      </c>
      <c r="BO106" s="4">
        <f t="shared" si="32"/>
        <v>6.5301570555930741</v>
      </c>
      <c r="BP106" s="4">
        <f t="shared" si="90"/>
        <v>0</v>
      </c>
      <c r="BQ106" s="4">
        <f t="shared" si="91"/>
        <v>2.877769796805195</v>
      </c>
      <c r="BR106" s="4">
        <f t="shared" si="92"/>
        <v>0</v>
      </c>
      <c r="BS106" s="4">
        <f t="shared" si="93"/>
        <v>14.568815535808742</v>
      </c>
      <c r="BT106" s="4">
        <f t="shared" si="94"/>
        <v>0</v>
      </c>
      <c r="BU106" s="4">
        <f t="shared" si="33"/>
        <v>54.995505443867131</v>
      </c>
      <c r="BV106" s="4">
        <f t="shared" si="95"/>
        <v>0</v>
      </c>
      <c r="BW106" s="4">
        <f t="shared" si="96"/>
        <v>14.677244803928373</v>
      </c>
      <c r="BX106" s="4">
        <f t="shared" si="97"/>
        <v>0</v>
      </c>
      <c r="BY106" s="4">
        <f t="shared" si="34"/>
        <v>8.2876144009624113</v>
      </c>
      <c r="BZ106" s="4">
        <f t="shared" si="98"/>
        <v>0</v>
      </c>
      <c r="CA106" s="4">
        <f t="shared" si="99"/>
        <v>19.563977308303162</v>
      </c>
      <c r="CB106" s="4">
        <f t="shared" si="88"/>
        <v>0</v>
      </c>
      <c r="CC106" s="4">
        <f t="shared" si="100"/>
        <v>32.631626656743315</v>
      </c>
      <c r="CD106" s="4">
        <f t="shared" si="101"/>
        <v>0</v>
      </c>
      <c r="CE106" s="4">
        <f t="shared" si="102"/>
        <v>0</v>
      </c>
      <c r="CF106" s="4">
        <f t="shared" si="103"/>
        <v>0</v>
      </c>
      <c r="CG106" s="4">
        <f t="shared" si="104"/>
        <v>12.977306597402874</v>
      </c>
      <c r="CH106" s="4">
        <f t="shared" si="105"/>
        <v>0</v>
      </c>
      <c r="CI106" s="4">
        <f t="shared" si="35"/>
        <v>19.282612551395726</v>
      </c>
      <c r="CJ106" s="4">
        <f t="shared" si="106"/>
        <v>0</v>
      </c>
      <c r="CK106" s="4">
        <f t="shared" si="107"/>
        <v>0</v>
      </c>
      <c r="CL106" s="4">
        <f t="shared" si="108"/>
        <v>0</v>
      </c>
      <c r="CM106" s="4">
        <f t="shared" si="109"/>
        <v>30.773963294963234</v>
      </c>
      <c r="CN106" s="4">
        <f t="shared" si="110"/>
        <v>0</v>
      </c>
      <c r="CO106" s="4">
        <f t="shared" si="36"/>
        <v>13.24460175013717</v>
      </c>
    </row>
    <row r="107" spans="2:93" outlineLevel="2" x14ac:dyDescent="0.25">
      <c r="B107">
        <v>20</v>
      </c>
      <c r="D107" s="4">
        <f t="shared" si="37"/>
        <v>6.1350859024859767</v>
      </c>
      <c r="E107" s="4"/>
      <c r="F107">
        <f t="shared" si="52"/>
        <v>5.8933402555643148</v>
      </c>
      <c r="G107">
        <f t="shared" si="53"/>
        <v>0</v>
      </c>
      <c r="H107">
        <f t="shared" si="54"/>
        <v>0.64591883627843527</v>
      </c>
      <c r="I107">
        <f t="shared" si="55"/>
        <v>0</v>
      </c>
      <c r="J107">
        <f t="shared" si="56"/>
        <v>0.47778885556555595</v>
      </c>
      <c r="K107">
        <f t="shared" si="57"/>
        <v>0</v>
      </c>
      <c r="L107">
        <f t="shared" si="28"/>
        <v>7.3773254732867999</v>
      </c>
      <c r="M107">
        <f t="shared" si="58"/>
        <v>0</v>
      </c>
      <c r="N107">
        <f t="shared" si="59"/>
        <v>3.3140222275091622</v>
      </c>
      <c r="O107" s="4">
        <f t="shared" si="60"/>
        <v>0</v>
      </c>
      <c r="P107" s="4">
        <f t="shared" si="61"/>
        <v>10.352666593630735</v>
      </c>
      <c r="Q107" s="4">
        <f t="shared" si="62"/>
        <v>0</v>
      </c>
      <c r="R107">
        <f t="shared" si="63"/>
        <v>3.3829792819900346</v>
      </c>
      <c r="S107">
        <f t="shared" si="64"/>
        <v>0</v>
      </c>
      <c r="T107">
        <f t="shared" si="65"/>
        <v>0</v>
      </c>
      <c r="U107">
        <f t="shared" si="66"/>
        <v>0</v>
      </c>
      <c r="V107">
        <f t="shared" si="29"/>
        <v>2.5140752402119331</v>
      </c>
      <c r="W107">
        <f t="shared" si="67"/>
        <v>0</v>
      </c>
      <c r="X107">
        <f t="shared" si="68"/>
        <v>2.2618304541055858</v>
      </c>
      <c r="Y107">
        <f t="shared" si="69"/>
        <v>0</v>
      </c>
      <c r="Z107">
        <f t="shared" si="70"/>
        <v>0</v>
      </c>
      <c r="AA107">
        <f t="shared" si="71"/>
        <v>0</v>
      </c>
      <c r="AB107">
        <f t="shared" si="30"/>
        <v>2.1107767113699891</v>
      </c>
      <c r="AC107">
        <f t="shared" si="72"/>
        <v>0</v>
      </c>
      <c r="AD107">
        <f t="shared" si="73"/>
        <v>0.41814573139080802</v>
      </c>
      <c r="AE107">
        <f t="shared" si="74"/>
        <v>0</v>
      </c>
      <c r="AF107">
        <f t="shared" si="75"/>
        <v>2.5899372432431771</v>
      </c>
      <c r="AG107">
        <f t="shared" si="76"/>
        <v>0</v>
      </c>
      <c r="AH107" s="4">
        <f t="shared" si="77"/>
        <v>0.45998049466253654</v>
      </c>
      <c r="AI107" s="4">
        <f t="shared" si="78"/>
        <v>0</v>
      </c>
      <c r="AJ107" s="4">
        <f t="shared" si="79"/>
        <v>0.40414280803352526</v>
      </c>
      <c r="AK107" s="4">
        <f t="shared" si="80"/>
        <v>0</v>
      </c>
      <c r="AL107" s="4">
        <f t="shared" si="81"/>
        <v>0</v>
      </c>
      <c r="AM107" s="4">
        <f t="shared" si="82"/>
        <v>0</v>
      </c>
      <c r="AN107" s="4">
        <f t="shared" si="83"/>
        <v>2.5961664326173519</v>
      </c>
      <c r="AO107" s="4">
        <f t="shared" si="84"/>
        <v>0</v>
      </c>
      <c r="AP107" s="4">
        <f t="shared" si="85"/>
        <v>0</v>
      </c>
      <c r="AQ107" s="4">
        <f t="shared" si="86"/>
        <v>0</v>
      </c>
      <c r="AR107" s="4">
        <f t="shared" si="87"/>
        <v>0</v>
      </c>
      <c r="AS107" s="4">
        <f t="shared" si="38"/>
        <v>1.2555390896810594</v>
      </c>
      <c r="AT107" s="4">
        <f t="shared" si="39"/>
        <v>0</v>
      </c>
      <c r="AU107" s="4">
        <f t="shared" si="40"/>
        <v>0</v>
      </c>
      <c r="AV107" s="4">
        <f t="shared" si="41"/>
        <v>0</v>
      </c>
      <c r="AW107" s="4">
        <f t="shared" si="42"/>
        <v>15.204612952597426</v>
      </c>
      <c r="AX107" s="4">
        <f t="shared" si="43"/>
        <v>0</v>
      </c>
      <c r="AY107" s="4">
        <f t="shared" si="44"/>
        <v>0.74522464177124326</v>
      </c>
      <c r="AZ107" s="4">
        <f t="shared" si="45"/>
        <v>0</v>
      </c>
      <c r="BA107" s="4">
        <f t="shared" si="46"/>
        <v>6.1499643173056375</v>
      </c>
      <c r="BB107" s="4">
        <f t="shared" si="47"/>
        <v>0</v>
      </c>
      <c r="BC107" s="4">
        <f t="shared" si="48"/>
        <v>2.9755062803193608</v>
      </c>
      <c r="BD107" s="4">
        <f t="shared" si="49"/>
        <v>0</v>
      </c>
      <c r="BE107" s="4">
        <f t="shared" si="48"/>
        <v>3.8862020103398658</v>
      </c>
      <c r="BF107" s="4">
        <f t="shared" si="50"/>
        <v>0</v>
      </c>
      <c r="BG107" s="4">
        <f t="shared" si="51"/>
        <v>1.1192861330541286</v>
      </c>
      <c r="BH107" s="4"/>
      <c r="BI107" s="4"/>
      <c r="BJ107" s="4"/>
      <c r="BK107" s="4">
        <f t="shared" si="31"/>
        <v>22.804861978873348</v>
      </c>
      <c r="BL107" s="4">
        <f t="shared" si="89"/>
        <v>0</v>
      </c>
      <c r="BM107" s="4">
        <f t="shared" si="31"/>
        <v>16.869507763864615</v>
      </c>
      <c r="BN107" s="4">
        <f t="shared" si="90"/>
        <v>0</v>
      </c>
      <c r="BO107" s="4">
        <f t="shared" si="32"/>
        <v>5.3428557727579715</v>
      </c>
      <c r="BP107" s="4">
        <f t="shared" si="90"/>
        <v>0</v>
      </c>
      <c r="BQ107" s="4">
        <f t="shared" si="91"/>
        <v>2.0929234885855967</v>
      </c>
      <c r="BR107" s="4">
        <f t="shared" si="92"/>
        <v>0</v>
      </c>
      <c r="BS107" s="4">
        <f t="shared" si="93"/>
        <v>11.257721095852212</v>
      </c>
      <c r="BT107" s="4">
        <f t="shared" si="94"/>
        <v>0</v>
      </c>
      <c r="BU107" s="4">
        <f t="shared" si="33"/>
        <v>42.496526933897329</v>
      </c>
      <c r="BV107" s="4">
        <f t="shared" si="95"/>
        <v>0</v>
      </c>
      <c r="BW107" s="4">
        <f t="shared" si="96"/>
        <v>11.341507348490104</v>
      </c>
      <c r="BX107" s="4">
        <f t="shared" si="97"/>
        <v>0</v>
      </c>
      <c r="BY107" s="4">
        <f t="shared" si="34"/>
        <v>6.4040656734709529</v>
      </c>
      <c r="BZ107" s="4">
        <f t="shared" si="98"/>
        <v>0</v>
      </c>
      <c r="CA107" s="4">
        <f t="shared" si="99"/>
        <v>15.117618829143353</v>
      </c>
      <c r="CB107" s="4">
        <f t="shared" si="88"/>
        <v>0</v>
      </c>
      <c r="CC107" s="4">
        <f t="shared" si="100"/>
        <v>25.215347871119839</v>
      </c>
      <c r="CD107" s="4">
        <f t="shared" si="101"/>
        <v>0</v>
      </c>
      <c r="CE107" s="4">
        <f t="shared" si="102"/>
        <v>0</v>
      </c>
      <c r="CF107" s="4">
        <f t="shared" si="103"/>
        <v>0</v>
      </c>
      <c r="CG107" s="4">
        <f t="shared" si="104"/>
        <v>10.027918734356765</v>
      </c>
      <c r="CH107" s="4">
        <f t="shared" si="105"/>
        <v>0</v>
      </c>
      <c r="CI107" s="4">
        <f t="shared" si="35"/>
        <v>14.900200607896689</v>
      </c>
      <c r="CJ107" s="4">
        <f t="shared" si="106"/>
        <v>0</v>
      </c>
      <c r="CK107" s="4">
        <f t="shared" si="107"/>
        <v>0</v>
      </c>
      <c r="CL107" s="4">
        <f t="shared" si="108"/>
        <v>0</v>
      </c>
      <c r="CM107" s="4">
        <f t="shared" si="109"/>
        <v>23.779880727926141</v>
      </c>
      <c r="CN107" s="4">
        <f t="shared" si="110"/>
        <v>0</v>
      </c>
      <c r="CO107" s="4">
        <f t="shared" si="36"/>
        <v>10.234464988742355</v>
      </c>
    </row>
    <row r="108" spans="2:93" outlineLevel="2" x14ac:dyDescent="0.25">
      <c r="B108">
        <v>21</v>
      </c>
      <c r="D108" s="4">
        <f t="shared" si="37"/>
        <v>4.7407481973755248</v>
      </c>
      <c r="E108" s="4"/>
      <c r="F108">
        <f t="shared" si="52"/>
        <v>4.6610963839463233</v>
      </c>
      <c r="G108">
        <f t="shared" si="53"/>
        <v>0</v>
      </c>
      <c r="H108">
        <f t="shared" si="54"/>
        <v>0.46975915365704379</v>
      </c>
      <c r="I108">
        <f t="shared" si="55"/>
        <v>0</v>
      </c>
      <c r="J108">
        <f t="shared" si="56"/>
        <v>0.34748280404767701</v>
      </c>
      <c r="K108">
        <f t="shared" si="57"/>
        <v>0</v>
      </c>
      <c r="L108">
        <f t="shared" si="28"/>
        <v>5.7006605929943452</v>
      </c>
      <c r="M108">
        <f t="shared" si="58"/>
        <v>0</v>
      </c>
      <c r="N108">
        <f t="shared" si="59"/>
        <v>2.5608353576207157</v>
      </c>
      <c r="O108" s="4">
        <f t="shared" si="60"/>
        <v>0</v>
      </c>
      <c r="P108" s="4">
        <f t="shared" si="61"/>
        <v>7.9997878223510224</v>
      </c>
      <c r="Q108" s="4">
        <f t="shared" si="62"/>
        <v>0</v>
      </c>
      <c r="R108">
        <f t="shared" si="63"/>
        <v>2.7063834255920258</v>
      </c>
      <c r="S108">
        <f t="shared" si="64"/>
        <v>0</v>
      </c>
      <c r="T108">
        <f t="shared" si="65"/>
        <v>0</v>
      </c>
      <c r="U108">
        <f t="shared" si="66"/>
        <v>0</v>
      </c>
      <c r="V108">
        <f t="shared" si="29"/>
        <v>1.8284183565177687</v>
      </c>
      <c r="W108">
        <f t="shared" si="67"/>
        <v>0</v>
      </c>
      <c r="X108">
        <f t="shared" si="68"/>
        <v>1.7477780781724976</v>
      </c>
      <c r="Y108">
        <f t="shared" si="69"/>
        <v>0</v>
      </c>
      <c r="Z108">
        <f t="shared" si="70"/>
        <v>0</v>
      </c>
      <c r="AA108">
        <f t="shared" si="71"/>
        <v>0</v>
      </c>
      <c r="AB108">
        <f t="shared" si="30"/>
        <v>1.6310547315131727</v>
      </c>
      <c r="AC108">
        <f t="shared" si="72"/>
        <v>0</v>
      </c>
      <c r="AD108">
        <f t="shared" si="73"/>
        <v>0.30410598646604226</v>
      </c>
      <c r="AE108">
        <f t="shared" si="74"/>
        <v>0</v>
      </c>
      <c r="AF108">
        <f t="shared" si="75"/>
        <v>2.0013151425060909</v>
      </c>
      <c r="AG108">
        <f t="shared" si="76"/>
        <v>0</v>
      </c>
      <c r="AH108" s="4">
        <f t="shared" si="77"/>
        <v>0.33453126884548112</v>
      </c>
      <c r="AI108" s="4">
        <f t="shared" si="78"/>
        <v>0</v>
      </c>
      <c r="AJ108" s="4">
        <f t="shared" si="79"/>
        <v>0.29392204220620027</v>
      </c>
      <c r="AK108" s="4">
        <f t="shared" si="80"/>
        <v>0</v>
      </c>
      <c r="AL108" s="4">
        <f t="shared" si="81"/>
        <v>0</v>
      </c>
      <c r="AM108" s="4">
        <f t="shared" si="82"/>
        <v>0</v>
      </c>
      <c r="AN108" s="4">
        <f t="shared" si="83"/>
        <v>2.0061286070224997</v>
      </c>
      <c r="AO108" s="4">
        <f t="shared" si="84"/>
        <v>0</v>
      </c>
      <c r="AP108" s="4">
        <f t="shared" si="85"/>
        <v>0</v>
      </c>
      <c r="AQ108" s="4">
        <f t="shared" si="86"/>
        <v>0</v>
      </c>
      <c r="AR108" s="4">
        <f t="shared" si="87"/>
        <v>0</v>
      </c>
      <c r="AS108" s="4">
        <f t="shared" si="38"/>
        <v>0.91311933794986144</v>
      </c>
      <c r="AT108" s="4">
        <f t="shared" si="39"/>
        <v>0</v>
      </c>
      <c r="AU108" s="4">
        <f t="shared" si="40"/>
        <v>0</v>
      </c>
      <c r="AV108" s="4">
        <f t="shared" si="41"/>
        <v>0</v>
      </c>
      <c r="AW108" s="4">
        <f t="shared" si="42"/>
        <v>12.440137870306984</v>
      </c>
      <c r="AX108" s="4">
        <f t="shared" si="43"/>
        <v>0</v>
      </c>
      <c r="AY108" s="4">
        <f t="shared" si="44"/>
        <v>0.541981557651813</v>
      </c>
      <c r="AZ108" s="4">
        <f t="shared" si="45"/>
        <v>0</v>
      </c>
      <c r="BA108" s="4">
        <f t="shared" si="46"/>
        <v>4.7522451542816269</v>
      </c>
      <c r="BB108" s="4">
        <f t="shared" si="47"/>
        <v>0</v>
      </c>
      <c r="BC108" s="4">
        <f t="shared" si="48"/>
        <v>2.2992548529740509</v>
      </c>
      <c r="BD108" s="4">
        <f t="shared" si="49"/>
        <v>0</v>
      </c>
      <c r="BE108" s="4">
        <f t="shared" si="48"/>
        <v>3.0029742807171682</v>
      </c>
      <c r="BF108" s="4">
        <f t="shared" si="50"/>
        <v>0</v>
      </c>
      <c r="BG108" s="4">
        <f t="shared" si="51"/>
        <v>0.81402627858482068</v>
      </c>
      <c r="BH108" s="4"/>
      <c r="BI108" s="4"/>
      <c r="BJ108" s="4"/>
      <c r="BK108" s="4">
        <f t="shared" si="31"/>
        <v>17.621938801856675</v>
      </c>
      <c r="BL108" s="4">
        <f t="shared" si="89"/>
        <v>0</v>
      </c>
      <c r="BM108" s="4">
        <f t="shared" si="31"/>
        <v>13.035528726622653</v>
      </c>
      <c r="BN108" s="4">
        <f t="shared" si="90"/>
        <v>0</v>
      </c>
      <c r="BO108" s="4">
        <f t="shared" si="32"/>
        <v>4.3714274504383424</v>
      </c>
      <c r="BP108" s="4">
        <f t="shared" si="90"/>
        <v>0</v>
      </c>
      <c r="BQ108" s="4">
        <f t="shared" si="91"/>
        <v>1.522126173516797</v>
      </c>
      <c r="BR108" s="4">
        <f t="shared" si="92"/>
        <v>0</v>
      </c>
      <c r="BS108" s="4">
        <f t="shared" si="93"/>
        <v>8.699148119522162</v>
      </c>
      <c r="BT108" s="4">
        <f t="shared" si="94"/>
        <v>0</v>
      </c>
      <c r="BU108" s="4">
        <f t="shared" si="33"/>
        <v>32.83822535801157</v>
      </c>
      <c r="BV108" s="4">
        <f t="shared" si="95"/>
        <v>0</v>
      </c>
      <c r="BW108" s="4">
        <f t="shared" si="96"/>
        <v>8.7638920420150832</v>
      </c>
      <c r="BX108" s="4">
        <f t="shared" si="97"/>
        <v>0</v>
      </c>
      <c r="BY108" s="4">
        <f t="shared" si="34"/>
        <v>4.948596202227554</v>
      </c>
      <c r="BZ108" s="4">
        <f t="shared" si="98"/>
        <v>0</v>
      </c>
      <c r="CA108" s="4">
        <f t="shared" si="99"/>
        <v>11.681796367974405</v>
      </c>
      <c r="CB108" s="4">
        <f t="shared" si="88"/>
        <v>0</v>
      </c>
      <c r="CC108" s="4">
        <f t="shared" si="100"/>
        <v>19.484586991319865</v>
      </c>
      <c r="CD108" s="4">
        <f t="shared" si="101"/>
        <v>0</v>
      </c>
      <c r="CE108" s="4">
        <f t="shared" si="102"/>
        <v>0</v>
      </c>
      <c r="CF108" s="4">
        <f t="shared" si="103"/>
        <v>0</v>
      </c>
      <c r="CG108" s="4">
        <f t="shared" si="104"/>
        <v>7.7488462947302246</v>
      </c>
      <c r="CH108" s="4">
        <f t="shared" si="105"/>
        <v>0</v>
      </c>
      <c r="CI108" s="4">
        <f t="shared" si="35"/>
        <v>11.513791378829261</v>
      </c>
      <c r="CJ108" s="4">
        <f t="shared" si="106"/>
        <v>0</v>
      </c>
      <c r="CK108" s="4">
        <f t="shared" si="107"/>
        <v>0</v>
      </c>
      <c r="CL108" s="4">
        <f t="shared" si="108"/>
        <v>0</v>
      </c>
      <c r="CM108" s="4">
        <f t="shared" si="109"/>
        <v>18.375362380670197</v>
      </c>
      <c r="CN108" s="4">
        <f t="shared" si="110"/>
        <v>0</v>
      </c>
      <c r="CO108" s="4">
        <f t="shared" si="36"/>
        <v>7.9084502185736376</v>
      </c>
    </row>
    <row r="109" spans="2:93" outlineLevel="2" x14ac:dyDescent="0.25">
      <c r="B109">
        <v>22</v>
      </c>
      <c r="V109" s="4"/>
    </row>
    <row r="110" spans="2:93" outlineLevel="1" x14ac:dyDescent="0.25">
      <c r="B110" t="s">
        <v>261</v>
      </c>
      <c r="D110" s="5">
        <f>+D86/D14</f>
        <v>0.9688330743741973</v>
      </c>
      <c r="F110" s="5">
        <f>+F86/F14</f>
        <v>0.5783441657754822</v>
      </c>
      <c r="H110" s="5">
        <f>+H86/H14</f>
        <v>0.84398636960010798</v>
      </c>
      <c r="I110" s="5"/>
      <c r="J110" s="5">
        <f t="shared" ref="J110:K110" si="111">+J86/J14</f>
        <v>1.1331680512400217</v>
      </c>
      <c r="K110" s="5" t="e">
        <f t="shared" si="111"/>
        <v>#DIV/0!</v>
      </c>
      <c r="L110" s="5">
        <f>+L86/L14</f>
        <v>0.68463784764994517</v>
      </c>
      <c r="N110" s="5">
        <f>+N86/N14</f>
        <v>1.0562915799272665</v>
      </c>
      <c r="P110" s="5">
        <f>+P86/P14</f>
        <v>1.8711193520749239</v>
      </c>
      <c r="R110" s="5">
        <f t="shared" ref="R110:AB110" si="112">+R86/R14</f>
        <v>0.61616116703726742</v>
      </c>
      <c r="S110" t="e">
        <f t="shared" si="112"/>
        <v>#DIV/0!</v>
      </c>
      <c r="T110" t="e">
        <f t="shared" si="112"/>
        <v>#DIV/0!</v>
      </c>
      <c r="U110" t="e">
        <f t="shared" si="112"/>
        <v>#DIV/0!</v>
      </c>
      <c r="V110" s="4">
        <f>+V86/V14</f>
        <v>1.1977125618426698</v>
      </c>
      <c r="W110" t="e">
        <f t="shared" si="112"/>
        <v>#DIV/0!</v>
      </c>
      <c r="X110" s="4">
        <f t="shared" si="112"/>
        <v>0.38632288723293789</v>
      </c>
      <c r="Y110" t="e">
        <f t="shared" si="112"/>
        <v>#DIV/0!</v>
      </c>
      <c r="Z110" t="e">
        <f t="shared" si="112"/>
        <v>#DIV/0!</v>
      </c>
      <c r="AA110" t="e">
        <f t="shared" si="112"/>
        <v>#DIV/0!</v>
      </c>
      <c r="AB110" s="4">
        <f t="shared" si="112"/>
        <v>1</v>
      </c>
      <c r="AD110" s="4">
        <f>0+(+AD86/AD14)</f>
        <v>1.7850832653358051</v>
      </c>
      <c r="AF110" s="4">
        <f>0+(+AF86/AF14)</f>
        <v>0.92580394480849038</v>
      </c>
      <c r="AH110" s="5">
        <f>+AH86/AH14</f>
        <v>0.99175645680289737</v>
      </c>
      <c r="AJ110" s="5">
        <f>+AJ86/AJ14</f>
        <v>0.6646844498294332</v>
      </c>
      <c r="AK110" s="5" t="e">
        <f t="shared" ref="AK110:BG110" si="113">0+(+AK86/AK14)</f>
        <v>#DIV/0!</v>
      </c>
      <c r="AL110" s="5" t="e">
        <f t="shared" si="113"/>
        <v>#DIV/0!</v>
      </c>
      <c r="AM110" s="5" t="e">
        <f t="shared" si="113"/>
        <v>#DIV/0!</v>
      </c>
      <c r="AN110" s="5">
        <f>+AN86/AN14</f>
        <v>0.6965124679395609</v>
      </c>
      <c r="AO110" s="5" t="e">
        <f t="shared" si="113"/>
        <v>#DIV/0!</v>
      </c>
      <c r="AP110" s="5" t="e">
        <f t="shared" si="113"/>
        <v>#DIV/0!</v>
      </c>
      <c r="AQ110" s="5" t="e">
        <f t="shared" si="113"/>
        <v>#DIV/0!</v>
      </c>
      <c r="AR110" s="5" t="e">
        <f t="shared" si="113"/>
        <v>#DIV/0!</v>
      </c>
      <c r="AS110" s="5">
        <f t="shared" si="113"/>
        <v>1.2158490552059686</v>
      </c>
      <c r="AT110" s="5" t="e">
        <f t="shared" si="113"/>
        <v>#DIV/0!</v>
      </c>
      <c r="AU110" s="5" t="e">
        <f t="shared" si="113"/>
        <v>#DIV/0!</v>
      </c>
      <c r="AV110" s="5" t="e">
        <f t="shared" si="113"/>
        <v>#DIV/0!</v>
      </c>
      <c r="AW110" s="5">
        <f>0+(+AW86/AW14)</f>
        <v>1.1794118915568557</v>
      </c>
      <c r="AX110" s="5" t="e">
        <f t="shared" si="113"/>
        <v>#DIV/0!</v>
      </c>
      <c r="AY110" s="5">
        <f t="shared" si="113"/>
        <v>0.64224064148989024</v>
      </c>
      <c r="AZ110" s="5" t="e">
        <f t="shared" si="113"/>
        <v>#DIV/0!</v>
      </c>
      <c r="BA110" s="5">
        <f t="shared" si="113"/>
        <v>1.9905055553801603</v>
      </c>
      <c r="BB110" s="5" t="e">
        <f t="shared" si="113"/>
        <v>#DIV/0!</v>
      </c>
      <c r="BC110" s="5">
        <f t="shared" si="113"/>
        <v>0.89963615998733948</v>
      </c>
      <c r="BD110" s="5" t="e">
        <f t="shared" si="113"/>
        <v>#DIV/0!</v>
      </c>
      <c r="BE110" s="5">
        <f t="shared" ref="BE110" si="114">0+(+BE86/BE14)</f>
        <v>1.0358014698025135</v>
      </c>
      <c r="BF110" s="5" t="e">
        <f t="shared" si="113"/>
        <v>#DIV/0!</v>
      </c>
      <c r="BG110" s="5">
        <f t="shared" si="113"/>
        <v>0.95222872267666259</v>
      </c>
      <c r="BH110" s="5"/>
      <c r="BI110" s="5"/>
      <c r="BJ110" s="5"/>
      <c r="BK110" s="5">
        <f t="shared" ref="BK110" si="115">0+(+BK86/BK14)</f>
        <v>1.3512407594378018</v>
      </c>
      <c r="BL110" s="5"/>
      <c r="BM110" s="5">
        <f t="shared" ref="BM110" si="116">0+(+BM86/BM14)</f>
        <v>1.5586709726851402</v>
      </c>
      <c r="BN110" s="5"/>
      <c r="BO110" s="5">
        <f t="shared" ref="BO110" si="117">0+(+BO86/BO14)</f>
        <v>0.17207614960739145</v>
      </c>
      <c r="BP110" s="5"/>
      <c r="BQ110" s="5">
        <f t="shared" ref="BQ110:CO110" si="118">0+(+BQ86/BQ14)</f>
        <v>2.9782620544563154</v>
      </c>
      <c r="BS110" s="5">
        <f>+BS86/BS14</f>
        <v>2.0346970137791089</v>
      </c>
      <c r="BT110" s="5"/>
      <c r="BU110" s="5">
        <f t="shared" si="118"/>
        <v>2.1521243073213454</v>
      </c>
      <c r="BV110" s="5" t="e">
        <f t="shared" si="118"/>
        <v>#DIV/0!</v>
      </c>
      <c r="BW110" s="5">
        <f t="shared" si="118"/>
        <v>1.4903797422543317</v>
      </c>
      <c r="BX110" s="5"/>
      <c r="BY110" s="5">
        <f t="shared" ref="BY110" si="119">0+(+BY86/BY14)</f>
        <v>1.1563545976591592</v>
      </c>
      <c r="BZ110" s="5" t="e">
        <f t="shared" si="118"/>
        <v>#DIV/0!</v>
      </c>
      <c r="CA110" s="5">
        <f t="shared" si="118"/>
        <v>1.9064014154727553</v>
      </c>
      <c r="CB110" s="5" t="e">
        <f t="shared" si="118"/>
        <v>#DIV/0!</v>
      </c>
      <c r="CC110" s="5">
        <f t="shared" si="118"/>
        <v>3.1645044755255927</v>
      </c>
      <c r="CD110" s="5" t="e">
        <f t="shared" si="118"/>
        <v>#DIV/0!</v>
      </c>
      <c r="CE110" s="5" t="e">
        <f t="shared" si="118"/>
        <v>#DIV/0!</v>
      </c>
      <c r="CF110" s="5" t="e">
        <f t="shared" si="118"/>
        <v>#DIV/0!</v>
      </c>
      <c r="CG110" s="5">
        <f t="shared" si="118"/>
        <v>1.3656685010708101</v>
      </c>
      <c r="CH110" s="5" t="e">
        <f t="shared" si="118"/>
        <v>#DIV/0!</v>
      </c>
      <c r="CI110" s="5">
        <f t="shared" si="118"/>
        <v>2.0402046021574338</v>
      </c>
      <c r="CJ110" s="5" t="e">
        <f t="shared" si="118"/>
        <v>#DIV/0!</v>
      </c>
      <c r="CK110" s="5" t="e">
        <f t="shared" si="118"/>
        <v>#DIV/0!</v>
      </c>
      <c r="CL110" s="5" t="e">
        <f t="shared" si="118"/>
        <v>#DIV/0!</v>
      </c>
      <c r="CM110" s="5">
        <f t="shared" si="118"/>
        <v>1.7320555091462024</v>
      </c>
      <c r="CN110" s="5" t="e">
        <f t="shared" si="118"/>
        <v>#DIV/0!</v>
      </c>
      <c r="CO110" s="5">
        <f t="shared" si="118"/>
        <v>3.372989563464813</v>
      </c>
    </row>
    <row r="111" spans="2:93" outlineLevel="1" x14ac:dyDescent="0.25">
      <c r="B111" t="s">
        <v>295</v>
      </c>
      <c r="D111" s="5">
        <f>+D86/D68</f>
        <v>0.36940868631129087</v>
      </c>
      <c r="F111" s="5">
        <f t="shared" ref="F111:BG111" si="120">+F86/F68</f>
        <v>0.32269527303018353</v>
      </c>
      <c r="G111" s="5" t="e">
        <f t="shared" si="120"/>
        <v>#DIV/0!</v>
      </c>
      <c r="H111" s="5">
        <f t="shared" si="120"/>
        <v>0.33698209353800895</v>
      </c>
      <c r="I111" s="5" t="e">
        <f t="shared" si="120"/>
        <v>#DIV/0!</v>
      </c>
      <c r="J111" s="5">
        <f t="shared" si="120"/>
        <v>0.34234684327493109</v>
      </c>
      <c r="K111" s="5" t="e">
        <f t="shared" si="120"/>
        <v>#DIV/0!</v>
      </c>
      <c r="L111" s="5">
        <f t="shared" si="120"/>
        <v>0.5869761666426736</v>
      </c>
      <c r="M111" s="5" t="e">
        <f t="shared" si="120"/>
        <v>#DIV/0!</v>
      </c>
      <c r="N111" s="5">
        <f t="shared" si="120"/>
        <v>0.4070657547403338</v>
      </c>
      <c r="O111" s="5" t="e">
        <f t="shared" si="120"/>
        <v>#DIV/0!</v>
      </c>
      <c r="P111" s="5">
        <f t="shared" si="120"/>
        <v>0.43725829178148051</v>
      </c>
      <c r="Q111" s="5" t="e">
        <f t="shared" si="120"/>
        <v>#DIV/0!</v>
      </c>
      <c r="R111" s="5">
        <f t="shared" si="120"/>
        <v>0.3592397117938988</v>
      </c>
      <c r="S111" s="5" t="e">
        <f t="shared" si="120"/>
        <v>#DIV/0!</v>
      </c>
      <c r="T111" s="5" t="e">
        <f t="shared" si="120"/>
        <v>#DIV/0!</v>
      </c>
      <c r="U111" s="5" t="e">
        <f t="shared" si="120"/>
        <v>#DIV/0!</v>
      </c>
      <c r="V111" s="4">
        <f t="shared" ref="V111" si="121">+V86/V68</f>
        <v>0.39832775146866006</v>
      </c>
      <c r="W111" s="5" t="e">
        <f t="shared" si="120"/>
        <v>#DIV/0!</v>
      </c>
      <c r="X111" s="4">
        <f t="shared" si="120"/>
        <v>0.49588798564594638</v>
      </c>
      <c r="Y111" s="5" t="e">
        <f t="shared" si="120"/>
        <v>#DIV/0!</v>
      </c>
      <c r="Z111" s="5" t="e">
        <f t="shared" si="120"/>
        <v>#DIV/0!</v>
      </c>
      <c r="AA111" s="5" t="e">
        <f t="shared" si="120"/>
        <v>#DIV/0!</v>
      </c>
      <c r="AB111" s="5">
        <f t="shared" si="120"/>
        <v>0.20353644574481619</v>
      </c>
      <c r="AC111" s="5" t="e">
        <f t="shared" si="120"/>
        <v>#DIV/0!</v>
      </c>
      <c r="AD111" s="5">
        <f t="shared" si="120"/>
        <v>0.48715931558968223</v>
      </c>
      <c r="AE111" s="5"/>
      <c r="AF111" s="5">
        <f t="shared" ref="AF111" si="122">+AF86/AF68</f>
        <v>0.42604382067364766</v>
      </c>
      <c r="AG111" s="5" t="e">
        <f t="shared" si="120"/>
        <v>#DIV/0!</v>
      </c>
      <c r="AH111" s="5">
        <f t="shared" si="120"/>
        <v>0.45221295643114501</v>
      </c>
      <c r="AI111" s="5" t="e">
        <f t="shared" si="120"/>
        <v>#DIV/0!</v>
      </c>
      <c r="AJ111" s="5">
        <f t="shared" ref="AJ111" si="123">+AJ86/AJ68</f>
        <v>0.33445201113219941</v>
      </c>
      <c r="AK111" s="5" t="e">
        <f t="shared" si="120"/>
        <v>#DIV/0!</v>
      </c>
      <c r="AL111" s="5" t="e">
        <f t="shared" si="120"/>
        <v>#DIV/0!</v>
      </c>
      <c r="AM111" s="5" t="e">
        <f t="shared" si="120"/>
        <v>#DIV/0!</v>
      </c>
      <c r="AN111" s="5">
        <f t="shared" si="120"/>
        <v>0.42101118788452752</v>
      </c>
      <c r="AO111" s="5" t="e">
        <f t="shared" si="120"/>
        <v>#DIV/0!</v>
      </c>
      <c r="AP111" s="5" t="e">
        <f t="shared" si="120"/>
        <v>#DIV/0!</v>
      </c>
      <c r="AQ111" s="5" t="e">
        <f t="shared" si="120"/>
        <v>#DIV/0!</v>
      </c>
      <c r="AR111" s="5" t="e">
        <f t="shared" si="120"/>
        <v>#DIV/0!</v>
      </c>
      <c r="AS111" s="5">
        <f t="shared" si="120"/>
        <v>0.39557667652494155</v>
      </c>
      <c r="AT111" s="5" t="e">
        <f t="shared" si="120"/>
        <v>#DIV/0!</v>
      </c>
      <c r="AU111" s="5" t="e">
        <f t="shared" si="120"/>
        <v>#DIV/0!</v>
      </c>
      <c r="AV111" s="5" t="e">
        <f t="shared" si="120"/>
        <v>#DIV/0!</v>
      </c>
      <c r="AW111" s="5">
        <f t="shared" ref="AW111" si="124">+AW86/AW68</f>
        <v>0.34282117345838853</v>
      </c>
      <c r="AX111" s="5" t="e">
        <f t="shared" si="120"/>
        <v>#DIV/0!</v>
      </c>
      <c r="AY111" s="5">
        <f t="shared" si="120"/>
        <v>0.31163902041016278</v>
      </c>
      <c r="AZ111" s="5" t="e">
        <f t="shared" si="120"/>
        <v>#DIV/0!</v>
      </c>
      <c r="BA111" s="5">
        <f t="shared" si="120"/>
        <v>0.71224860884484831</v>
      </c>
      <c r="BB111" s="5" t="e">
        <f t="shared" si="120"/>
        <v>#DIV/0!</v>
      </c>
      <c r="BC111" s="5">
        <f t="shared" si="120"/>
        <v>0.36215599124848125</v>
      </c>
      <c r="BD111" s="5" t="e">
        <f t="shared" si="120"/>
        <v>#DIV/0!</v>
      </c>
      <c r="BE111" s="5">
        <f t="shared" ref="BE111" si="125">+BE86/BE68</f>
        <v>0.53527168422571403</v>
      </c>
      <c r="BF111" s="5" t="e">
        <f t="shared" si="120"/>
        <v>#DIV/0!</v>
      </c>
      <c r="BG111" s="5">
        <f t="shared" si="120"/>
        <v>0.421375664027757</v>
      </c>
      <c r="BH111" s="5"/>
      <c r="BI111" s="5"/>
      <c r="BJ111" s="5"/>
      <c r="BK111" s="5">
        <f t="shared" ref="BK111" si="126">+BK86/BK68</f>
        <v>0.76251744737531202</v>
      </c>
      <c r="BL111" s="5"/>
      <c r="BM111" s="5">
        <f t="shared" ref="BM111" si="127">+BM86/BM68</f>
        <v>0.79065953502188147</v>
      </c>
      <c r="BN111" s="5"/>
      <c r="BO111" s="5" t="e">
        <f t="shared" ref="BO111" si="128">+BO86/BO68</f>
        <v>#DIV/0!</v>
      </c>
      <c r="BP111" s="5"/>
      <c r="BQ111" s="5">
        <f t="shared" ref="BQ111:CO111" si="129">+BQ86/BQ68</f>
        <v>0.93448376389668097</v>
      </c>
      <c r="BR111" s="5" t="e">
        <f t="shared" si="129"/>
        <v>#DIV/0!</v>
      </c>
      <c r="BS111" s="5">
        <f t="shared" si="129"/>
        <v>0.47548444173341403</v>
      </c>
      <c r="BT111" s="5"/>
      <c r="BU111" s="5">
        <f t="shared" si="129"/>
        <v>0.48095107225219591</v>
      </c>
      <c r="BV111" s="5" t="e">
        <f t="shared" si="129"/>
        <v>#DIV/0!</v>
      </c>
      <c r="BW111" s="5">
        <f t="shared" si="129"/>
        <v>0.46096678261946555</v>
      </c>
      <c r="BX111" s="5"/>
      <c r="BY111" s="5">
        <f t="shared" ref="BY111" si="130">+BY86/BY68</f>
        <v>0.44762825462094902</v>
      </c>
      <c r="BZ111" s="5" t="e">
        <f t="shared" si="129"/>
        <v>#DIV/0!</v>
      </c>
      <c r="CA111" s="5">
        <f t="shared" si="129"/>
        <v>0.96366945089785327</v>
      </c>
      <c r="CB111" s="5" t="e">
        <f t="shared" si="129"/>
        <v>#DIV/0!</v>
      </c>
      <c r="CC111" s="5">
        <f t="shared" si="129"/>
        <v>0.58945394305810206</v>
      </c>
      <c r="CD111" s="5" t="e">
        <f t="shared" si="129"/>
        <v>#DIV/0!</v>
      </c>
      <c r="CE111" s="5" t="e">
        <f t="shared" si="129"/>
        <v>#DIV/0!</v>
      </c>
      <c r="CF111" s="5" t="e">
        <f t="shared" si="129"/>
        <v>#DIV/0!</v>
      </c>
      <c r="CG111" s="5">
        <f t="shared" si="129"/>
        <v>0.58388979267499297</v>
      </c>
      <c r="CH111" s="5" t="e">
        <f t="shared" si="129"/>
        <v>#DIV/0!</v>
      </c>
      <c r="CI111" s="5">
        <f t="shared" si="129"/>
        <v>0.82629107305169025</v>
      </c>
      <c r="CJ111" s="5" t="e">
        <f t="shared" si="129"/>
        <v>#DIV/0!</v>
      </c>
      <c r="CK111" s="5" t="e">
        <f t="shared" si="129"/>
        <v>#DIV/0!</v>
      </c>
      <c r="CL111" s="5" t="e">
        <f t="shared" si="129"/>
        <v>#DIV/0!</v>
      </c>
      <c r="CM111" s="5">
        <f t="shared" si="129"/>
        <v>0.64762591738228181</v>
      </c>
      <c r="CN111" s="5" t="e">
        <f t="shared" si="129"/>
        <v>#DIV/0!</v>
      </c>
      <c r="CO111" s="5">
        <f t="shared" si="129"/>
        <v>0.60638583388522804</v>
      </c>
    </row>
    <row r="112" spans="2:93" outlineLevel="1" x14ac:dyDescent="0.25">
      <c r="D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4"/>
      <c r="W112" s="5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</row>
    <row r="113" spans="1:93" outlineLevel="1" x14ac:dyDescent="0.25">
      <c r="A113" t="s">
        <v>332</v>
      </c>
      <c r="D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4"/>
      <c r="W113" s="5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</row>
    <row r="115" spans="1:93" x14ac:dyDescent="0.25">
      <c r="D115" s="40" t="s">
        <v>292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P115" s="40"/>
      <c r="Q115" s="40"/>
      <c r="R115" s="40"/>
      <c r="S115" s="40"/>
      <c r="T115" s="40"/>
    </row>
    <row r="117" spans="1:93" x14ac:dyDescent="0.25">
      <c r="B117" t="s">
        <v>294</v>
      </c>
      <c r="D117" s="47">
        <f>+F86</f>
        <v>3036.8852144870571</v>
      </c>
      <c r="E117" s="46">
        <v>2</v>
      </c>
      <c r="F117" s="12">
        <v>2.25</v>
      </c>
      <c r="G117" s="12">
        <v>2.5</v>
      </c>
      <c r="H117" s="12">
        <v>2.5</v>
      </c>
      <c r="I117" s="12">
        <v>3</v>
      </c>
      <c r="J117" s="12">
        <v>2.75</v>
      </c>
      <c r="K117" s="12">
        <v>3.5</v>
      </c>
      <c r="L117" s="12">
        <v>3</v>
      </c>
      <c r="M117" s="12">
        <v>4</v>
      </c>
      <c r="N117" s="12">
        <v>3.25</v>
      </c>
      <c r="O117" s="12"/>
      <c r="P117" s="12">
        <v>3.5</v>
      </c>
      <c r="Q117" s="12"/>
      <c r="R117" s="12">
        <v>3.75</v>
      </c>
      <c r="T117" s="12">
        <v>4</v>
      </c>
    </row>
    <row r="118" spans="1:93" x14ac:dyDescent="0.25">
      <c r="D118" s="12">
        <v>35</v>
      </c>
      <c r="E118">
        <f t="dataTable" ref="E118:T129" dt2D="1" dtr="1" r1="B87" r2="B86"/>
        <v>1529.8554461877272</v>
      </c>
      <c r="F118" s="8">
        <v>1599.912596636417</v>
      </c>
      <c r="G118" s="8">
        <v>1669.9697470851061</v>
      </c>
      <c r="H118" s="8">
        <v>1669.9697470851061</v>
      </c>
      <c r="I118" s="8">
        <v>1810.0840479824847</v>
      </c>
      <c r="J118" s="8">
        <v>1740.0268975337947</v>
      </c>
      <c r="K118" s="8">
        <v>1950.1983488798628</v>
      </c>
      <c r="L118" s="8">
        <v>1810.0840479824847</v>
      </c>
      <c r="M118" s="8">
        <v>2090.3126497772414</v>
      </c>
      <c r="N118" s="8">
        <v>1880.1411984311744</v>
      </c>
      <c r="O118" s="8">
        <v>969.39824259821273</v>
      </c>
      <c r="P118" s="8">
        <v>1950.1983488798628</v>
      </c>
      <c r="Q118" s="8">
        <v>969.39824259821273</v>
      </c>
      <c r="R118" s="8">
        <v>2020.2554993285523</v>
      </c>
      <c r="S118">
        <v>969.39824259821273</v>
      </c>
      <c r="T118" s="8">
        <v>2090.3126497772414</v>
      </c>
    </row>
    <row r="119" spans="1:93" x14ac:dyDescent="0.25">
      <c r="D119" s="12">
        <v>40</v>
      </c>
      <c r="E119">
        <v>2150.1615495454034</v>
      </c>
      <c r="F119" s="8">
        <v>2220.2186999940918</v>
      </c>
      <c r="G119" s="8">
        <v>2290.275850442782</v>
      </c>
      <c r="H119" s="8">
        <v>2290.275850442782</v>
      </c>
      <c r="I119" s="8">
        <v>2430.3901513401606</v>
      </c>
      <c r="J119" s="8">
        <v>2360.3330008914718</v>
      </c>
      <c r="K119" s="8">
        <v>2570.5044522375397</v>
      </c>
      <c r="L119" s="8">
        <v>2430.3901513401606</v>
      </c>
      <c r="M119" s="8">
        <v>2710.6187531349174</v>
      </c>
      <c r="N119" s="8">
        <v>2500.4473017888508</v>
      </c>
      <c r="O119" s="8">
        <v>1589.704345955889</v>
      </c>
      <c r="P119" s="8">
        <v>2570.5044522375397</v>
      </c>
      <c r="Q119" s="8">
        <v>1589.704345955889</v>
      </c>
      <c r="R119" s="8">
        <v>2640.5616026862272</v>
      </c>
      <c r="S119">
        <v>1589.704345955889</v>
      </c>
      <c r="T119" s="8">
        <v>2710.6187531349174</v>
      </c>
    </row>
    <row r="120" spans="1:93" x14ac:dyDescent="0.25">
      <c r="D120" s="12">
        <v>45</v>
      </c>
      <c r="E120">
        <v>2770.4676529030789</v>
      </c>
      <c r="F120" s="8">
        <v>2840.5248033517678</v>
      </c>
      <c r="G120" s="8">
        <v>2910.581953800458</v>
      </c>
      <c r="H120" s="8">
        <v>2910.581953800458</v>
      </c>
      <c r="I120" s="8">
        <v>3050.6962546978357</v>
      </c>
      <c r="J120" s="8">
        <v>2980.6391042491468</v>
      </c>
      <c r="K120" s="8">
        <v>3190.8105555952152</v>
      </c>
      <c r="L120" s="8">
        <v>3050.6962546978357</v>
      </c>
      <c r="M120" s="8">
        <v>3330.9248564925942</v>
      </c>
      <c r="N120" s="8">
        <v>3120.7534051465254</v>
      </c>
      <c r="O120" s="8">
        <v>2210.0104493135655</v>
      </c>
      <c r="P120" s="8">
        <v>3190.8105555952152</v>
      </c>
      <c r="Q120" s="8">
        <v>2210.0104493135655</v>
      </c>
      <c r="R120" s="8">
        <v>3260.8677060439045</v>
      </c>
      <c r="S120">
        <v>2210.0104493135655</v>
      </c>
      <c r="T120" s="8">
        <v>3330.9248564925942</v>
      </c>
    </row>
    <row r="121" spans="1:93" x14ac:dyDescent="0.25">
      <c r="D121" s="12">
        <v>50</v>
      </c>
      <c r="E121">
        <v>3390.7737562607531</v>
      </c>
      <c r="F121" s="8">
        <v>3460.8309067094438</v>
      </c>
      <c r="G121" s="8">
        <v>3530.8880571581321</v>
      </c>
      <c r="H121" s="8">
        <v>3530.8880571581321</v>
      </c>
      <c r="I121" s="8">
        <v>3671.0023580555107</v>
      </c>
      <c r="J121" s="8">
        <v>3600.9452076068219</v>
      </c>
      <c r="K121" s="8">
        <v>3811.1166589528893</v>
      </c>
      <c r="L121" s="8">
        <v>3671.0023580555107</v>
      </c>
      <c r="M121" s="8">
        <v>3951.2309598502688</v>
      </c>
      <c r="N121" s="8">
        <v>3741.0595085042005</v>
      </c>
      <c r="O121" s="8">
        <v>2830.3165526712387</v>
      </c>
      <c r="P121" s="8">
        <v>3811.1166589528893</v>
      </c>
      <c r="Q121" s="8">
        <v>2830.3165526712387</v>
      </c>
      <c r="R121" s="8">
        <v>3881.1738094015786</v>
      </c>
      <c r="S121">
        <v>2830.3165526712387</v>
      </c>
      <c r="T121" s="8">
        <v>3951.2309598502688</v>
      </c>
    </row>
    <row r="122" spans="1:93" x14ac:dyDescent="0.25">
      <c r="D122" s="12">
        <v>55</v>
      </c>
      <c r="E122">
        <v>4011.0798596184281</v>
      </c>
      <c r="F122" s="8">
        <v>4081.1370100671197</v>
      </c>
      <c r="G122" s="8">
        <v>4151.1941605158099</v>
      </c>
      <c r="H122" s="8">
        <v>4151.1941605158099</v>
      </c>
      <c r="I122" s="8">
        <v>4291.3084614131876</v>
      </c>
      <c r="J122" s="8">
        <v>4221.251310964497</v>
      </c>
      <c r="K122" s="8">
        <v>4431.4227623105644</v>
      </c>
      <c r="L122" s="8">
        <v>4291.3084614131876</v>
      </c>
      <c r="M122" s="8">
        <v>4571.5370632079448</v>
      </c>
      <c r="N122" s="8">
        <v>4361.3656118618774</v>
      </c>
      <c r="O122" s="8">
        <v>3450.622656028916</v>
      </c>
      <c r="P122" s="8">
        <v>4431.4227623105644</v>
      </c>
      <c r="Q122" s="8">
        <v>3450.622656028916</v>
      </c>
      <c r="R122" s="8">
        <v>4501.4799127592541</v>
      </c>
      <c r="S122">
        <v>3450.622656028916</v>
      </c>
      <c r="T122" s="8">
        <v>4571.5370632079448</v>
      </c>
    </row>
    <row r="123" spans="1:93" x14ac:dyDescent="0.25">
      <c r="D123" s="12">
        <v>60</v>
      </c>
      <c r="E123">
        <v>4631.3859629761064</v>
      </c>
      <c r="F123" s="8">
        <v>4701.4431134247961</v>
      </c>
      <c r="G123" s="8">
        <v>4771.500263873485</v>
      </c>
      <c r="H123" s="8">
        <v>4771.500263873485</v>
      </c>
      <c r="I123" s="8">
        <v>4911.6145647708654</v>
      </c>
      <c r="J123" s="8">
        <v>4841.5574143221738</v>
      </c>
      <c r="K123" s="8">
        <v>5051.7288656682431</v>
      </c>
      <c r="L123" s="8">
        <v>4911.6145647708654</v>
      </c>
      <c r="M123" s="8">
        <v>5191.8431665656208</v>
      </c>
      <c r="N123" s="8">
        <v>4981.6717152195524</v>
      </c>
      <c r="O123" s="8">
        <v>4070.928759386592</v>
      </c>
      <c r="P123" s="8">
        <v>5051.7288656682431</v>
      </c>
      <c r="Q123" s="8">
        <v>4070.928759386592</v>
      </c>
      <c r="R123" s="8">
        <v>5121.7860161169301</v>
      </c>
      <c r="S123">
        <v>4070.928759386592</v>
      </c>
      <c r="T123" s="8">
        <v>5191.8431665656208</v>
      </c>
    </row>
    <row r="124" spans="1:93" x14ac:dyDescent="0.25">
      <c r="D124" s="12">
        <v>65</v>
      </c>
      <c r="E124">
        <v>5251.6920663337814</v>
      </c>
      <c r="F124" s="8">
        <v>5321.7492167824721</v>
      </c>
      <c r="G124" s="8">
        <v>5391.8063672311628</v>
      </c>
      <c r="H124" s="8">
        <v>5391.8063672311628</v>
      </c>
      <c r="I124" s="8">
        <v>5531.9206681285395</v>
      </c>
      <c r="J124" s="8">
        <v>5461.8635176798516</v>
      </c>
      <c r="K124" s="8">
        <v>5672.03496902592</v>
      </c>
      <c r="L124" s="8">
        <v>5531.9206681285395</v>
      </c>
      <c r="M124" s="8">
        <v>5812.1492699232967</v>
      </c>
      <c r="N124" s="8">
        <v>5601.9778185772302</v>
      </c>
      <c r="O124" s="8">
        <v>4691.2348627442689</v>
      </c>
      <c r="P124" s="8">
        <v>5672.03496902592</v>
      </c>
      <c r="Q124" s="8">
        <v>4691.2348627442689</v>
      </c>
      <c r="R124" s="8">
        <v>5742.092119474607</v>
      </c>
      <c r="S124">
        <v>4691.2348627442689</v>
      </c>
      <c r="T124" s="8">
        <v>5812.1492699232967</v>
      </c>
    </row>
    <row r="125" spans="1:93" x14ac:dyDescent="0.25">
      <c r="D125" s="12">
        <v>70</v>
      </c>
      <c r="E125">
        <v>5871.9981696914583</v>
      </c>
      <c r="F125" s="8">
        <v>5942.0553201401481</v>
      </c>
      <c r="G125" s="8">
        <v>6012.112470588836</v>
      </c>
      <c r="H125" s="8">
        <v>6012.112470588836</v>
      </c>
      <c r="I125" s="8">
        <v>6152.2267714862146</v>
      </c>
      <c r="J125" s="8">
        <v>6082.1696210375248</v>
      </c>
      <c r="K125" s="8">
        <v>6292.3410723835923</v>
      </c>
      <c r="L125" s="8">
        <v>6152.2267714862146</v>
      </c>
      <c r="M125" s="8">
        <v>6432.4553732809718</v>
      </c>
      <c r="N125" s="8">
        <v>6222.2839219349025</v>
      </c>
      <c r="O125" s="8">
        <v>5311.5409661019448</v>
      </c>
      <c r="P125" s="8">
        <v>6292.3410723835923</v>
      </c>
      <c r="Q125" s="8">
        <v>5311.5409661019448</v>
      </c>
      <c r="R125" s="8">
        <v>6362.398222832283</v>
      </c>
      <c r="S125">
        <v>5311.5409661019448</v>
      </c>
      <c r="T125" s="8">
        <v>6432.4553732809718</v>
      </c>
    </row>
    <row r="126" spans="1:93" x14ac:dyDescent="0.25">
      <c r="D126" s="12">
        <v>75</v>
      </c>
      <c r="E126">
        <v>6492.3042730491352</v>
      </c>
      <c r="F126" s="8">
        <v>6562.3614234978231</v>
      </c>
      <c r="G126" s="8">
        <v>6632.418573946512</v>
      </c>
      <c r="H126" s="8">
        <v>6632.418573946512</v>
      </c>
      <c r="I126" s="8">
        <v>6772.5328748438915</v>
      </c>
      <c r="J126" s="8">
        <v>6702.4757243952008</v>
      </c>
      <c r="K126" s="8">
        <v>6912.6471757412701</v>
      </c>
      <c r="L126" s="8">
        <v>6772.5328748438915</v>
      </c>
      <c r="M126" s="8">
        <v>7052.7614766386478</v>
      </c>
      <c r="N126" s="8">
        <v>6842.5900252925776</v>
      </c>
      <c r="O126" s="8">
        <v>5931.847069459619</v>
      </c>
      <c r="P126" s="8">
        <v>6912.6471757412701</v>
      </c>
      <c r="Q126" s="8">
        <v>5931.847069459619</v>
      </c>
      <c r="R126" s="8">
        <v>6982.7043261899607</v>
      </c>
      <c r="S126">
        <v>5931.847069459619</v>
      </c>
      <c r="T126" s="8">
        <v>7052.7614766386478</v>
      </c>
    </row>
    <row r="127" spans="1:93" x14ac:dyDescent="0.25">
      <c r="D127" s="12">
        <v>80</v>
      </c>
      <c r="E127">
        <v>7112.6103764068093</v>
      </c>
      <c r="F127" s="8">
        <v>7182.6675268555018</v>
      </c>
      <c r="G127" s="8">
        <v>7252.7246773041898</v>
      </c>
      <c r="H127" s="8">
        <v>7252.7246773041898</v>
      </c>
      <c r="I127" s="8">
        <v>7392.8389782015674</v>
      </c>
      <c r="J127" s="8">
        <v>7322.7818277528786</v>
      </c>
      <c r="K127" s="8">
        <v>7532.953279098947</v>
      </c>
      <c r="L127" s="8">
        <v>7392.8389782015674</v>
      </c>
      <c r="M127" s="8">
        <v>7673.0675799963246</v>
      </c>
      <c r="N127" s="8">
        <v>7462.8961286502572</v>
      </c>
      <c r="O127" s="8">
        <v>6552.1531728172968</v>
      </c>
      <c r="P127" s="8">
        <v>7532.953279098947</v>
      </c>
      <c r="Q127" s="8">
        <v>6552.1531728172968</v>
      </c>
      <c r="R127" s="8">
        <v>7603.0104295476367</v>
      </c>
      <c r="S127">
        <v>6552.1531728172968</v>
      </c>
      <c r="T127" s="8">
        <v>7673.0675799963246</v>
      </c>
    </row>
    <row r="128" spans="1:93" x14ac:dyDescent="0.25">
      <c r="D128" s="12">
        <v>85</v>
      </c>
      <c r="E128">
        <v>7732.916479764488</v>
      </c>
      <c r="F128" s="8">
        <v>7802.9736302131769</v>
      </c>
      <c r="G128" s="8">
        <v>7873.0307806618666</v>
      </c>
      <c r="H128" s="8">
        <v>7873.0307806618666</v>
      </c>
      <c r="I128" s="8">
        <v>8013.1450815592443</v>
      </c>
      <c r="J128" s="8">
        <v>7943.0879311105546</v>
      </c>
      <c r="K128" s="8">
        <v>8153.2593824566238</v>
      </c>
      <c r="L128" s="8">
        <v>8013.1450815592443</v>
      </c>
      <c r="M128" s="8">
        <v>8293.3736833540024</v>
      </c>
      <c r="N128" s="8">
        <v>8083.2022320079304</v>
      </c>
      <c r="O128" s="8">
        <v>7172.4592761749709</v>
      </c>
      <c r="P128" s="8">
        <v>8153.2593824566238</v>
      </c>
      <c r="Q128" s="8">
        <v>7172.4592761749709</v>
      </c>
      <c r="R128" s="8">
        <v>8223.3165329053118</v>
      </c>
      <c r="S128">
        <v>7172.4592761749709</v>
      </c>
      <c r="T128" s="8">
        <v>8293.3736833540024</v>
      </c>
    </row>
    <row r="129" spans="4:20" x14ac:dyDescent="0.25">
      <c r="D129" s="12">
        <v>90</v>
      </c>
      <c r="E129">
        <v>8353.2225831221604</v>
      </c>
      <c r="F129" s="8">
        <v>8423.279733570851</v>
      </c>
      <c r="G129" s="8">
        <v>8493.3368840195399</v>
      </c>
      <c r="H129" s="8">
        <v>8493.3368840195399</v>
      </c>
      <c r="I129" s="8">
        <v>8633.4511849169212</v>
      </c>
      <c r="J129" s="8">
        <v>8563.3940344682305</v>
      </c>
      <c r="K129" s="8">
        <v>8773.5654858142989</v>
      </c>
      <c r="L129" s="8">
        <v>8633.4511849169212</v>
      </c>
      <c r="M129" s="8">
        <v>8913.6797867116766</v>
      </c>
      <c r="N129" s="8">
        <v>8703.5083353656119</v>
      </c>
      <c r="O129" s="8">
        <v>7792.7653795326469</v>
      </c>
      <c r="P129" s="8">
        <v>8773.5654858142989</v>
      </c>
      <c r="Q129" s="8">
        <v>7792.7653795326469</v>
      </c>
      <c r="R129" s="8">
        <v>8843.6226362629895</v>
      </c>
      <c r="S129">
        <v>7792.7653795326469</v>
      </c>
      <c r="T129" s="8">
        <v>8913.6797867116766</v>
      </c>
    </row>
    <row r="132" spans="4:20" x14ac:dyDescent="0.25">
      <c r="D132" s="47">
        <f>F14</f>
        <v>5251</v>
      </c>
      <c r="E132" s="46">
        <v>2</v>
      </c>
      <c r="F132" s="12">
        <v>2.25</v>
      </c>
      <c r="G132" s="12">
        <v>2.5</v>
      </c>
      <c r="H132" s="12">
        <v>2.5</v>
      </c>
      <c r="I132" s="12">
        <v>3</v>
      </c>
      <c r="J132" s="12">
        <v>2.75</v>
      </c>
      <c r="K132" s="12">
        <v>3.5</v>
      </c>
      <c r="L132" s="12">
        <v>3</v>
      </c>
      <c r="M132" s="12">
        <v>4</v>
      </c>
      <c r="N132" s="12">
        <v>3.25</v>
      </c>
      <c r="O132" s="12"/>
      <c r="P132" s="12">
        <v>3.5</v>
      </c>
      <c r="Q132" s="12"/>
      <c r="R132" s="12">
        <v>3.75</v>
      </c>
      <c r="T132" s="12">
        <v>4</v>
      </c>
    </row>
    <row r="133" spans="4:20" x14ac:dyDescent="0.25">
      <c r="D133" s="12">
        <v>35</v>
      </c>
      <c r="E133">
        <v>2713.537686828377</v>
      </c>
      <c r="F133" s="2">
        <f>+F118/$D$132</f>
        <v>0.30468722084106209</v>
      </c>
      <c r="G133" s="8">
        <v>3588.9320572289962</v>
      </c>
      <c r="H133" s="2">
        <f t="shared" ref="H133:R133" si="131">+H118/$D$132</f>
        <v>0.31802889870217216</v>
      </c>
      <c r="I133" s="2">
        <f t="shared" si="131"/>
        <v>0.34471225442439241</v>
      </c>
      <c r="J133" s="2">
        <f t="shared" si="131"/>
        <v>0.33137057656328217</v>
      </c>
      <c r="K133" s="2">
        <f t="shared" si="131"/>
        <v>0.3713956101466126</v>
      </c>
      <c r="L133" s="2">
        <f t="shared" si="131"/>
        <v>0.34471225442439241</v>
      </c>
      <c r="M133" s="2">
        <f t="shared" si="131"/>
        <v>0.39807896586883285</v>
      </c>
      <c r="N133" s="2">
        <f t="shared" si="131"/>
        <v>0.35805393228550264</v>
      </c>
      <c r="O133" s="2">
        <f t="shared" si="131"/>
        <v>0.18461212009107078</v>
      </c>
      <c r="P133" s="2">
        <f t="shared" si="131"/>
        <v>0.3713956101466126</v>
      </c>
      <c r="Q133" s="2">
        <f t="shared" si="131"/>
        <v>0.18461212009107078</v>
      </c>
      <c r="R133" s="2">
        <f t="shared" si="131"/>
        <v>0.38473728800772278</v>
      </c>
      <c r="T133" s="2">
        <f t="shared" ref="T133" si="132">+T118/$D$132</f>
        <v>0.39807896586883285</v>
      </c>
    </row>
    <row r="134" spans="4:20" x14ac:dyDescent="0.25">
      <c r="D134" s="12">
        <v>40</v>
      </c>
      <c r="E134">
        <v>3347.2867362329939</v>
      </c>
      <c r="F134" s="2">
        <f t="shared" ref="F134:R141" si="133">+F119/$D$132</f>
        <v>0.42281826318683907</v>
      </c>
      <c r="G134" s="8">
        <v>4222.6811066336131</v>
      </c>
      <c r="H134" s="2">
        <f t="shared" si="133"/>
        <v>0.43615994104794936</v>
      </c>
      <c r="I134" s="2">
        <f t="shared" si="133"/>
        <v>0.46284329677016961</v>
      </c>
      <c r="J134" s="2">
        <f t="shared" si="133"/>
        <v>0.44950161890905954</v>
      </c>
      <c r="K134" s="2">
        <f t="shared" si="133"/>
        <v>0.48952665249238997</v>
      </c>
      <c r="L134" s="2">
        <f t="shared" si="133"/>
        <v>0.46284329677016961</v>
      </c>
      <c r="M134" s="2">
        <f t="shared" si="133"/>
        <v>0.51621000821461005</v>
      </c>
      <c r="N134" s="2">
        <f t="shared" si="133"/>
        <v>0.4761849746312799</v>
      </c>
      <c r="O134" s="2">
        <f t="shared" si="133"/>
        <v>0.30274316243684801</v>
      </c>
      <c r="P134" s="2">
        <f t="shared" si="133"/>
        <v>0.48952665249238997</v>
      </c>
      <c r="Q134" s="2">
        <f t="shared" si="133"/>
        <v>0.30274316243684801</v>
      </c>
      <c r="R134" s="2">
        <f t="shared" si="133"/>
        <v>0.50286833035349976</v>
      </c>
      <c r="T134" s="2">
        <f t="shared" ref="T134" si="134">+T119/$D$132</f>
        <v>0.51621000821461005</v>
      </c>
    </row>
    <row r="135" spans="4:20" x14ac:dyDescent="0.25">
      <c r="D135" s="12">
        <v>45</v>
      </c>
      <c r="E135">
        <v>3981.0357856376095</v>
      </c>
      <c r="F135" s="2">
        <f t="shared" si="133"/>
        <v>0.54094930553261622</v>
      </c>
      <c r="G135" s="8">
        <v>4856.4301560382282</v>
      </c>
      <c r="H135" s="2">
        <f t="shared" si="133"/>
        <v>0.55429098339372651</v>
      </c>
      <c r="I135" s="2">
        <f t="shared" si="133"/>
        <v>0.58097433911594665</v>
      </c>
      <c r="J135" s="2">
        <f t="shared" si="133"/>
        <v>0.56763266125483658</v>
      </c>
      <c r="K135" s="2">
        <f t="shared" si="133"/>
        <v>0.60765769483816701</v>
      </c>
      <c r="L135" s="2">
        <f t="shared" si="133"/>
        <v>0.58097433911594665</v>
      </c>
      <c r="M135" s="2">
        <f t="shared" si="133"/>
        <v>0.63434105056038737</v>
      </c>
      <c r="N135" s="2">
        <f t="shared" si="133"/>
        <v>0.59431601697705683</v>
      </c>
      <c r="O135" s="2">
        <f t="shared" si="133"/>
        <v>0.42087420478262533</v>
      </c>
      <c r="P135" s="2">
        <f t="shared" si="133"/>
        <v>0.60765769483816701</v>
      </c>
      <c r="Q135" s="2">
        <f t="shared" si="133"/>
        <v>0.42087420478262533</v>
      </c>
      <c r="R135" s="2">
        <f t="shared" si="133"/>
        <v>0.62099937269927719</v>
      </c>
      <c r="T135" s="2">
        <f t="shared" ref="T135" si="135">+T120/$D$132</f>
        <v>0.63434105056038737</v>
      </c>
    </row>
    <row r="136" spans="4:20" x14ac:dyDescent="0.25">
      <c r="D136" s="12">
        <v>50</v>
      </c>
      <c r="E136">
        <v>4614.7848350422246</v>
      </c>
      <c r="F136" s="2">
        <f t="shared" si="133"/>
        <v>0.65908034787839342</v>
      </c>
      <c r="G136" s="8">
        <v>5490.1792054428406</v>
      </c>
      <c r="H136" s="2">
        <f t="shared" si="133"/>
        <v>0.67242202573950338</v>
      </c>
      <c r="I136" s="2">
        <f t="shared" si="133"/>
        <v>0.69910538146172363</v>
      </c>
      <c r="J136" s="2">
        <f t="shared" si="133"/>
        <v>0.68576370360061356</v>
      </c>
      <c r="K136" s="2">
        <f t="shared" si="133"/>
        <v>0.72578873718394388</v>
      </c>
      <c r="L136" s="2">
        <f t="shared" si="133"/>
        <v>0.69910538146172363</v>
      </c>
      <c r="M136" s="2">
        <f t="shared" si="133"/>
        <v>0.75247209290616435</v>
      </c>
      <c r="N136" s="2">
        <f t="shared" si="133"/>
        <v>0.71244705932283381</v>
      </c>
      <c r="O136" s="2">
        <f t="shared" si="133"/>
        <v>0.53900524712840192</v>
      </c>
      <c r="P136" s="2">
        <f t="shared" si="133"/>
        <v>0.72578873718394388</v>
      </c>
      <c r="Q136" s="2">
        <f t="shared" si="133"/>
        <v>0.53900524712840192</v>
      </c>
      <c r="R136" s="2">
        <f t="shared" si="133"/>
        <v>0.73913041504505406</v>
      </c>
      <c r="T136" s="2">
        <f t="shared" ref="T136" si="136">+T121/$D$132</f>
        <v>0.75247209290616435</v>
      </c>
    </row>
    <row r="137" spans="4:20" x14ac:dyDescent="0.25">
      <c r="D137" s="12">
        <v>55</v>
      </c>
      <c r="E137">
        <v>5248.5338844468397</v>
      </c>
      <c r="F137" s="2">
        <f t="shared" si="133"/>
        <v>0.77721139022417063</v>
      </c>
      <c r="G137" s="8">
        <v>6123.9282548474612</v>
      </c>
      <c r="H137" s="2">
        <f t="shared" si="133"/>
        <v>0.79055306808528092</v>
      </c>
      <c r="I137" s="2">
        <f t="shared" si="133"/>
        <v>0.81723642380750094</v>
      </c>
      <c r="J137" s="2">
        <f t="shared" si="133"/>
        <v>0.80389474594639054</v>
      </c>
      <c r="K137" s="2">
        <f t="shared" si="133"/>
        <v>0.84391977952972086</v>
      </c>
      <c r="L137" s="2">
        <f t="shared" si="133"/>
        <v>0.81723642380750094</v>
      </c>
      <c r="M137" s="2">
        <f t="shared" si="133"/>
        <v>0.87060313525194155</v>
      </c>
      <c r="N137" s="2">
        <f t="shared" si="133"/>
        <v>0.83057810166861124</v>
      </c>
      <c r="O137" s="2">
        <f t="shared" si="133"/>
        <v>0.65713628947417935</v>
      </c>
      <c r="P137" s="2">
        <f t="shared" si="133"/>
        <v>0.84391977952972086</v>
      </c>
      <c r="Q137" s="2">
        <f t="shared" si="133"/>
        <v>0.65713628947417935</v>
      </c>
      <c r="R137" s="2">
        <f t="shared" si="133"/>
        <v>0.85726145739083115</v>
      </c>
      <c r="T137" s="2">
        <f t="shared" ref="T137" si="137">+T122/$D$132</f>
        <v>0.87060313525194155</v>
      </c>
    </row>
    <row r="138" spans="4:20" x14ac:dyDescent="0.25">
      <c r="D138" s="12">
        <v>60</v>
      </c>
      <c r="E138">
        <v>5882.2829338514584</v>
      </c>
      <c r="F138" s="2">
        <f t="shared" si="133"/>
        <v>0.89534243256994783</v>
      </c>
      <c r="G138" s="8">
        <v>6757.6773042520754</v>
      </c>
      <c r="H138" s="2">
        <f t="shared" si="133"/>
        <v>0.9086841104310579</v>
      </c>
      <c r="I138" s="2">
        <f t="shared" si="133"/>
        <v>0.93536746615327848</v>
      </c>
      <c r="J138" s="2">
        <f t="shared" si="133"/>
        <v>0.92202578829216797</v>
      </c>
      <c r="K138" s="2">
        <f t="shared" si="133"/>
        <v>0.96205082187549862</v>
      </c>
      <c r="L138" s="2">
        <f t="shared" si="133"/>
        <v>0.93536746615327848</v>
      </c>
      <c r="M138" s="2">
        <f t="shared" si="133"/>
        <v>0.98873417759771864</v>
      </c>
      <c r="N138" s="2">
        <f t="shared" si="133"/>
        <v>0.94870914401438822</v>
      </c>
      <c r="O138" s="2">
        <f t="shared" si="133"/>
        <v>0.77526733181995655</v>
      </c>
      <c r="P138" s="2">
        <f t="shared" si="133"/>
        <v>0.96205082187549862</v>
      </c>
      <c r="Q138" s="2">
        <f t="shared" si="133"/>
        <v>0.77526733181995655</v>
      </c>
      <c r="R138" s="2">
        <f t="shared" si="133"/>
        <v>0.97539249973660824</v>
      </c>
      <c r="T138" s="2">
        <f t="shared" ref="T138" si="138">+T123/$D$132</f>
        <v>0.98873417759771864</v>
      </c>
    </row>
    <row r="139" spans="4:20" x14ac:dyDescent="0.25">
      <c r="D139" s="12">
        <v>65</v>
      </c>
      <c r="E139">
        <v>6516.0319832560699</v>
      </c>
      <c r="F139" s="2">
        <f t="shared" si="133"/>
        <v>1.013473474915725</v>
      </c>
      <c r="G139" s="8">
        <v>7391.4263536566905</v>
      </c>
      <c r="H139" s="2">
        <f t="shared" si="133"/>
        <v>1.0268151527768354</v>
      </c>
      <c r="I139" s="2">
        <f t="shared" si="133"/>
        <v>1.0534985084990554</v>
      </c>
      <c r="J139" s="2">
        <f t="shared" si="133"/>
        <v>1.0401568306379454</v>
      </c>
      <c r="K139" s="2">
        <f t="shared" si="133"/>
        <v>1.0801818642212759</v>
      </c>
      <c r="L139" s="2">
        <f t="shared" si="133"/>
        <v>1.0534985084990554</v>
      </c>
      <c r="M139" s="2">
        <f t="shared" si="133"/>
        <v>1.1068652199434958</v>
      </c>
      <c r="N139" s="2">
        <f t="shared" si="133"/>
        <v>1.0668401863601658</v>
      </c>
      <c r="O139" s="2">
        <f t="shared" si="133"/>
        <v>0.89339837416573398</v>
      </c>
      <c r="P139" s="2">
        <f t="shared" si="133"/>
        <v>1.0801818642212759</v>
      </c>
      <c r="Q139" s="2">
        <f t="shared" si="133"/>
        <v>0.89339837416573398</v>
      </c>
      <c r="R139" s="2">
        <f t="shared" si="133"/>
        <v>1.0935235420823857</v>
      </c>
      <c r="T139" s="2">
        <f t="shared" ref="T139" si="139">+T124/$D$132</f>
        <v>1.1068652199434958</v>
      </c>
    </row>
    <row r="140" spans="4:20" x14ac:dyDescent="0.25">
      <c r="D140" s="12">
        <v>70</v>
      </c>
      <c r="E140">
        <v>7149.7810326606896</v>
      </c>
      <c r="F140" s="2">
        <f t="shared" si="133"/>
        <v>1.1316045172615021</v>
      </c>
      <c r="G140" s="8">
        <v>8025.1754030613056</v>
      </c>
      <c r="H140" s="2">
        <f t="shared" si="133"/>
        <v>1.1449461951226121</v>
      </c>
      <c r="I140" s="2">
        <f t="shared" si="133"/>
        <v>1.1716295508448324</v>
      </c>
      <c r="J140" s="2">
        <f t="shared" si="133"/>
        <v>1.158287872983722</v>
      </c>
      <c r="K140" s="2">
        <f t="shared" si="133"/>
        <v>1.1983129065670524</v>
      </c>
      <c r="L140" s="2">
        <f t="shared" si="133"/>
        <v>1.1716295508448324</v>
      </c>
      <c r="M140" s="2">
        <f t="shared" si="133"/>
        <v>1.2249962622892729</v>
      </c>
      <c r="N140" s="2">
        <f t="shared" si="133"/>
        <v>1.1849712287059422</v>
      </c>
      <c r="O140" s="2">
        <f t="shared" si="133"/>
        <v>1.0115294165115112</v>
      </c>
      <c r="P140" s="2">
        <f t="shared" si="133"/>
        <v>1.1983129065670524</v>
      </c>
      <c r="Q140" s="2">
        <f t="shared" si="133"/>
        <v>1.0115294165115112</v>
      </c>
      <c r="R140" s="2">
        <f t="shared" si="133"/>
        <v>1.2116545844281628</v>
      </c>
      <c r="T140" s="2">
        <f t="shared" ref="T140" si="140">+T125/$D$132</f>
        <v>1.2249962622892729</v>
      </c>
    </row>
    <row r="141" spans="4:20" x14ac:dyDescent="0.25">
      <c r="D141" s="12">
        <v>75</v>
      </c>
      <c r="E141">
        <v>7783.5300820653047</v>
      </c>
      <c r="F141" s="2">
        <f t="shared" si="133"/>
        <v>1.2497355596072792</v>
      </c>
      <c r="G141" s="8">
        <v>8658.9244524659207</v>
      </c>
      <c r="H141" s="2">
        <f t="shared" si="133"/>
        <v>1.2630772374683892</v>
      </c>
      <c r="I141" s="2">
        <f t="shared" si="133"/>
        <v>1.2897605931906098</v>
      </c>
      <c r="J141" s="2">
        <f t="shared" si="133"/>
        <v>1.2764189153294994</v>
      </c>
      <c r="K141" s="2">
        <f t="shared" si="133"/>
        <v>1.3164439489128299</v>
      </c>
      <c r="L141" s="2">
        <f t="shared" si="133"/>
        <v>1.2897605931906098</v>
      </c>
      <c r="M141" s="2">
        <f t="shared" si="133"/>
        <v>1.34312730463505</v>
      </c>
      <c r="N141" s="2">
        <f t="shared" si="133"/>
        <v>1.3031022710517193</v>
      </c>
      <c r="O141" s="2">
        <f t="shared" si="133"/>
        <v>1.1296604588572878</v>
      </c>
      <c r="P141" s="2">
        <f t="shared" si="133"/>
        <v>1.3164439489128299</v>
      </c>
      <c r="Q141" s="2">
        <f t="shared" si="133"/>
        <v>1.1296604588572878</v>
      </c>
      <c r="R141" s="2">
        <f t="shared" si="133"/>
        <v>1.3297856267739403</v>
      </c>
      <c r="T141" s="2">
        <f t="shared" ref="T141:T144" si="141">+T126/$D$132</f>
        <v>1.34312730463505</v>
      </c>
    </row>
    <row r="142" spans="4:20" x14ac:dyDescent="0.25">
      <c r="D142" s="12">
        <v>80</v>
      </c>
      <c r="F142" s="2">
        <f t="shared" ref="F142" si="142">+F127/$D$132</f>
        <v>1.367866601953057</v>
      </c>
      <c r="G142" s="8">
        <v>8658.9244524659207</v>
      </c>
      <c r="H142" s="2">
        <f t="shared" ref="H142:R142" si="143">+H127/$D$132</f>
        <v>1.3812082798141667</v>
      </c>
      <c r="I142" s="2">
        <f t="shared" si="143"/>
        <v>1.4078916355363869</v>
      </c>
      <c r="J142" s="2">
        <f t="shared" si="143"/>
        <v>1.3945499576752769</v>
      </c>
      <c r="K142" s="2">
        <f t="shared" si="143"/>
        <v>1.4345749912586072</v>
      </c>
      <c r="L142" s="2">
        <f t="shared" si="143"/>
        <v>1.4078916355363869</v>
      </c>
      <c r="M142" s="2">
        <f t="shared" si="143"/>
        <v>1.4612583469808273</v>
      </c>
      <c r="N142" s="2">
        <f t="shared" si="143"/>
        <v>1.421233313397497</v>
      </c>
      <c r="O142" s="2">
        <f t="shared" si="143"/>
        <v>1.2477915012030654</v>
      </c>
      <c r="P142" s="2">
        <f t="shared" si="143"/>
        <v>1.4345749912586072</v>
      </c>
      <c r="Q142" s="2">
        <f t="shared" si="143"/>
        <v>1.2477915012030654</v>
      </c>
      <c r="R142" s="2">
        <f t="shared" si="143"/>
        <v>1.4479166691197176</v>
      </c>
      <c r="T142" s="2">
        <f t="shared" si="141"/>
        <v>1.4612583469808273</v>
      </c>
    </row>
    <row r="143" spans="4:20" x14ac:dyDescent="0.25">
      <c r="D143" s="12">
        <v>85</v>
      </c>
      <c r="F143" s="2">
        <f t="shared" ref="F143" si="144">+F128/$D$132</f>
        <v>1.4859976442988339</v>
      </c>
      <c r="G143" s="8">
        <v>8658.9244524659207</v>
      </c>
      <c r="H143" s="2">
        <f t="shared" ref="H143:R143" si="145">+H128/$D$132</f>
        <v>1.499339322159944</v>
      </c>
      <c r="I143" s="2">
        <f t="shared" si="145"/>
        <v>1.5260226778821642</v>
      </c>
      <c r="J143" s="2">
        <f t="shared" si="145"/>
        <v>1.512681000021054</v>
      </c>
      <c r="K143" s="2">
        <f t="shared" si="145"/>
        <v>1.5527060336043847</v>
      </c>
      <c r="L143" s="2">
        <f t="shared" si="145"/>
        <v>1.5260226778821642</v>
      </c>
      <c r="M143" s="2">
        <f t="shared" si="145"/>
        <v>1.5793893893266049</v>
      </c>
      <c r="N143" s="2">
        <f t="shared" si="145"/>
        <v>1.5393643557432737</v>
      </c>
      <c r="O143" s="2">
        <f t="shared" si="145"/>
        <v>1.3659225435488422</v>
      </c>
      <c r="P143" s="2">
        <f t="shared" si="145"/>
        <v>1.5527060336043847</v>
      </c>
      <c r="Q143" s="2">
        <f t="shared" si="145"/>
        <v>1.3659225435488422</v>
      </c>
      <c r="R143" s="2">
        <f t="shared" si="145"/>
        <v>1.5660477114654945</v>
      </c>
      <c r="T143" s="2">
        <f t="shared" si="141"/>
        <v>1.5793893893266049</v>
      </c>
    </row>
    <row r="144" spans="4:20" x14ac:dyDescent="0.25">
      <c r="D144" s="12">
        <v>90</v>
      </c>
      <c r="F144" s="2">
        <f t="shared" ref="F144" si="146">+F129/$D$132</f>
        <v>1.6041286866446107</v>
      </c>
      <c r="G144" s="8">
        <v>8658.9244524659207</v>
      </c>
      <c r="H144" s="2">
        <f t="shared" ref="H144:R144" si="147">+H129/$D$132</f>
        <v>1.6174703645057207</v>
      </c>
      <c r="I144" s="2">
        <f t="shared" si="147"/>
        <v>1.6441537202279415</v>
      </c>
      <c r="J144" s="2">
        <f t="shared" si="147"/>
        <v>1.6308120423668311</v>
      </c>
      <c r="K144" s="2">
        <f t="shared" si="147"/>
        <v>1.6708370759501616</v>
      </c>
      <c r="L144" s="2">
        <f t="shared" si="147"/>
        <v>1.6441537202279415</v>
      </c>
      <c r="M144" s="2">
        <f t="shared" si="147"/>
        <v>1.6975204316723818</v>
      </c>
      <c r="N144" s="2">
        <f t="shared" si="147"/>
        <v>1.6574953980890519</v>
      </c>
      <c r="O144" s="2">
        <f t="shared" si="147"/>
        <v>1.4840535858946196</v>
      </c>
      <c r="P144" s="2">
        <f t="shared" si="147"/>
        <v>1.6708370759501616</v>
      </c>
      <c r="Q144" s="2">
        <f t="shared" si="147"/>
        <v>1.4840535858946196</v>
      </c>
      <c r="R144" s="2">
        <f t="shared" si="147"/>
        <v>1.684178753811272</v>
      </c>
      <c r="T144" s="2">
        <f t="shared" si="141"/>
        <v>1.6975204316723818</v>
      </c>
    </row>
  </sheetData>
  <conditionalFormatting sqref="F133:T144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scale="31" fitToWidth="0" orientation="landscape" r:id="rId1"/>
  <ignoredErrors>
    <ignoredError sqref="H7 L7 N7 AG7:AH7 P7:AB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66"/>
  <sheetViews>
    <sheetView tabSelected="1" workbookViewId="0">
      <selection activeCell="R17" sqref="R17"/>
    </sheetView>
  </sheetViews>
  <sheetFormatPr defaultRowHeight="15" x14ac:dyDescent="0.25"/>
  <cols>
    <col min="2" max="2" width="18.85546875" customWidth="1"/>
    <col min="3" max="3" width="11.5703125" bestFit="1" customWidth="1"/>
  </cols>
  <sheetData>
    <row r="1" spans="2:57" x14ac:dyDescent="0.25">
      <c r="B1" t="str">
        <f>+'E&amp;P Comps'!D1</f>
        <v>Antero Resources</v>
      </c>
      <c r="C1">
        <f>+'E&amp;P Comps'!E1</f>
        <v>0</v>
      </c>
      <c r="D1" t="str">
        <f>+'E&amp;P Comps'!F1</f>
        <v>California Resources</v>
      </c>
      <c r="E1">
        <f>+'E&amp;P Comps'!G1</f>
        <v>0</v>
      </c>
      <c r="F1" t="str">
        <f>+'E&amp;P Comps'!H1</f>
        <v>Carrizo Oil&amp;Gas</v>
      </c>
      <c r="G1">
        <f>+'E&amp;P Comps'!I1</f>
        <v>0</v>
      </c>
      <c r="H1" t="str">
        <f>+'E&amp;P Comps'!J1</f>
        <v>Centennial Resource</v>
      </c>
      <c r="I1">
        <f>+'E&amp;P Comps'!K1</f>
        <v>0</v>
      </c>
      <c r="J1" t="str">
        <f>+'E&amp;P Comps'!L1</f>
        <v>Chesapeake Energy</v>
      </c>
      <c r="K1">
        <f>+'E&amp;P Comps'!M1</f>
        <v>0</v>
      </c>
      <c r="L1" t="str">
        <f>+'E&amp;P Comps'!N1</f>
        <v>CNX Resources</v>
      </c>
      <c r="M1">
        <f>+'E&amp;P Comps'!O1</f>
        <v>0</v>
      </c>
      <c r="O1">
        <f>+'E&amp;P Comps'!Q1</f>
        <v>0</v>
      </c>
      <c r="P1" t="str">
        <f>+'E&amp;P Comps'!R1</f>
        <v>Denbury Resources</v>
      </c>
      <c r="Q1">
        <f>+'E&amp;P Comps'!S1</f>
        <v>0</v>
      </c>
      <c r="R1" t="str">
        <f>+'E&amp;P Comps'!T1</f>
        <v>Endeavor Energy</v>
      </c>
      <c r="S1">
        <f>+'E&amp;P Comps'!U1</f>
        <v>0</v>
      </c>
      <c r="T1" t="str">
        <f>+'E&amp;P Comps'!V1</f>
        <v>Diamondback Energy</v>
      </c>
      <c r="U1">
        <f>+'E&amp;P Comps'!W1</f>
        <v>0</v>
      </c>
      <c r="V1" t="str">
        <f>+'E&amp;P Comps'!X1</f>
        <v>EP Energy</v>
      </c>
      <c r="W1">
        <f>+'E&amp;P Comps'!Y1</f>
        <v>0</v>
      </c>
      <c r="X1" t="str">
        <f>+'E&amp;P Comps'!Z1</f>
        <v>Gulfport</v>
      </c>
      <c r="Y1">
        <f>+'E&amp;P Comps'!AA1</f>
        <v>0</v>
      </c>
      <c r="Z1" t="str">
        <f>+'E&amp;P Comps'!AB1</f>
        <v>Hilcorp Exploration</v>
      </c>
      <c r="AA1">
        <f>+'E&amp;P Comps'!AC1</f>
        <v>0</v>
      </c>
      <c r="AB1" t="str">
        <f>+'E&amp;P Comps'!AD1</f>
        <v>Jagged Peak</v>
      </c>
      <c r="AC1">
        <f>+'E&amp;P Comps'!AE1</f>
        <v>0</v>
      </c>
      <c r="AD1" t="str">
        <f>+'E&amp;P Comps'!AF1</f>
        <v>Kosmos Energy</v>
      </c>
      <c r="AE1">
        <f>+'E&amp;P Comps'!AG1</f>
        <v>0</v>
      </c>
      <c r="AF1" t="str">
        <f>+'E&amp;P Comps'!AH1</f>
        <v>Laredo Petroleum</v>
      </c>
      <c r="AG1">
        <f>+'E&amp;P Comps'!AI1</f>
        <v>0</v>
      </c>
      <c r="AH1" t="str">
        <f>+'E&amp;P Comps'!AJ1</f>
        <v>Matador Resources</v>
      </c>
      <c r="AI1">
        <f>+'E&amp;P Comps'!AK1</f>
        <v>0</v>
      </c>
      <c r="AJ1" t="str">
        <f>+'E&amp;P Comps'!AL1</f>
        <v>Murphy Oil</v>
      </c>
      <c r="AK1">
        <f>+'E&amp;P Comps'!AM1</f>
        <v>0</v>
      </c>
      <c r="AL1" t="str">
        <f>+'E&amp;P Comps'!AN1</f>
        <v>Oasis Petroleum</v>
      </c>
      <c r="AM1" t="str">
        <f>+'E&amp;P Comps'!AO1</f>
        <v>Newfield Exploration</v>
      </c>
      <c r="AN1">
        <f>+'E&amp;P Comps'!AP1</f>
        <v>0</v>
      </c>
      <c r="AO1" t="str">
        <f>+'E&amp;P Comps'!AQ1</f>
        <v>Paramount Resources</v>
      </c>
      <c r="AP1">
        <f>+'E&amp;P Comps'!AR1</f>
        <v>0</v>
      </c>
      <c r="AQ1" t="str">
        <f>+'E&amp;P Comps'!AS1</f>
        <v>Parsley Energy</v>
      </c>
      <c r="AR1">
        <f>+'E&amp;P Comps'!AT1</f>
        <v>0</v>
      </c>
      <c r="AS1" t="str">
        <f>+'E&amp;P Comps'!AU1</f>
        <v>PDC Energy</v>
      </c>
      <c r="AT1">
        <f>+'E&amp;P Comps'!AV1</f>
        <v>0</v>
      </c>
      <c r="AU1" t="str">
        <f>+'E&amp;P Comps'!AW1</f>
        <v>Range Resources</v>
      </c>
      <c r="AV1">
        <f>+'E&amp;P Comps'!AX1</f>
        <v>0</v>
      </c>
      <c r="AW1" t="str">
        <f>+'E&amp;P Comps'!AY1</f>
        <v>SM Energy</v>
      </c>
      <c r="AX1">
        <f>+'E&amp;P Comps'!AZ1</f>
        <v>0</v>
      </c>
      <c r="AY1" t="str">
        <f>+'E&amp;P Comps'!BA1</f>
        <v>Southwestern</v>
      </c>
      <c r="AZ1">
        <f>+'E&amp;P Comps'!BB1</f>
        <v>0</v>
      </c>
      <c r="BA1" t="str">
        <f>+'E&amp;P Comps'!BC1</f>
        <v>QEP Resources</v>
      </c>
      <c r="BB1">
        <f>+'E&amp;P Comps'!BD1</f>
        <v>0</v>
      </c>
      <c r="BC1" t="str">
        <f>+'E&amp;P Comps'!BE1</f>
        <v>Whiting Petroleum</v>
      </c>
      <c r="BD1">
        <f>+'E&amp;P Comps'!BF1</f>
        <v>0</v>
      </c>
      <c r="BE1" t="str">
        <f>+'E&amp;P Comps'!BG1</f>
        <v>WPX Energy</v>
      </c>
    </row>
    <row r="2" spans="2:57" x14ac:dyDescent="0.25">
      <c r="B2" s="5">
        <f>+'E&amp;P Comps'!D110</f>
        <v>0.9688330743741973</v>
      </c>
      <c r="C2">
        <f>+'E&amp;P Comps'!E110</f>
        <v>0</v>
      </c>
      <c r="D2">
        <f>+'E&amp;P Comps'!F110</f>
        <v>0.5783441657754822</v>
      </c>
      <c r="E2">
        <f>+'E&amp;P Comps'!G110</f>
        <v>0</v>
      </c>
      <c r="F2">
        <f>+'E&amp;P Comps'!H110</f>
        <v>0.84398636960010798</v>
      </c>
      <c r="G2">
        <f>+'E&amp;P Comps'!I110</f>
        <v>0</v>
      </c>
      <c r="H2">
        <f>+'E&amp;P Comps'!J110</f>
        <v>1.1331680512400217</v>
      </c>
      <c r="I2" t="e">
        <f>+'E&amp;P Comps'!K110</f>
        <v>#DIV/0!</v>
      </c>
      <c r="J2">
        <f>+'E&amp;P Comps'!L110</f>
        <v>0.68463784764994517</v>
      </c>
      <c r="K2">
        <f>+'E&amp;P Comps'!M110</f>
        <v>0</v>
      </c>
      <c r="L2">
        <f>+'E&amp;P Comps'!N110</f>
        <v>1.0562915799272665</v>
      </c>
      <c r="M2">
        <f>+'E&amp;P Comps'!O110</f>
        <v>0</v>
      </c>
      <c r="O2">
        <f>+'E&amp;P Comps'!Q110</f>
        <v>0</v>
      </c>
      <c r="P2">
        <f>+'E&amp;P Comps'!R110</f>
        <v>0.61616116703726742</v>
      </c>
      <c r="Q2" t="e">
        <f>+'E&amp;P Comps'!S110</f>
        <v>#DIV/0!</v>
      </c>
      <c r="R2" t="e">
        <f>+'E&amp;P Comps'!T110</f>
        <v>#DIV/0!</v>
      </c>
      <c r="S2" t="e">
        <f>+'E&amp;P Comps'!U110</f>
        <v>#DIV/0!</v>
      </c>
      <c r="T2">
        <f>+'E&amp;P Comps'!V110</f>
        <v>1.1977125618426698</v>
      </c>
      <c r="U2" t="e">
        <f>+'E&amp;P Comps'!W110</f>
        <v>#DIV/0!</v>
      </c>
      <c r="V2">
        <f>+'E&amp;P Comps'!X110</f>
        <v>0.38632288723293789</v>
      </c>
      <c r="W2" t="e">
        <f>+'E&amp;P Comps'!Y110</f>
        <v>#DIV/0!</v>
      </c>
      <c r="X2" t="e">
        <f>+'E&amp;P Comps'!Z110</f>
        <v>#DIV/0!</v>
      </c>
      <c r="Y2" t="e">
        <f>+'E&amp;P Comps'!AA110</f>
        <v>#DIV/0!</v>
      </c>
      <c r="Z2">
        <f>+'E&amp;P Comps'!AB110</f>
        <v>1</v>
      </c>
      <c r="AA2">
        <f>+'E&amp;P Comps'!AC110</f>
        <v>0</v>
      </c>
      <c r="AB2">
        <f>+'E&amp;P Comps'!AD110</f>
        <v>1.7850832653358051</v>
      </c>
      <c r="AC2">
        <f>+'E&amp;P Comps'!AE110</f>
        <v>0</v>
      </c>
      <c r="AD2">
        <f>+'E&amp;P Comps'!AF110</f>
        <v>0.92580394480849038</v>
      </c>
      <c r="AE2">
        <f>+'E&amp;P Comps'!AG110</f>
        <v>0</v>
      </c>
      <c r="AF2">
        <f>+'E&amp;P Comps'!AH110</f>
        <v>0.99175645680289737</v>
      </c>
      <c r="AG2">
        <f>+'E&amp;P Comps'!AI110</f>
        <v>0</v>
      </c>
      <c r="AH2">
        <f>+'E&amp;P Comps'!AJ110</f>
        <v>0.6646844498294332</v>
      </c>
      <c r="AI2" t="e">
        <f>+'E&amp;P Comps'!AK110</f>
        <v>#DIV/0!</v>
      </c>
      <c r="AJ2" t="e">
        <f>+'E&amp;P Comps'!AL110</f>
        <v>#DIV/0!</v>
      </c>
      <c r="AK2" t="e">
        <f>+'E&amp;P Comps'!AM110</f>
        <v>#DIV/0!</v>
      </c>
      <c r="AL2">
        <f>+'E&amp;P Comps'!AN110</f>
        <v>0.6965124679395609</v>
      </c>
      <c r="AM2" t="e">
        <f>+'E&amp;P Comps'!AO110</f>
        <v>#DIV/0!</v>
      </c>
      <c r="AN2" t="e">
        <f>+'E&amp;P Comps'!AP110</f>
        <v>#DIV/0!</v>
      </c>
      <c r="AO2" t="e">
        <f>+'E&amp;P Comps'!AQ110</f>
        <v>#DIV/0!</v>
      </c>
      <c r="AP2" t="e">
        <f>+'E&amp;P Comps'!AR110</f>
        <v>#DIV/0!</v>
      </c>
      <c r="AQ2">
        <f>+'E&amp;P Comps'!AS110</f>
        <v>1.2158490552059686</v>
      </c>
      <c r="AR2" t="e">
        <f>+'E&amp;P Comps'!AT110</f>
        <v>#DIV/0!</v>
      </c>
      <c r="AS2" t="e">
        <f>+'E&amp;P Comps'!AU110</f>
        <v>#DIV/0!</v>
      </c>
      <c r="AT2" t="e">
        <f>+'E&amp;P Comps'!AV110</f>
        <v>#DIV/0!</v>
      </c>
      <c r="AU2">
        <f>+'E&amp;P Comps'!AW110</f>
        <v>1.1794118915568557</v>
      </c>
      <c r="AV2" t="e">
        <f>+'E&amp;P Comps'!AX110</f>
        <v>#DIV/0!</v>
      </c>
      <c r="AW2">
        <f>+'E&amp;P Comps'!AY110</f>
        <v>0.64224064148989024</v>
      </c>
      <c r="AX2" t="e">
        <f>+'E&amp;P Comps'!AZ110</f>
        <v>#DIV/0!</v>
      </c>
      <c r="AY2">
        <f>+'E&amp;P Comps'!BA110</f>
        <v>1.9905055553801603</v>
      </c>
      <c r="AZ2" t="e">
        <f>+'E&amp;P Comps'!BB110</f>
        <v>#DIV/0!</v>
      </c>
      <c r="BA2">
        <f>+'E&amp;P Comps'!BC110</f>
        <v>0.89963615998733948</v>
      </c>
      <c r="BB2" t="e">
        <f>+'E&amp;P Comps'!BD110</f>
        <v>#DIV/0!</v>
      </c>
      <c r="BC2">
        <f>+'E&amp;P Comps'!BE110</f>
        <v>1.0358014698025135</v>
      </c>
      <c r="BD2" t="e">
        <f>+'E&amp;P Comps'!BF110</f>
        <v>#DIV/0!</v>
      </c>
      <c r="BE2">
        <f>+'E&amp;P Comps'!BG110</f>
        <v>0.95222872267666259</v>
      </c>
    </row>
    <row r="5" spans="2:57" x14ac:dyDescent="0.25">
      <c r="B5" s="12" t="s">
        <v>301</v>
      </c>
      <c r="C5" s="12"/>
    </row>
    <row r="6" spans="2:57" x14ac:dyDescent="0.25">
      <c r="B6" t="s">
        <v>326</v>
      </c>
      <c r="C6">
        <v>45.453373825708432</v>
      </c>
    </row>
    <row r="7" spans="2:57" x14ac:dyDescent="0.25">
      <c r="B7" t="s">
        <v>327</v>
      </c>
      <c r="C7">
        <v>2.75</v>
      </c>
    </row>
    <row r="9" spans="2:57" x14ac:dyDescent="0.25">
      <c r="B9" s="12" t="s">
        <v>299</v>
      </c>
      <c r="C9" s="12" t="s">
        <v>300</v>
      </c>
    </row>
    <row r="10" spans="2:57" x14ac:dyDescent="0.25">
      <c r="B10" s="2" t="str">
        <f>+B1</f>
        <v>Antero Resources</v>
      </c>
      <c r="C10" s="2">
        <f t="shared" ref="C10:C15" si="0">+HLOOKUP(B10,$B$1:$CN$2,2,FALSE)</f>
        <v>0.9688330743741973</v>
      </c>
      <c r="E10">
        <v>46.84</v>
      </c>
    </row>
    <row r="11" spans="2:57" x14ac:dyDescent="0.25">
      <c r="B11" t="str">
        <f>+D1</f>
        <v>California Resources</v>
      </c>
      <c r="C11" s="2">
        <f t="shared" si="0"/>
        <v>0.5783441657754822</v>
      </c>
      <c r="E11">
        <v>63.3</v>
      </c>
    </row>
    <row r="12" spans="2:57" x14ac:dyDescent="0.25">
      <c r="B12" t="str">
        <f>+F1</f>
        <v>Carrizo Oil&amp;Gas</v>
      </c>
      <c r="C12" s="2">
        <f t="shared" si="0"/>
        <v>0.84398636960010798</v>
      </c>
      <c r="E12">
        <v>51.89</v>
      </c>
    </row>
    <row r="13" spans="2:57" x14ac:dyDescent="0.25">
      <c r="B13" t="str">
        <f>+H1</f>
        <v>Centennial Resource</v>
      </c>
      <c r="C13" s="2">
        <f t="shared" si="0"/>
        <v>1.1331680512400217</v>
      </c>
      <c r="E13">
        <v>42.72</v>
      </c>
    </row>
    <row r="14" spans="2:57" x14ac:dyDescent="0.25">
      <c r="B14" t="str">
        <f>+J1</f>
        <v>Chesapeake Energy</v>
      </c>
      <c r="C14" s="2">
        <f t="shared" si="0"/>
        <v>0.68463784764994517</v>
      </c>
      <c r="E14">
        <v>68</v>
      </c>
    </row>
    <row r="15" spans="2:57" x14ac:dyDescent="0.25">
      <c r="B15" t="str">
        <f>+L1</f>
        <v>CNX Resources</v>
      </c>
      <c r="C15" s="2">
        <f t="shared" si="0"/>
        <v>1.0562915799272665</v>
      </c>
      <c r="E15">
        <v>28.97</v>
      </c>
    </row>
    <row r="16" spans="2:57" x14ac:dyDescent="0.25">
      <c r="B16" t="str">
        <f>+P1</f>
        <v>Denbury Resources</v>
      </c>
      <c r="C16" s="2">
        <f t="shared" ref="C16:C37" si="1">+HLOOKUP(B16,$B$1:$CN$2,2,FALSE)</f>
        <v>0.61616116703726742</v>
      </c>
      <c r="E16">
        <v>56.23</v>
      </c>
    </row>
    <row r="17" spans="2:5" x14ac:dyDescent="0.25">
      <c r="B17" t="str">
        <f>+R1</f>
        <v>Endeavor Energy</v>
      </c>
      <c r="C17" s="2" t="e">
        <f t="shared" si="1"/>
        <v>#DIV/0!</v>
      </c>
    </row>
    <row r="18" spans="2:5" x14ac:dyDescent="0.25">
      <c r="B18" t="str">
        <f>+T1</f>
        <v>Diamondback Energy</v>
      </c>
      <c r="C18" s="2">
        <f t="shared" si="1"/>
        <v>1.1977125618426698</v>
      </c>
      <c r="E18">
        <v>40.270000000000003</v>
      </c>
    </row>
    <row r="19" spans="2:5" x14ac:dyDescent="0.25">
      <c r="B19" t="str">
        <f>+V1</f>
        <v>EP Energy</v>
      </c>
      <c r="C19" s="2">
        <f t="shared" si="1"/>
        <v>0.38632288723293789</v>
      </c>
      <c r="E19">
        <v>93.43</v>
      </c>
    </row>
    <row r="20" spans="2:5" x14ac:dyDescent="0.25">
      <c r="B20" s="5" t="str">
        <f>+X1</f>
        <v>Gulfport</v>
      </c>
      <c r="C20" s="2" t="e">
        <f t="shared" si="1"/>
        <v>#DIV/0!</v>
      </c>
    </row>
    <row r="21" spans="2:5" x14ac:dyDescent="0.25">
      <c r="B21" t="str">
        <f>+Z1</f>
        <v>Hilcorp Exploration</v>
      </c>
      <c r="C21" s="2">
        <f t="shared" si="1"/>
        <v>1</v>
      </c>
    </row>
    <row r="22" spans="2:5" x14ac:dyDescent="0.25">
      <c r="B22" t="str">
        <f>+AB1</f>
        <v>Jagged Peak</v>
      </c>
      <c r="C22" s="2">
        <f t="shared" si="1"/>
        <v>1.7850832653358051</v>
      </c>
    </row>
    <row r="23" spans="2:5" x14ac:dyDescent="0.25">
      <c r="B23" t="str">
        <f>+AD1</f>
        <v>Kosmos Energy</v>
      </c>
      <c r="C23" s="2">
        <f t="shared" si="1"/>
        <v>0.92580394480849038</v>
      </c>
    </row>
    <row r="24" spans="2:5" x14ac:dyDescent="0.25">
      <c r="B24" t="str">
        <f>+AF1</f>
        <v>Laredo Petroleum</v>
      </c>
      <c r="C24" s="2">
        <f t="shared" si="1"/>
        <v>0.99175645680289737</v>
      </c>
    </row>
    <row r="25" spans="2:5" x14ac:dyDescent="0.25">
      <c r="B25" t="str">
        <f>+AH1</f>
        <v>Matador Resources</v>
      </c>
      <c r="C25" s="2">
        <f t="shared" si="1"/>
        <v>0.6646844498294332</v>
      </c>
    </row>
    <row r="26" spans="2:5" x14ac:dyDescent="0.25">
      <c r="B26" t="str">
        <f>+AJ1</f>
        <v>Murphy Oil</v>
      </c>
      <c r="C26" s="2" t="e">
        <f t="shared" si="1"/>
        <v>#DIV/0!</v>
      </c>
    </row>
    <row r="27" spans="2:5" x14ac:dyDescent="0.25">
      <c r="B27" t="str">
        <f>+AL1</f>
        <v>Oasis Petroleum</v>
      </c>
      <c r="C27" s="2">
        <f t="shared" si="1"/>
        <v>0.6965124679395609</v>
      </c>
    </row>
    <row r="28" spans="2:5" x14ac:dyDescent="0.25">
      <c r="B28" t="str">
        <f>+AM1</f>
        <v>Newfield Exploration</v>
      </c>
      <c r="C28" s="2" t="e">
        <f t="shared" si="1"/>
        <v>#DIV/0!</v>
      </c>
    </row>
    <row r="29" spans="2:5" x14ac:dyDescent="0.25">
      <c r="B29" t="str">
        <f>+AO1</f>
        <v>Paramount Resources</v>
      </c>
      <c r="C29" s="2" t="e">
        <f t="shared" si="1"/>
        <v>#DIV/0!</v>
      </c>
    </row>
    <row r="30" spans="2:5" x14ac:dyDescent="0.25">
      <c r="B30" t="str">
        <f>+AQ1</f>
        <v>Parsley Energy</v>
      </c>
      <c r="C30" s="2">
        <f t="shared" si="1"/>
        <v>1.2158490552059686</v>
      </c>
    </row>
    <row r="31" spans="2:5" x14ac:dyDescent="0.25">
      <c r="B31" t="str">
        <f>+AS1</f>
        <v>PDC Energy</v>
      </c>
      <c r="C31" s="2" t="e">
        <f t="shared" si="1"/>
        <v>#DIV/0!</v>
      </c>
    </row>
    <row r="32" spans="2:5" x14ac:dyDescent="0.25">
      <c r="B32" t="str">
        <f>+AU1</f>
        <v>Range Resources</v>
      </c>
      <c r="C32" s="2">
        <f t="shared" si="1"/>
        <v>1.1794118915568557</v>
      </c>
    </row>
    <row r="33" spans="2:60" x14ac:dyDescent="0.25">
      <c r="B33" t="str">
        <f>+AW1</f>
        <v>SM Energy</v>
      </c>
      <c r="C33" s="2">
        <f t="shared" si="1"/>
        <v>0.64224064148989024</v>
      </c>
    </row>
    <row r="34" spans="2:60" x14ac:dyDescent="0.25">
      <c r="B34" t="str">
        <f>+AY1</f>
        <v>Southwestern</v>
      </c>
      <c r="C34" s="2">
        <f t="shared" si="1"/>
        <v>1.9905055553801603</v>
      </c>
    </row>
    <row r="35" spans="2:60" x14ac:dyDescent="0.25">
      <c r="B35" t="str">
        <f>+BA1</f>
        <v>QEP Resources</v>
      </c>
      <c r="C35" s="2">
        <f t="shared" si="1"/>
        <v>0.89963615998733948</v>
      </c>
    </row>
    <row r="36" spans="2:60" x14ac:dyDescent="0.25">
      <c r="B36" t="str">
        <f>+BC1</f>
        <v>Whiting Petroleum</v>
      </c>
      <c r="C36" s="2">
        <f t="shared" si="1"/>
        <v>1.0358014698025135</v>
      </c>
    </row>
    <row r="37" spans="2:60" x14ac:dyDescent="0.25">
      <c r="B37" t="str">
        <f>+BE1</f>
        <v>WPX Energy</v>
      </c>
      <c r="C37" s="2">
        <f t="shared" si="1"/>
        <v>0.95222872267666259</v>
      </c>
    </row>
    <row r="41" spans="2:60" x14ac:dyDescent="0.25">
      <c r="B41" t="str">
        <f>+'E&amp;P Comps'!BK1</f>
        <v>Anadarko Petroleum</v>
      </c>
      <c r="C41">
        <f>+'E&amp;P Comps'!BL1</f>
        <v>0</v>
      </c>
      <c r="D41" t="str">
        <f>+'E&amp;P Comps'!BM1</f>
        <v>Apache Corp</v>
      </c>
      <c r="E41">
        <f>+'E&amp;P Comps'!BP1</f>
        <v>0</v>
      </c>
      <c r="F41" t="str">
        <f>+'E&amp;P Comps'!BQ1</f>
        <v>Cimarex</v>
      </c>
      <c r="G41">
        <f>+'E&amp;P Comps'!BR1</f>
        <v>0</v>
      </c>
      <c r="H41" t="str">
        <f>+'E&amp;P Comps'!BS1</f>
        <v>Concho Resources</v>
      </c>
      <c r="I41">
        <f>+'E&amp;P Comps'!BT1</f>
        <v>0</v>
      </c>
      <c r="J41" t="str">
        <f>+'E&amp;P Comps'!BU1</f>
        <v>ConocoPhillips</v>
      </c>
      <c r="K41">
        <f>+'E&amp;P Comps'!BV1</f>
        <v>0</v>
      </c>
      <c r="L41" t="str">
        <f>+'E&amp;P Comps'!BW1</f>
        <v>Continental Resources</v>
      </c>
      <c r="M41">
        <f>+'E&amp;P Comps'!BX1</f>
        <v>0</v>
      </c>
      <c r="N41" t="str">
        <f>+'E&amp;P Comps'!BY1</f>
        <v>Encana</v>
      </c>
      <c r="O41">
        <f>+'E&amp;P Comps'!BZ1</f>
        <v>0</v>
      </c>
      <c r="P41" t="str">
        <f>+'E&amp;P Comps'!CA1</f>
        <v>Devon Energy</v>
      </c>
      <c r="Q41">
        <f>+'E&amp;P Comps'!CB1</f>
        <v>0</v>
      </c>
      <c r="R41" t="str">
        <f>+'E&amp;P Comps'!CC1</f>
        <v>EOG Resources</v>
      </c>
      <c r="S41">
        <f>+'E&amp;P Comps'!CD1</f>
        <v>0</v>
      </c>
      <c r="T41">
        <f>+'E&amp;P Comps'!CE1</f>
        <v>0</v>
      </c>
      <c r="U41">
        <f>+'E&amp;P Comps'!CF1</f>
        <v>0</v>
      </c>
      <c r="V41" t="str">
        <f>+'E&amp;P Comps'!CG1</f>
        <v>Husky Energy</v>
      </c>
      <c r="W41">
        <f>+'E&amp;P Comps'!CH1</f>
        <v>0</v>
      </c>
      <c r="X41" t="str">
        <f>+'E&amp;P Comps'!CI1</f>
        <v>Marathon Oil</v>
      </c>
      <c r="Y41">
        <f>+'E&amp;P Comps'!CJ1</f>
        <v>0</v>
      </c>
      <c r="Z41" t="str">
        <f>+'E&amp;P Comps'!CK1</f>
        <v>Noble Energy</v>
      </c>
      <c r="AA41">
        <f>+'E&amp;P Comps'!CL1</f>
        <v>0</v>
      </c>
      <c r="AB41" t="str">
        <f>+'E&amp;P Comps'!CM1</f>
        <v>Occidental Petroleum</v>
      </c>
      <c r="AC41">
        <f>+'E&amp;P Comps'!CN1</f>
        <v>0</v>
      </c>
      <c r="AD41" t="str">
        <f>+'E&amp;P Comps'!CO1</f>
        <v>Pioneer Natural Resources</v>
      </c>
      <c r="AE41">
        <f>+'E&amp;P Comps'!CP1</f>
        <v>0</v>
      </c>
      <c r="AF41">
        <f>+'E&amp;P Comps'!CQ1</f>
        <v>0</v>
      </c>
      <c r="AG41">
        <f>+'E&amp;P Comps'!CR1</f>
        <v>0</v>
      </c>
      <c r="AH41">
        <f>+'E&amp;P Comps'!CS1</f>
        <v>0</v>
      </c>
      <c r="AI41">
        <f>+'E&amp;P Comps'!CT1</f>
        <v>0</v>
      </c>
      <c r="AJ41">
        <f>+'E&amp;P Comps'!CU1</f>
        <v>0</v>
      </c>
      <c r="AK41">
        <f>+'E&amp;P Comps'!CV1</f>
        <v>0</v>
      </c>
      <c r="AL41">
        <f>+'E&amp;P Comps'!CW1</f>
        <v>0</v>
      </c>
      <c r="AM41">
        <f>+'E&amp;P Comps'!CX1</f>
        <v>0</v>
      </c>
      <c r="AN41">
        <f>+'E&amp;P Comps'!CY1</f>
        <v>0</v>
      </c>
      <c r="AO41">
        <f>+'E&amp;P Comps'!CZ1</f>
        <v>0</v>
      </c>
      <c r="AP41">
        <f>+'E&amp;P Comps'!DA1</f>
        <v>0</v>
      </c>
      <c r="AQ41">
        <f>+'E&amp;P Comps'!DB1</f>
        <v>0</v>
      </c>
      <c r="AR41">
        <f>+'E&amp;P Comps'!DC1</f>
        <v>0</v>
      </c>
      <c r="AS41">
        <f>+'E&amp;P Comps'!DD1</f>
        <v>0</v>
      </c>
      <c r="AT41">
        <f>+'E&amp;P Comps'!DE1</f>
        <v>0</v>
      </c>
      <c r="AU41">
        <f>+'E&amp;P Comps'!DF1</f>
        <v>0</v>
      </c>
      <c r="AV41">
        <f>+'E&amp;P Comps'!DG1</f>
        <v>0</v>
      </c>
      <c r="AW41">
        <f>+'E&amp;P Comps'!DH1</f>
        <v>0</v>
      </c>
      <c r="AX41">
        <f>+'E&amp;P Comps'!DI1</f>
        <v>0</v>
      </c>
      <c r="AY41">
        <f>+'E&amp;P Comps'!DJ1</f>
        <v>0</v>
      </c>
      <c r="AZ41">
        <f>+'E&amp;P Comps'!DK1</f>
        <v>0</v>
      </c>
      <c r="BA41">
        <f>+'E&amp;P Comps'!DL1</f>
        <v>0</v>
      </c>
      <c r="BB41">
        <f>+'E&amp;P Comps'!DM1</f>
        <v>0</v>
      </c>
      <c r="BC41">
        <f>+'E&amp;P Comps'!DN1</f>
        <v>0</v>
      </c>
      <c r="BD41">
        <f>+'E&amp;P Comps'!DO1</f>
        <v>0</v>
      </c>
      <c r="BE41">
        <f>+'E&amp;P Comps'!DP1</f>
        <v>0</v>
      </c>
      <c r="BF41">
        <f>+'E&amp;P Comps'!DQ1</f>
        <v>0</v>
      </c>
      <c r="BG41">
        <f>+'E&amp;P Comps'!DR1</f>
        <v>0</v>
      </c>
      <c r="BH41">
        <f>+'E&amp;P Comps'!DS1</f>
        <v>0</v>
      </c>
    </row>
    <row r="42" spans="2:60" x14ac:dyDescent="0.25">
      <c r="B42" s="5">
        <f>+'E&amp;P Comps'!BK110</f>
        <v>1.3512407594378018</v>
      </c>
      <c r="C42">
        <f>+'E&amp;P Comps'!BL110</f>
        <v>0</v>
      </c>
      <c r="D42">
        <f>+'E&amp;P Comps'!BM110</f>
        <v>1.5586709726851402</v>
      </c>
      <c r="E42">
        <f>+'E&amp;P Comps'!BP110</f>
        <v>0</v>
      </c>
      <c r="F42">
        <f>+'E&amp;P Comps'!BQ110</f>
        <v>2.9782620544563154</v>
      </c>
      <c r="G42">
        <f>+'E&amp;P Comps'!BR110</f>
        <v>0</v>
      </c>
      <c r="H42">
        <f>+'E&amp;P Comps'!BS110</f>
        <v>2.0346970137791089</v>
      </c>
      <c r="I42">
        <f>+'E&amp;P Comps'!BT110</f>
        <v>0</v>
      </c>
      <c r="J42">
        <f>+'E&amp;P Comps'!BU110</f>
        <v>2.1521243073213454</v>
      </c>
      <c r="K42" t="e">
        <f>+'E&amp;P Comps'!BV110</f>
        <v>#DIV/0!</v>
      </c>
      <c r="L42">
        <f>+'E&amp;P Comps'!BW110</f>
        <v>1.4903797422543317</v>
      </c>
      <c r="M42">
        <f>+'E&amp;P Comps'!BX110</f>
        <v>0</v>
      </c>
      <c r="N42">
        <f>+'E&amp;P Comps'!BY110</f>
        <v>1.1563545976591592</v>
      </c>
      <c r="O42" t="e">
        <f>+'E&amp;P Comps'!BZ110</f>
        <v>#DIV/0!</v>
      </c>
      <c r="P42">
        <f>+'E&amp;P Comps'!CA110</f>
        <v>1.9064014154727553</v>
      </c>
      <c r="Q42" t="e">
        <f>+'E&amp;P Comps'!CB110</f>
        <v>#DIV/0!</v>
      </c>
      <c r="R42">
        <f>+'E&amp;P Comps'!CC110</f>
        <v>3.1645044755255927</v>
      </c>
      <c r="S42" t="e">
        <f>+'E&amp;P Comps'!CD110</f>
        <v>#DIV/0!</v>
      </c>
      <c r="T42" t="e">
        <f>+'E&amp;P Comps'!CE110</f>
        <v>#DIV/0!</v>
      </c>
      <c r="U42" t="e">
        <f>+'E&amp;P Comps'!CF110</f>
        <v>#DIV/0!</v>
      </c>
      <c r="V42">
        <f>+'E&amp;P Comps'!CG110</f>
        <v>1.3656685010708101</v>
      </c>
      <c r="W42" t="e">
        <f>+'E&amp;P Comps'!CH110</f>
        <v>#DIV/0!</v>
      </c>
      <c r="X42">
        <f>+'E&amp;P Comps'!CI110</f>
        <v>2.0402046021574338</v>
      </c>
      <c r="Y42" t="e">
        <f>+'E&amp;P Comps'!CJ110</f>
        <v>#DIV/0!</v>
      </c>
      <c r="Z42" t="e">
        <f>+'E&amp;P Comps'!CK110</f>
        <v>#DIV/0!</v>
      </c>
      <c r="AA42" t="e">
        <f>+'E&amp;P Comps'!CL110</f>
        <v>#DIV/0!</v>
      </c>
      <c r="AB42">
        <f>+'E&amp;P Comps'!CM110</f>
        <v>1.7320555091462024</v>
      </c>
      <c r="AC42" t="e">
        <f>+'E&amp;P Comps'!CN110</f>
        <v>#DIV/0!</v>
      </c>
      <c r="AD42">
        <f>+'E&amp;P Comps'!CO110</f>
        <v>3.372989563464813</v>
      </c>
      <c r="AE42">
        <f>+'E&amp;P Comps'!CP110</f>
        <v>0</v>
      </c>
      <c r="AF42">
        <f>+'E&amp;P Comps'!CQ110</f>
        <v>0</v>
      </c>
      <c r="AG42">
        <f>+'E&amp;P Comps'!CR110</f>
        <v>0</v>
      </c>
      <c r="AH42">
        <f>+'E&amp;P Comps'!CS110</f>
        <v>0</v>
      </c>
      <c r="AI42">
        <f>+'E&amp;P Comps'!CT110</f>
        <v>0</v>
      </c>
      <c r="AJ42">
        <f>+'E&amp;P Comps'!CU110</f>
        <v>0</v>
      </c>
      <c r="AK42">
        <f>+'E&amp;P Comps'!CV110</f>
        <v>0</v>
      </c>
      <c r="AL42">
        <f>+'E&amp;P Comps'!CW110</f>
        <v>0</v>
      </c>
      <c r="AM42">
        <f>+'E&amp;P Comps'!CX110</f>
        <v>0</v>
      </c>
      <c r="AN42">
        <f>+'E&amp;P Comps'!CY110</f>
        <v>0</v>
      </c>
      <c r="AO42">
        <f>+'E&amp;P Comps'!CZ110</f>
        <v>0</v>
      </c>
      <c r="AP42">
        <f>+'E&amp;P Comps'!DA110</f>
        <v>0</v>
      </c>
      <c r="AQ42">
        <f>+'E&amp;P Comps'!DB110</f>
        <v>0</v>
      </c>
      <c r="AR42">
        <f>+'E&amp;P Comps'!DC110</f>
        <v>0</v>
      </c>
      <c r="AS42">
        <f>+'E&amp;P Comps'!DD110</f>
        <v>0</v>
      </c>
      <c r="AT42">
        <f>+'E&amp;P Comps'!DE110</f>
        <v>0</v>
      </c>
      <c r="AU42">
        <f>+'E&amp;P Comps'!DF110</f>
        <v>0</v>
      </c>
      <c r="AV42">
        <f>+'E&amp;P Comps'!DG110</f>
        <v>0</v>
      </c>
      <c r="AW42">
        <f>+'E&amp;P Comps'!DH110</f>
        <v>0</v>
      </c>
      <c r="AX42">
        <f>+'E&amp;P Comps'!DI110</f>
        <v>0</v>
      </c>
      <c r="AY42">
        <f>+'E&amp;P Comps'!DJ110</f>
        <v>0</v>
      </c>
      <c r="AZ42">
        <f>+'E&amp;P Comps'!DK110</f>
        <v>0</v>
      </c>
      <c r="BA42">
        <f>+'E&amp;P Comps'!DL110</f>
        <v>0</v>
      </c>
      <c r="BB42">
        <f>+'E&amp;P Comps'!DM110</f>
        <v>0</v>
      </c>
      <c r="BC42">
        <f>+'E&amp;P Comps'!DN110</f>
        <v>0</v>
      </c>
      <c r="BD42">
        <f>+'E&amp;P Comps'!DO110</f>
        <v>0</v>
      </c>
      <c r="BE42">
        <f>+'E&amp;P Comps'!DP110</f>
        <v>0</v>
      </c>
      <c r="BF42">
        <f>+'E&amp;P Comps'!DQ110</f>
        <v>0</v>
      </c>
      <c r="BG42">
        <f>+'E&amp;P Comps'!DR110</f>
        <v>0</v>
      </c>
      <c r="BH42">
        <f>+'E&amp;P Comps'!DS110</f>
        <v>0</v>
      </c>
    </row>
    <row r="44" spans="2:60" x14ac:dyDescent="0.25">
      <c r="B44" s="12" t="s">
        <v>299</v>
      </c>
      <c r="C44" s="12" t="s">
        <v>300</v>
      </c>
    </row>
    <row r="45" spans="2:60" x14ac:dyDescent="0.25">
      <c r="B45" s="2" t="str">
        <f>+B41</f>
        <v>Anadarko Petroleum</v>
      </c>
      <c r="C45" s="2">
        <f>+HLOOKUP(B45,$B$41:$CN$42,2,FALSE)</f>
        <v>1.3512407594378018</v>
      </c>
    </row>
    <row r="46" spans="2:60" x14ac:dyDescent="0.25">
      <c r="B46" t="str">
        <f>+D41</f>
        <v>Apache Corp</v>
      </c>
      <c r="C46" s="2">
        <f t="shared" ref="C46:C53" si="2">+HLOOKUP(B46,$B$41:$CN$42,2,FALSE)</f>
        <v>1.5586709726851402</v>
      </c>
    </row>
    <row r="47" spans="2:60" x14ac:dyDescent="0.25">
      <c r="B47" t="str">
        <f>+F41</f>
        <v>Cimarex</v>
      </c>
      <c r="C47" s="2">
        <f t="shared" si="2"/>
        <v>2.9782620544563154</v>
      </c>
    </row>
    <row r="48" spans="2:60" x14ac:dyDescent="0.25">
      <c r="B48" t="str">
        <f>+H41</f>
        <v>Concho Resources</v>
      </c>
      <c r="C48" s="2">
        <f t="shared" si="2"/>
        <v>2.0346970137791089</v>
      </c>
    </row>
    <row r="49" spans="2:3" x14ac:dyDescent="0.25">
      <c r="B49" t="str">
        <f>+J41</f>
        <v>ConocoPhillips</v>
      </c>
      <c r="C49" s="2">
        <f t="shared" si="2"/>
        <v>2.1521243073213454</v>
      </c>
    </row>
    <row r="50" spans="2:3" x14ac:dyDescent="0.25">
      <c r="B50" t="str">
        <f>+L41</f>
        <v>Continental Resources</v>
      </c>
      <c r="C50" s="2">
        <f t="shared" si="2"/>
        <v>1.4903797422543317</v>
      </c>
    </row>
    <row r="51" spans="2:3" x14ac:dyDescent="0.25">
      <c r="B51" t="str">
        <f>+N41</f>
        <v>Encana</v>
      </c>
      <c r="C51" s="2">
        <f t="shared" si="2"/>
        <v>1.1563545976591592</v>
      </c>
    </row>
    <row r="52" spans="2:3" x14ac:dyDescent="0.25">
      <c r="B52" t="str">
        <f>+P41</f>
        <v>Devon Energy</v>
      </c>
      <c r="C52" s="2">
        <f t="shared" si="2"/>
        <v>1.9064014154727553</v>
      </c>
    </row>
    <row r="53" spans="2:3" x14ac:dyDescent="0.25">
      <c r="B53" t="str">
        <f>+R41</f>
        <v>EOG Resources</v>
      </c>
      <c r="C53" s="2">
        <f t="shared" si="2"/>
        <v>3.1645044755255927</v>
      </c>
    </row>
    <row r="54" spans="2:3" x14ac:dyDescent="0.25">
      <c r="B54" t="str">
        <f>+V41</f>
        <v>Husky Energy</v>
      </c>
      <c r="C54" s="2">
        <f>+HLOOKUP(B54,$B$41:$CN$42,2,FALSE)</f>
        <v>1.3656685010708101</v>
      </c>
    </row>
    <row r="55" spans="2:3" x14ac:dyDescent="0.25">
      <c r="B55" t="str">
        <f>+X41</f>
        <v>Marathon Oil</v>
      </c>
      <c r="C55" s="2">
        <f>+HLOOKUP(B55,$B$41:$CN$42,2,FALSE)</f>
        <v>2.0402046021574338</v>
      </c>
    </row>
    <row r="56" spans="2:3" x14ac:dyDescent="0.25">
      <c r="B56" t="str">
        <f>+Z41</f>
        <v>Noble Energy</v>
      </c>
      <c r="C56" s="2" t="e">
        <f>+HLOOKUP(B56,$B$41:$CN$42,2,FALSE)</f>
        <v>#DIV/0!</v>
      </c>
    </row>
    <row r="57" spans="2:3" x14ac:dyDescent="0.25">
      <c r="B57" t="str">
        <f>+AB41</f>
        <v>Occidental Petroleum</v>
      </c>
      <c r="C57" s="2">
        <f>+HLOOKUP(B57,$B$41:$CN$42,2,FALSE)</f>
        <v>1.7320555091462024</v>
      </c>
    </row>
    <row r="58" spans="2:3" x14ac:dyDescent="0.25">
      <c r="B58" t="str">
        <f>+AD41</f>
        <v>Pioneer Natural Resources</v>
      </c>
      <c r="C58" s="2">
        <f>+HLOOKUP(B58,$B$41:$CN$42,2,FALSE)</f>
        <v>3.372989563464813</v>
      </c>
    </row>
    <row r="65" spans="3:3" x14ac:dyDescent="0.25">
      <c r="C65" s="2"/>
    </row>
    <row r="66" spans="3:3" x14ac:dyDescent="0.25">
      <c r="C66" s="2"/>
    </row>
  </sheetData>
  <autoFilter ref="B9:C38"/>
  <conditionalFormatting sqref="C65:C66 C10 C53:C58">
    <cfRule type="colorScale" priority="1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10">
    <cfRule type="colorScale" priority="1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12:C16">
    <cfRule type="colorScale" priority="1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11">
    <cfRule type="colorScale" priority="1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17:C37">
    <cfRule type="colorScale" priority="1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45">
    <cfRule type="colorScale" priority="5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B45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47:C52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C46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M37"/>
  <sheetViews>
    <sheetView showGridLines="0" workbookViewId="0">
      <pane xSplit="2" ySplit="9" topLeftCell="D28" activePane="bottomRight" state="frozen"/>
      <selection pane="topRight" activeCell="C1" sqref="C1"/>
      <selection pane="bottomLeft" activeCell="A10" sqref="A10"/>
      <selection pane="bottomRight" activeCell="P16" sqref="P16"/>
    </sheetView>
  </sheetViews>
  <sheetFormatPr defaultRowHeight="15" outlineLevelRow="1" x14ac:dyDescent="0.25"/>
  <cols>
    <col min="2" max="2" width="20.140625" bestFit="1" customWidth="1"/>
    <col min="3" max="3" width="0" hidden="1" customWidth="1"/>
    <col min="4" max="4" width="18.85546875" bestFit="1" customWidth="1"/>
    <col min="5" max="5" width="0" hidden="1" customWidth="1"/>
    <col min="6" max="6" width="19.28515625" bestFit="1" customWidth="1"/>
    <col min="7" max="7" width="9.140625" hidden="1" customWidth="1"/>
    <col min="8" max="8" width="18.85546875" hidden="1" customWidth="1"/>
    <col min="9" max="9" width="9.140625" hidden="1" customWidth="1"/>
    <col min="10" max="10" width="18.85546875" bestFit="1" customWidth="1"/>
    <col min="11" max="11" width="18.85546875" hidden="1" customWidth="1"/>
    <col min="12" max="12" width="18.85546875" customWidth="1"/>
    <col min="13" max="13" width="9.140625" hidden="1" customWidth="1"/>
    <col min="14" max="14" width="18.85546875" bestFit="1" customWidth="1"/>
    <col min="15" max="15" width="9.140625" hidden="1" customWidth="1"/>
    <col min="16" max="16" width="18.85546875" customWidth="1"/>
    <col min="17" max="17" width="9.140625" hidden="1" customWidth="1"/>
    <col min="18" max="18" width="18.85546875" bestFit="1" customWidth="1"/>
    <col min="19" max="19" width="0" hidden="1" customWidth="1"/>
    <col min="20" max="20" width="19.28515625" bestFit="1" customWidth="1"/>
    <col min="21" max="21" width="19.28515625" hidden="1" customWidth="1"/>
    <col min="22" max="22" width="19.28515625" customWidth="1"/>
    <col min="23" max="23" width="9.140625" hidden="1" customWidth="1"/>
    <col min="24" max="24" width="18.85546875" bestFit="1" customWidth="1"/>
    <col min="25" max="26" width="18.85546875" hidden="1" customWidth="1"/>
    <col min="27" max="27" width="9.140625" hidden="1" customWidth="1"/>
    <col min="28" max="28" width="18.85546875" bestFit="1" customWidth="1"/>
    <col min="29" max="29" width="0" hidden="1" customWidth="1"/>
    <col min="30" max="30" width="18.85546875" bestFit="1" customWidth="1"/>
    <col min="31" max="31" width="0" hidden="1" customWidth="1"/>
    <col min="32" max="33" width="19.85546875" customWidth="1"/>
    <col min="34" max="34" width="9.140625" customWidth="1"/>
    <col min="35" max="35" width="18.85546875" customWidth="1"/>
    <col min="36" max="36" width="9.140625" customWidth="1"/>
    <col min="37" max="37" width="19.28515625" customWidth="1"/>
    <col min="38" max="38" width="9.140625" customWidth="1"/>
    <col min="39" max="39" width="18.85546875" customWidth="1"/>
    <col min="40" max="40" width="9.140625" customWidth="1"/>
    <col min="41" max="41" width="18.85546875" customWidth="1"/>
    <col min="42" max="42" width="9.140625" customWidth="1"/>
    <col min="43" max="43" width="18.85546875" customWidth="1"/>
    <col min="44" max="44" width="9.140625" customWidth="1"/>
    <col min="45" max="45" width="18.85546875" bestFit="1" customWidth="1"/>
    <col min="46" max="47" width="9.140625" customWidth="1"/>
    <col min="48" max="48" width="9.140625" hidden="1" customWidth="1"/>
    <col min="49" max="49" width="18.85546875" bestFit="1" customWidth="1"/>
    <col min="50" max="50" width="15.85546875" hidden="1" customWidth="1"/>
    <col min="51" max="51" width="18.85546875" bestFit="1" customWidth="1"/>
    <col min="52" max="52" width="0" hidden="1" customWidth="1"/>
    <col min="53" max="53" width="21.42578125" bestFit="1" customWidth="1"/>
    <col min="54" max="54" width="0" hidden="1" customWidth="1"/>
    <col min="55" max="55" width="21.42578125" bestFit="1" customWidth="1"/>
    <col min="56" max="56" width="9.140625" hidden="1" customWidth="1"/>
    <col min="57" max="57" width="21.42578125" bestFit="1" customWidth="1"/>
  </cols>
  <sheetData>
    <row r="1" spans="2:65" x14ac:dyDescent="0.25">
      <c r="B1" s="12"/>
      <c r="C1" s="12"/>
      <c r="D1" s="40" t="s">
        <v>189</v>
      </c>
      <c r="E1" s="40"/>
      <c r="F1" s="40" t="s">
        <v>190</v>
      </c>
      <c r="G1" s="40"/>
      <c r="H1" s="40" t="s">
        <v>242</v>
      </c>
      <c r="I1" s="40"/>
      <c r="J1" s="40" t="s">
        <v>191</v>
      </c>
      <c r="K1" s="12"/>
      <c r="L1" s="40" t="s">
        <v>237</v>
      </c>
      <c r="M1" s="12"/>
      <c r="N1" s="40" t="s">
        <v>192</v>
      </c>
      <c r="O1" s="40"/>
      <c r="P1" s="40" t="s">
        <v>366</v>
      </c>
      <c r="Q1" s="40"/>
      <c r="R1" s="40" t="s">
        <v>193</v>
      </c>
      <c r="S1" s="40"/>
      <c r="T1" s="40" t="s">
        <v>194</v>
      </c>
      <c r="U1" s="12"/>
      <c r="V1" s="40" t="s">
        <v>236</v>
      </c>
      <c r="W1" s="12"/>
      <c r="X1" s="40" t="s">
        <v>195</v>
      </c>
      <c r="Y1" s="12"/>
      <c r="Z1" s="40"/>
      <c r="AA1" s="12"/>
      <c r="AB1" s="40" t="s">
        <v>196</v>
      </c>
      <c r="AC1" s="12"/>
      <c r="AD1" s="40" t="s">
        <v>197</v>
      </c>
      <c r="AE1" s="12"/>
      <c r="AF1" s="40" t="s">
        <v>235</v>
      </c>
      <c r="AG1" s="40"/>
      <c r="AH1" s="12"/>
      <c r="AI1" s="40" t="s">
        <v>333</v>
      </c>
      <c r="AJ1" s="40"/>
      <c r="AK1" s="40" t="s">
        <v>334</v>
      </c>
      <c r="AL1" s="40"/>
      <c r="AM1" s="40" t="s">
        <v>335</v>
      </c>
      <c r="AN1" s="40"/>
      <c r="AO1" s="40" t="s">
        <v>336</v>
      </c>
      <c r="AP1" s="12"/>
      <c r="AQ1" s="40" t="s">
        <v>337</v>
      </c>
      <c r="AR1" s="12"/>
      <c r="AS1" s="40" t="s">
        <v>338</v>
      </c>
      <c r="AT1" s="40"/>
      <c r="AU1" s="40" t="s">
        <v>339</v>
      </c>
      <c r="AV1" s="40"/>
      <c r="AW1" s="40" t="s">
        <v>340</v>
      </c>
      <c r="AX1" s="40"/>
      <c r="AY1" s="40" t="s">
        <v>329</v>
      </c>
      <c r="AZ1" s="40"/>
      <c r="BA1" s="40" t="s">
        <v>341</v>
      </c>
      <c r="BB1" s="12"/>
      <c r="BC1" s="40" t="s">
        <v>342</v>
      </c>
      <c r="BD1" s="12"/>
      <c r="BE1" s="40" t="s">
        <v>343</v>
      </c>
      <c r="BF1" s="12"/>
      <c r="BG1" s="40" t="s">
        <v>344</v>
      </c>
      <c r="BH1" s="12"/>
      <c r="BI1" s="40"/>
      <c r="BJ1" s="12"/>
      <c r="BK1" s="40"/>
      <c r="BL1" s="12"/>
      <c r="BM1" s="40"/>
    </row>
    <row r="2" spans="2:65" x14ac:dyDescent="0.25">
      <c r="B2" t="s">
        <v>0</v>
      </c>
      <c r="D2" s="37" t="s">
        <v>167</v>
      </c>
      <c r="E2" s="37"/>
      <c r="F2" s="37" t="s">
        <v>167</v>
      </c>
      <c r="G2" s="37"/>
      <c r="H2" s="37" t="s">
        <v>255</v>
      </c>
      <c r="I2" s="37"/>
      <c r="J2" s="37" t="s">
        <v>167</v>
      </c>
      <c r="K2" s="37"/>
      <c r="L2" s="37" t="s">
        <v>239</v>
      </c>
      <c r="M2" s="37"/>
      <c r="N2" s="37" t="s">
        <v>214</v>
      </c>
      <c r="O2" s="37"/>
      <c r="P2" s="37" t="s">
        <v>167</v>
      </c>
      <c r="Q2" s="37"/>
      <c r="R2" s="37" t="s">
        <v>217</v>
      </c>
      <c r="S2" s="37"/>
      <c r="T2" s="37" t="s">
        <v>214</v>
      </c>
      <c r="U2" s="37"/>
      <c r="V2" s="37" t="s">
        <v>229</v>
      </c>
      <c r="W2" s="37"/>
      <c r="X2" s="37" t="s">
        <v>224</v>
      </c>
      <c r="Y2" s="37"/>
      <c r="Z2" s="37"/>
      <c r="AA2" s="37"/>
      <c r="AB2" s="37" t="s">
        <v>354</v>
      </c>
      <c r="AC2" s="37"/>
      <c r="AD2" s="37" t="s">
        <v>229</v>
      </c>
      <c r="AE2" s="37"/>
      <c r="AF2" s="37" t="s">
        <v>224</v>
      </c>
      <c r="AG2" s="37"/>
      <c r="AI2" s="37" t="s">
        <v>100</v>
      </c>
      <c r="AJ2" s="37"/>
      <c r="AK2" s="37" t="s">
        <v>353</v>
      </c>
      <c r="AL2" s="37"/>
      <c r="AM2" s="37" t="s">
        <v>352</v>
      </c>
      <c r="AN2" s="37"/>
      <c r="AO2" s="37" t="s">
        <v>92</v>
      </c>
      <c r="AP2" s="37"/>
      <c r="AQ2" s="37" t="s">
        <v>350</v>
      </c>
      <c r="AR2" s="37"/>
      <c r="AS2" s="37" t="s">
        <v>346</v>
      </c>
      <c r="AT2" s="37"/>
      <c r="AU2" s="37"/>
      <c r="AV2" s="37"/>
      <c r="AW2" s="37"/>
      <c r="AX2" s="37"/>
      <c r="AY2" s="37" t="s">
        <v>140</v>
      </c>
      <c r="AZ2" s="37"/>
      <c r="BA2" s="37" t="s">
        <v>349</v>
      </c>
      <c r="BB2" s="37"/>
      <c r="BC2" s="37" t="s">
        <v>107</v>
      </c>
      <c r="BD2" s="37"/>
      <c r="BE2" s="37" t="s">
        <v>348</v>
      </c>
      <c r="BF2" s="37"/>
      <c r="BG2" s="37"/>
      <c r="BH2" s="37"/>
      <c r="BI2" s="37"/>
      <c r="BJ2" s="37"/>
      <c r="BK2" s="37"/>
      <c r="BL2" s="37"/>
      <c r="BM2" s="37"/>
    </row>
    <row r="3" spans="2:65" x14ac:dyDescent="0.25">
      <c r="B3" t="s">
        <v>1</v>
      </c>
      <c r="D3" s="37" t="s">
        <v>198</v>
      </c>
      <c r="E3" s="37"/>
      <c r="F3" s="37" t="s">
        <v>204</v>
      </c>
      <c r="G3" s="37"/>
      <c r="H3" s="37" t="s">
        <v>256</v>
      </c>
      <c r="I3" s="37"/>
      <c r="J3" s="37" t="s">
        <v>212</v>
      </c>
      <c r="K3" s="37"/>
      <c r="L3" s="37" t="s">
        <v>240</v>
      </c>
      <c r="M3" s="37"/>
      <c r="N3" s="37" t="s">
        <v>215</v>
      </c>
      <c r="O3" s="37"/>
      <c r="P3" s="37" t="s">
        <v>367</v>
      </c>
      <c r="Q3" s="37"/>
      <c r="R3" s="37" t="s">
        <v>218</v>
      </c>
      <c r="S3" s="37"/>
      <c r="T3" s="37" t="s">
        <v>222</v>
      </c>
      <c r="U3" s="37"/>
      <c r="V3" s="37" t="s">
        <v>257</v>
      </c>
      <c r="W3" s="37"/>
      <c r="X3" s="37" t="s">
        <v>225</v>
      </c>
      <c r="Y3" s="37"/>
      <c r="Z3" s="37"/>
      <c r="AA3" s="37"/>
      <c r="AB3" s="37" t="s">
        <v>227</v>
      </c>
      <c r="AC3" s="37"/>
      <c r="AD3" s="37" t="s">
        <v>230</v>
      </c>
      <c r="AE3" s="37"/>
      <c r="AF3" s="37" t="s">
        <v>233</v>
      </c>
      <c r="AG3" s="37"/>
      <c r="AI3" s="37" t="s">
        <v>355</v>
      </c>
      <c r="AJ3" s="37"/>
      <c r="AK3" s="37"/>
      <c r="AL3" s="37"/>
      <c r="AM3" s="37"/>
      <c r="AN3" s="37"/>
      <c r="AO3" s="37" t="s">
        <v>129</v>
      </c>
      <c r="AP3" s="37"/>
      <c r="AQ3" s="37" t="s">
        <v>121</v>
      </c>
      <c r="AR3" s="37"/>
      <c r="AS3" s="37" t="s">
        <v>347</v>
      </c>
      <c r="AT3" s="37"/>
      <c r="AU3" s="37"/>
      <c r="AV3" s="37"/>
      <c r="AW3" s="37"/>
      <c r="AX3" s="37"/>
      <c r="AY3" s="37" t="s">
        <v>331</v>
      </c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</row>
    <row r="4" spans="2:65" hidden="1" outlineLevel="1" x14ac:dyDescent="0.25">
      <c r="D4" s="37" t="s">
        <v>95</v>
      </c>
      <c r="E4" s="37"/>
      <c r="F4" s="37" t="s">
        <v>95</v>
      </c>
      <c r="G4" s="37"/>
      <c r="H4" s="37" t="s">
        <v>95</v>
      </c>
      <c r="I4" s="37"/>
      <c r="J4" s="37" t="s">
        <v>95</v>
      </c>
      <c r="K4" s="37"/>
      <c r="L4" s="37" t="s">
        <v>95</v>
      </c>
      <c r="M4" s="37"/>
      <c r="N4" s="37" t="s">
        <v>95</v>
      </c>
      <c r="O4" s="37"/>
      <c r="P4" s="37" t="s">
        <v>95</v>
      </c>
      <c r="Q4" s="37"/>
      <c r="R4" s="37" t="s">
        <v>95</v>
      </c>
      <c r="S4" s="37"/>
      <c r="T4" s="37" t="s">
        <v>95</v>
      </c>
      <c r="U4" s="37"/>
      <c r="V4" s="37" t="s">
        <v>95</v>
      </c>
      <c r="W4" s="37"/>
      <c r="X4" s="37" t="s">
        <v>95</v>
      </c>
      <c r="Y4" s="37"/>
      <c r="Z4" s="37"/>
      <c r="AA4" s="37"/>
      <c r="AB4" s="37" t="s">
        <v>95</v>
      </c>
      <c r="AC4" s="37"/>
      <c r="AD4" s="37" t="s">
        <v>95</v>
      </c>
      <c r="AE4" s="37"/>
      <c r="AF4" s="37" t="s">
        <v>95</v>
      </c>
      <c r="AG4" s="37"/>
      <c r="AI4" s="37" t="s">
        <v>95</v>
      </c>
      <c r="AJ4" s="37"/>
      <c r="AK4" s="37" t="s">
        <v>95</v>
      </c>
      <c r="AL4" s="37"/>
      <c r="AM4" s="37" t="s">
        <v>95</v>
      </c>
      <c r="AN4" s="37"/>
      <c r="AO4" s="37" t="s">
        <v>95</v>
      </c>
      <c r="AP4" s="37"/>
      <c r="AQ4" s="37" t="s">
        <v>95</v>
      </c>
      <c r="AR4" s="37"/>
      <c r="AS4" s="37" t="s">
        <v>95</v>
      </c>
      <c r="AT4" s="37"/>
      <c r="AU4" s="37" t="s">
        <v>95</v>
      </c>
      <c r="AV4" s="37"/>
      <c r="AW4" s="37"/>
      <c r="AX4" s="37"/>
      <c r="AY4" s="37" t="s">
        <v>95</v>
      </c>
      <c r="AZ4" s="37"/>
      <c r="BA4" s="37" t="s">
        <v>95</v>
      </c>
      <c r="BB4" s="37"/>
      <c r="BC4" s="37" t="s">
        <v>95</v>
      </c>
      <c r="BD4" s="37"/>
      <c r="BE4" s="37" t="s">
        <v>95</v>
      </c>
      <c r="BF4" s="37"/>
      <c r="BG4" s="37"/>
      <c r="BH4" s="37"/>
      <c r="BI4" s="37" t="s">
        <v>95</v>
      </c>
      <c r="BJ4" s="37"/>
      <c r="BK4" s="37" t="s">
        <v>95</v>
      </c>
      <c r="BL4" s="37"/>
      <c r="BM4" s="37" t="s">
        <v>95</v>
      </c>
    </row>
    <row r="5" spans="2:65" collapsed="1" x14ac:dyDescent="0.25">
      <c r="B5" t="s">
        <v>89</v>
      </c>
      <c r="C5" t="s">
        <v>199</v>
      </c>
      <c r="D5" s="41">
        <f>_xll.BDP(C5,D4)</f>
        <v>108.861</v>
      </c>
      <c r="E5" s="41" t="s">
        <v>205</v>
      </c>
      <c r="F5" s="41">
        <f>_xll.BDP(E5,F4)</f>
        <v>91.248999999999995</v>
      </c>
      <c r="G5" s="41" t="s">
        <v>254</v>
      </c>
      <c r="H5" s="41">
        <f>_xll.BDP(G5,H4)</f>
        <v>106.014</v>
      </c>
      <c r="I5" s="41" t="s">
        <v>213</v>
      </c>
      <c r="J5" s="41">
        <f>_xll.BDP(I5,J4)</f>
        <v>97.725999999999999</v>
      </c>
      <c r="K5" s="39" t="s">
        <v>241</v>
      </c>
      <c r="L5" s="41">
        <f>_xll.BDP(K5,L4)</f>
        <v>101.04300000000001</v>
      </c>
      <c r="M5" s="39" t="s">
        <v>216</v>
      </c>
      <c r="N5" s="41">
        <f>_xll.BDP(M5,N4)</f>
        <v>105.259</v>
      </c>
      <c r="O5" s="41" t="s">
        <v>368</v>
      </c>
      <c r="P5" s="41">
        <f>_xll.BDP(O5,P4)</f>
        <v>108.21</v>
      </c>
      <c r="Q5" s="41" t="s">
        <v>219</v>
      </c>
      <c r="R5" s="41">
        <f>_xll.BDP(Q5,R4)</f>
        <v>104.52200000000001</v>
      </c>
      <c r="S5" s="41" t="s">
        <v>223</v>
      </c>
      <c r="T5" s="41">
        <f>_xll.BDP(S5,T4)</f>
        <v>108.886</v>
      </c>
      <c r="U5" s="39" t="s">
        <v>258</v>
      </c>
      <c r="V5" s="41">
        <f>_xll.BDP(U5,V4)</f>
        <v>104.46899999999999</v>
      </c>
      <c r="W5" s="39" t="s">
        <v>226</v>
      </c>
      <c r="X5" s="41">
        <f>_xll.BDP(W5,X4)</f>
        <v>102.639</v>
      </c>
      <c r="Y5" s="39" t="s">
        <v>260</v>
      </c>
      <c r="Z5" s="41"/>
      <c r="AA5" s="39" t="s">
        <v>228</v>
      </c>
      <c r="AB5" s="41">
        <f>_xll.BDP(AA5,AB4)</f>
        <v>104.096</v>
      </c>
      <c r="AC5" s="39" t="s">
        <v>231</v>
      </c>
      <c r="AD5" s="41">
        <f>_xll.BDP(AC5,AD4)</f>
        <v>100.08</v>
      </c>
      <c r="AE5" s="39" t="s">
        <v>234</v>
      </c>
      <c r="AF5" s="41">
        <f>_xll.BDP(AE5,AF4)</f>
        <v>99.453000000000003</v>
      </c>
      <c r="AG5" s="41"/>
      <c r="AH5" t="s">
        <v>356</v>
      </c>
      <c r="AI5" s="41">
        <f>_xll.BDP(AH5,AI4)</f>
        <v>101.711</v>
      </c>
      <c r="AJ5" s="41"/>
      <c r="AK5" s="41" t="str">
        <f>_xll.BDP(AJ5,AK4)</f>
        <v>#N/A Invalid Security</v>
      </c>
      <c r="AL5" s="41"/>
      <c r="AM5" s="41" t="str">
        <f>_xll.BDP(AL5,AM4)</f>
        <v>#N/A Invalid Security</v>
      </c>
      <c r="AN5" s="41" t="s">
        <v>351</v>
      </c>
      <c r="AO5" s="41">
        <f>_xll.BDP(AN5,AO4)</f>
        <v>102.476</v>
      </c>
      <c r="AP5" s="39" t="s">
        <v>357</v>
      </c>
      <c r="AQ5" s="41">
        <f>_xll.BDP(AP5,AQ4)</f>
        <v>104.71</v>
      </c>
      <c r="AR5" s="39" t="s">
        <v>345</v>
      </c>
      <c r="AS5" s="41">
        <f>_xll.BDP(AR5,AS4)</f>
        <v>98.968999999999994</v>
      </c>
      <c r="AT5" s="41" t="s">
        <v>114</v>
      </c>
      <c r="AU5" s="41">
        <f>_xll.BDP(AT5,AU4)</f>
        <v>103.221</v>
      </c>
      <c r="AV5" s="41" t="s">
        <v>330</v>
      </c>
      <c r="AW5" s="41" t="str">
        <f>_xll.BDP(AV5,AW4)</f>
        <v>#N/A Invalid Field</v>
      </c>
      <c r="AX5" s="41" t="s">
        <v>330</v>
      </c>
      <c r="AY5" s="41">
        <f>_xll.BDP(AX5,AY4)</f>
        <v>101.651</v>
      </c>
      <c r="AZ5" s="41"/>
      <c r="BA5" s="41" t="str">
        <f>_xll.BDP(AZ5,BA4)</f>
        <v>#N/A Invalid Security</v>
      </c>
      <c r="BB5" s="39"/>
      <c r="BC5" s="41" t="str">
        <f>_xll.BDP(BB5,BC4)</f>
        <v>#N/A Invalid Security</v>
      </c>
      <c r="BD5" s="39" t="s">
        <v>358</v>
      </c>
      <c r="BE5" s="41">
        <f>_xll.BDP(BD5,BE4)</f>
        <v>101.095</v>
      </c>
      <c r="BF5" s="39"/>
      <c r="BG5" s="41"/>
      <c r="BH5" s="39" t="s">
        <v>228</v>
      </c>
      <c r="BI5" s="41">
        <f>_xll.BDP(BH5,BI4)</f>
        <v>104.096</v>
      </c>
      <c r="BJ5" s="39" t="s">
        <v>231</v>
      </c>
      <c r="BK5" s="41">
        <f>_xll.BDP(BJ5,BK4)</f>
        <v>100.08</v>
      </c>
      <c r="BL5" s="39" t="s">
        <v>234</v>
      </c>
      <c r="BM5" s="41">
        <f>_xll.BDP(BL5,BM4)</f>
        <v>99.453000000000003</v>
      </c>
    </row>
    <row r="6" spans="2:65" hidden="1" outlineLevel="1" x14ac:dyDescent="0.25">
      <c r="D6" s="41" t="s">
        <v>161</v>
      </c>
      <c r="E6" s="41"/>
      <c r="F6" s="41" t="s">
        <v>161</v>
      </c>
      <c r="G6" s="41"/>
      <c r="H6" s="41" t="s">
        <v>161</v>
      </c>
      <c r="I6" s="41"/>
      <c r="J6" s="41" t="s">
        <v>161</v>
      </c>
      <c r="K6" s="39"/>
      <c r="L6" s="41" t="s">
        <v>161</v>
      </c>
      <c r="M6" s="39"/>
      <c r="N6" s="41" t="s">
        <v>161</v>
      </c>
      <c r="O6" s="41"/>
      <c r="P6" s="41" t="s">
        <v>161</v>
      </c>
      <c r="Q6" s="41"/>
      <c r="R6" s="41" t="s">
        <v>161</v>
      </c>
      <c r="S6" s="41"/>
      <c r="T6" s="41" t="s">
        <v>161</v>
      </c>
      <c r="U6" s="39"/>
      <c r="V6" s="41" t="s">
        <v>161</v>
      </c>
      <c r="W6" s="39"/>
      <c r="X6" s="41" t="s">
        <v>161</v>
      </c>
      <c r="Y6" s="39"/>
      <c r="Z6" s="41"/>
      <c r="AA6" s="39"/>
      <c r="AB6" s="41" t="s">
        <v>161</v>
      </c>
      <c r="AC6" s="39"/>
      <c r="AD6" s="41" t="s">
        <v>161</v>
      </c>
      <c r="AE6" s="39"/>
      <c r="AF6" s="41" t="s">
        <v>161</v>
      </c>
      <c r="AG6" s="41"/>
      <c r="AI6" s="39" t="s">
        <v>96</v>
      </c>
      <c r="AJ6" s="41"/>
      <c r="AK6" s="41" t="s">
        <v>161</v>
      </c>
      <c r="AL6" s="41"/>
      <c r="AM6" s="41" t="s">
        <v>161</v>
      </c>
      <c r="AN6" s="41"/>
      <c r="AO6" s="39" t="s">
        <v>96</v>
      </c>
      <c r="AP6" s="39"/>
      <c r="AQ6" s="39" t="s">
        <v>96</v>
      </c>
      <c r="AR6" s="39"/>
      <c r="AS6" s="39" t="s">
        <v>96</v>
      </c>
      <c r="AT6" s="41"/>
      <c r="AU6" s="41" t="s">
        <v>161</v>
      </c>
      <c r="AV6" s="41"/>
      <c r="AW6" s="41" t="s">
        <v>161</v>
      </c>
      <c r="AX6" s="41"/>
      <c r="AY6" s="39" t="s">
        <v>96</v>
      </c>
      <c r="AZ6" s="41"/>
      <c r="BA6" s="41" t="s">
        <v>161</v>
      </c>
      <c r="BB6" s="39"/>
      <c r="BC6" s="41" t="s">
        <v>161</v>
      </c>
      <c r="BD6" s="39"/>
      <c r="BE6" s="41" t="s">
        <v>161</v>
      </c>
      <c r="BF6" s="39"/>
      <c r="BG6" s="41"/>
      <c r="BH6" s="39"/>
      <c r="BI6" s="41" t="s">
        <v>161</v>
      </c>
      <c r="BJ6" s="39"/>
      <c r="BK6" s="41" t="s">
        <v>161</v>
      </c>
      <c r="BL6" s="39"/>
      <c r="BM6" s="41" t="s">
        <v>161</v>
      </c>
    </row>
    <row r="7" spans="2:65" collapsed="1" x14ac:dyDescent="0.25">
      <c r="B7" t="s">
        <v>220</v>
      </c>
      <c r="C7" t="str">
        <f>+C5</f>
        <v>lw1068706 corp</v>
      </c>
      <c r="D7" s="41">
        <f>_xll.BDP(C7,D6)</f>
        <v>214.36587550508699</v>
      </c>
      <c r="E7" s="41" t="str">
        <f>+E5</f>
        <v>ap9675491 corp</v>
      </c>
      <c r="F7" s="41">
        <f>_xll.BDP(E7,F6)</f>
        <v>308.71387115160798</v>
      </c>
      <c r="G7" s="41" t="str">
        <f>+G5</f>
        <v>jk8194108 corp</v>
      </c>
      <c r="H7" s="41">
        <f>_xll.BDP(G7,H6)</f>
        <v>110.37948777890701</v>
      </c>
      <c r="I7" s="41" t="str">
        <f>+I5</f>
        <v>am7613012 corp</v>
      </c>
      <c r="J7" s="41">
        <f>_xll.BDP(I7,J6)</f>
        <v>243.53021349585501</v>
      </c>
      <c r="K7" s="39" t="str">
        <f>+K5</f>
        <v>ao1405585 corp</v>
      </c>
      <c r="L7" s="41">
        <f>_xll.BDP(K7,L6)</f>
        <v>121.108273528588</v>
      </c>
      <c r="M7" s="39" t="str">
        <f>+M5</f>
        <v>au8143607 corp</v>
      </c>
      <c r="N7" s="41">
        <f>_xll.BDP(M7,N6)</f>
        <v>110.465181962454</v>
      </c>
      <c r="O7" s="41" t="str">
        <f>+O5</f>
        <v>ax8689231 corp</v>
      </c>
      <c r="P7" s="41">
        <f>_xll.BDP(O7,P6)</f>
        <v>193.33586413709099</v>
      </c>
      <c r="Q7" s="41" t="str">
        <f>+Q5</f>
        <v>ek6237607 corp</v>
      </c>
      <c r="R7" s="41">
        <f>_xll.BDP(Q7,R6)</f>
        <v>118.510582569466</v>
      </c>
      <c r="S7" s="41" t="str">
        <f>+S5</f>
        <v>jk2126734 corp</v>
      </c>
      <c r="T7" s="41">
        <f>_xll.BDP(S7,T6)</f>
        <v>119.839448272824</v>
      </c>
      <c r="U7" s="39" t="str">
        <f>+U5</f>
        <v>at2061758 corp</v>
      </c>
      <c r="V7" s="41">
        <f>_xll.BDP(U7,V6)</f>
        <v>158.92129153273399</v>
      </c>
      <c r="W7" s="39" t="str">
        <f>+W5</f>
        <v>al2939414 corp</v>
      </c>
      <c r="X7" s="41">
        <f>_xll.BDP(W7,X6)</f>
        <v>176.71196214838</v>
      </c>
      <c r="Y7" s="39" t="str">
        <f>+Y5</f>
        <v>aq7078274 corp</v>
      </c>
      <c r="Z7" s="41"/>
      <c r="AA7" s="39" t="str">
        <f>+AA5</f>
        <v>as5051345 corp</v>
      </c>
      <c r="AB7" s="41">
        <f>_xll.BDP(AA7,AB6)</f>
        <v>134.03417971196299</v>
      </c>
      <c r="AC7" s="39" t="str">
        <f>+AC5</f>
        <v>an8093246 corp</v>
      </c>
      <c r="AD7" s="41">
        <f>_xll.BDP(AC7,AD6)</f>
        <v>140.80021916300299</v>
      </c>
      <c r="AE7" s="39" t="str">
        <f>+AE5</f>
        <v>at9556495 corp</v>
      </c>
      <c r="AF7" s="41">
        <f>_xll.BDP(AE7,AF6)</f>
        <v>245.80588052405599</v>
      </c>
      <c r="AG7" s="41"/>
      <c r="AH7" t="str">
        <f>+AH5</f>
        <v>ax3484406 corp</v>
      </c>
      <c r="AI7" s="54">
        <f>_xll.BDP(AH7,AI6)</f>
        <v>5.4319682599999997</v>
      </c>
      <c r="AJ7" s="41"/>
      <c r="AK7" s="41" t="str">
        <f>_xll.BDP(AJ7,AK6)</f>
        <v>#N/A Invalid Security</v>
      </c>
      <c r="AL7" s="41"/>
      <c r="AM7" s="41" t="str">
        <f>_xll.BDP(AL7,AM6)</f>
        <v>#N/A Invalid Security</v>
      </c>
      <c r="AN7" s="41" t="str">
        <f>+AN5</f>
        <v>aO0405131 corp</v>
      </c>
      <c r="AO7" s="54">
        <f>_xll.BDP(AN7,AO6)</f>
        <v>5.13199133</v>
      </c>
      <c r="AP7" s="39" t="str">
        <f>+AP5</f>
        <v>at5412909 corp</v>
      </c>
      <c r="AQ7" s="54">
        <f>_xll.BDP(AP7,AQ6)</f>
        <v>4.50292564</v>
      </c>
      <c r="AR7" s="39" t="str">
        <f>+AR5</f>
        <v>lw8414374 corp</v>
      </c>
      <c r="AS7" s="54">
        <f>_xll.BDP(AR7,AS6)</f>
        <v>5.045394322382255</v>
      </c>
      <c r="AT7" s="41" t="str">
        <f>+AT5</f>
        <v>AL7282349 corp</v>
      </c>
      <c r="AU7" s="41">
        <f>_xll.BDP(AT7,AU6)</f>
        <v>80.534386272078095</v>
      </c>
      <c r="AV7" s="41" t="str">
        <f>+AV5</f>
        <v>qz6591072 corp</v>
      </c>
      <c r="AW7" s="41">
        <f>_xll.BDP(AV7,AW6)</f>
        <v>246.049277107786</v>
      </c>
      <c r="AX7" s="41" t="str">
        <f>+AX5</f>
        <v>qz6591072 corp</v>
      </c>
      <c r="AY7" s="41">
        <f>_xll.BDP(AX7,AY6)</f>
        <v>5.0958275500000001</v>
      </c>
      <c r="AZ7" s="41"/>
      <c r="BA7" s="41" t="str">
        <f>_xll.BDP(AZ7,BA6)</f>
        <v>#N/A Invalid Security</v>
      </c>
      <c r="BB7" s="39"/>
      <c r="BC7" s="41" t="str">
        <f>_xll.BDP(BB7,BC6)</f>
        <v>#N/A Invalid Security</v>
      </c>
      <c r="BD7" s="39" t="str">
        <f>+BD5</f>
        <v>av0291246 corp</v>
      </c>
      <c r="BE7" s="41">
        <f>_xll.BDP(BD7,BE6)</f>
        <v>262.92618196130502</v>
      </c>
      <c r="BF7" s="39"/>
      <c r="BG7" s="41"/>
      <c r="BH7" s="39" t="str">
        <f>+BH5</f>
        <v>as5051345 corp</v>
      </c>
      <c r="BI7" s="41">
        <f>_xll.BDP(BH7,BI6)</f>
        <v>134.03417971196299</v>
      </c>
      <c r="BJ7" s="39" t="str">
        <f>+BJ5</f>
        <v>an8093246 corp</v>
      </c>
      <c r="BK7" s="41">
        <f>_xll.BDP(BJ7,BK6)</f>
        <v>140.80021916300299</v>
      </c>
      <c r="BL7" s="39" t="str">
        <f>+BL5</f>
        <v>at9556495 corp</v>
      </c>
      <c r="BM7" s="41">
        <f>_xll.BDP(BL7,BM6)</f>
        <v>245.80588052405599</v>
      </c>
    </row>
    <row r="8" spans="2:65" hidden="1" x14ac:dyDescent="0.25">
      <c r="B8" t="s">
        <v>246</v>
      </c>
      <c r="D8" s="8">
        <v>3</v>
      </c>
      <c r="E8" s="8"/>
      <c r="F8" s="8">
        <v>3</v>
      </c>
      <c r="G8" s="8"/>
      <c r="H8" s="8"/>
      <c r="I8" s="8"/>
      <c r="J8" s="8">
        <v>2</v>
      </c>
      <c r="K8" s="8"/>
      <c r="L8" s="8">
        <v>2</v>
      </c>
      <c r="M8" s="8"/>
      <c r="N8" s="8">
        <v>1</v>
      </c>
      <c r="O8" s="4"/>
      <c r="P8" s="4"/>
      <c r="Q8" s="4"/>
      <c r="R8" s="8">
        <v>1</v>
      </c>
      <c r="S8" s="4"/>
      <c r="T8" s="8">
        <v>3</v>
      </c>
      <c r="U8" s="4"/>
      <c r="V8" s="8">
        <v>3</v>
      </c>
      <c r="W8" s="4"/>
      <c r="X8" s="8">
        <v>2</v>
      </c>
      <c r="Y8" s="4"/>
      <c r="Z8" s="8"/>
      <c r="AA8" s="8"/>
      <c r="AB8" s="8">
        <v>3</v>
      </c>
      <c r="AC8" s="8"/>
      <c r="AD8" s="8">
        <v>2</v>
      </c>
      <c r="AE8" s="8"/>
      <c r="AF8" s="8">
        <v>2</v>
      </c>
      <c r="AG8" s="8"/>
      <c r="AI8" s="8">
        <v>3</v>
      </c>
      <c r="AJ8" s="8"/>
      <c r="AK8" s="8">
        <v>3</v>
      </c>
      <c r="AL8" s="8"/>
      <c r="AM8" s="8"/>
      <c r="AN8" s="8"/>
      <c r="AO8" s="8"/>
      <c r="AP8" s="8"/>
      <c r="AQ8" s="8">
        <v>2</v>
      </c>
      <c r="AR8" s="8"/>
      <c r="AS8" s="8"/>
      <c r="AT8" s="4"/>
      <c r="AU8" s="4"/>
      <c r="AV8" s="4"/>
      <c r="AW8" s="4"/>
      <c r="AX8" s="4"/>
      <c r="AY8" s="8"/>
      <c r="AZ8" s="4"/>
      <c r="BA8" s="8">
        <v>3</v>
      </c>
      <c r="BB8" s="4"/>
      <c r="BC8" s="8">
        <v>3</v>
      </c>
      <c r="BD8" s="4"/>
      <c r="BE8" s="8">
        <v>2</v>
      </c>
      <c r="BF8" s="4"/>
      <c r="BG8" s="8"/>
      <c r="BH8" s="8"/>
      <c r="BI8" s="8">
        <v>3</v>
      </c>
      <c r="BJ8" s="8"/>
      <c r="BK8" s="8">
        <v>2</v>
      </c>
      <c r="BL8" s="8"/>
      <c r="BM8" s="8">
        <v>2</v>
      </c>
    </row>
    <row r="9" spans="2:65" x14ac:dyDescent="0.25">
      <c r="B9" s="12" t="s">
        <v>2</v>
      </c>
      <c r="C9" s="12"/>
      <c r="D9" s="18">
        <v>43465</v>
      </c>
      <c r="E9" s="18"/>
      <c r="F9" s="18">
        <v>43465</v>
      </c>
      <c r="G9" s="18"/>
      <c r="H9" s="18">
        <v>43465</v>
      </c>
      <c r="I9" s="18"/>
      <c r="J9" s="18">
        <v>43465</v>
      </c>
      <c r="K9" s="18"/>
      <c r="L9" s="42" t="s">
        <v>238</v>
      </c>
      <c r="M9" s="18"/>
      <c r="N9" s="18">
        <v>43465</v>
      </c>
      <c r="O9" s="18"/>
      <c r="P9" s="18">
        <v>43465</v>
      </c>
      <c r="Q9" s="18"/>
      <c r="R9" s="18">
        <v>43465</v>
      </c>
      <c r="S9" s="18"/>
      <c r="T9" s="18">
        <v>43465</v>
      </c>
      <c r="U9" s="18"/>
      <c r="V9" s="18">
        <v>43465</v>
      </c>
      <c r="W9" s="18"/>
      <c r="X9" s="18">
        <v>43465</v>
      </c>
      <c r="Y9" s="18"/>
      <c r="Z9" s="18"/>
      <c r="AA9" s="18"/>
      <c r="AB9" s="18">
        <v>43465</v>
      </c>
      <c r="AC9" s="18"/>
      <c r="AD9" s="18">
        <v>43465</v>
      </c>
      <c r="AE9" s="18"/>
      <c r="AF9" s="18">
        <v>43465</v>
      </c>
      <c r="AG9" s="18"/>
      <c r="AH9" s="12"/>
      <c r="AI9" s="18">
        <v>43465</v>
      </c>
      <c r="AJ9" s="18"/>
      <c r="AK9" s="18">
        <v>43465</v>
      </c>
      <c r="AL9" s="18"/>
      <c r="AM9" s="18">
        <v>43465</v>
      </c>
      <c r="AN9" s="18"/>
      <c r="AO9" s="18">
        <v>43465</v>
      </c>
      <c r="AP9" s="18"/>
      <c r="AQ9" s="42">
        <v>43465</v>
      </c>
      <c r="AR9" s="18"/>
      <c r="AS9" s="18">
        <v>43465</v>
      </c>
      <c r="AT9" s="18"/>
      <c r="AU9" s="18">
        <v>43465</v>
      </c>
      <c r="AV9" s="18"/>
      <c r="AW9" s="18">
        <v>43465</v>
      </c>
      <c r="AX9" s="18"/>
      <c r="AY9" s="18">
        <v>43465</v>
      </c>
      <c r="AZ9" s="18"/>
      <c r="BA9" s="18">
        <v>43465</v>
      </c>
      <c r="BB9" s="18"/>
      <c r="BC9" s="18">
        <v>43465</v>
      </c>
      <c r="BD9" s="18"/>
      <c r="BE9" s="18">
        <v>43465</v>
      </c>
      <c r="BF9" s="18"/>
      <c r="BG9" s="18"/>
      <c r="BH9" s="18"/>
      <c r="BI9" s="18">
        <v>43465</v>
      </c>
      <c r="BJ9" s="18"/>
      <c r="BK9" s="18">
        <v>43465</v>
      </c>
      <c r="BL9" s="18"/>
      <c r="BM9" s="18">
        <v>43465</v>
      </c>
    </row>
    <row r="10" spans="2:65" x14ac:dyDescent="0.25">
      <c r="B10" t="s">
        <v>3</v>
      </c>
      <c r="D10" s="7">
        <v>1223.7</v>
      </c>
      <c r="E10" s="7"/>
      <c r="F10" s="7">
        <v>4108.2749999999996</v>
      </c>
      <c r="G10" s="7"/>
      <c r="H10" s="7"/>
      <c r="I10" s="7"/>
      <c r="J10" s="7">
        <v>3431</v>
      </c>
      <c r="K10" s="7"/>
      <c r="L10" s="7">
        <v>46378</v>
      </c>
      <c r="M10" s="7"/>
      <c r="N10" s="7">
        <v>36534.199999999997</v>
      </c>
      <c r="O10" s="7"/>
      <c r="P10" s="7">
        <v>54087</v>
      </c>
      <c r="Q10" s="7"/>
      <c r="R10" s="7">
        <v>14144</v>
      </c>
      <c r="S10" s="7"/>
      <c r="T10" s="7">
        <v>2826.5729999999999</v>
      </c>
      <c r="U10" s="7"/>
      <c r="V10" s="7">
        <v>12593.196</v>
      </c>
      <c r="W10" s="7"/>
      <c r="X10" s="7">
        <v>34055</v>
      </c>
      <c r="Y10" s="7"/>
      <c r="Z10" s="7"/>
      <c r="AA10" s="7"/>
      <c r="AB10" s="7">
        <v>13679</v>
      </c>
      <c r="AC10" s="7"/>
      <c r="AD10" s="7">
        <v>8686</v>
      </c>
      <c r="AE10" s="7"/>
      <c r="AF10" s="7">
        <f>1990.276+153.024</f>
        <v>2143.3000000000002</v>
      </c>
      <c r="AG10" s="7"/>
      <c r="AI10" s="7"/>
      <c r="AJ10" s="7"/>
      <c r="AK10" s="7"/>
      <c r="AL10" s="7"/>
      <c r="AM10" s="7"/>
      <c r="AN10" s="7"/>
      <c r="AO10" s="7">
        <v>3654.1</v>
      </c>
      <c r="AP10" s="7"/>
      <c r="AQ10" s="7">
        <v>9822</v>
      </c>
      <c r="AR10" s="7"/>
      <c r="AS10" s="7">
        <v>7699</v>
      </c>
      <c r="AT10" s="7"/>
      <c r="AU10" s="7"/>
      <c r="AV10" s="7"/>
      <c r="AW10" s="7"/>
      <c r="AX10" s="7"/>
      <c r="AY10" s="7">
        <v>10484</v>
      </c>
      <c r="AZ10" s="7"/>
      <c r="BA10" s="7"/>
      <c r="BB10" s="7"/>
      <c r="BC10" s="7"/>
      <c r="BD10" s="7"/>
      <c r="BE10" s="7">
        <v>16994</v>
      </c>
      <c r="BF10" s="7"/>
      <c r="BG10" s="7"/>
      <c r="BH10" s="7"/>
      <c r="BI10" s="7"/>
      <c r="BJ10" s="7"/>
      <c r="BK10" s="7"/>
      <c r="BL10" s="7"/>
      <c r="BM10" s="7"/>
    </row>
    <row r="11" spans="2:65" x14ac:dyDescent="0.25">
      <c r="B11" t="s">
        <v>210</v>
      </c>
      <c r="D11" s="35">
        <f>+D10-19-205.6-136.3-103.8</f>
        <v>759</v>
      </c>
      <c r="E11" s="35"/>
      <c r="F11" s="7">
        <f>+F10-2521.864-639.769-82.393+21.89</f>
        <v>886.13899999999956</v>
      </c>
      <c r="G11" s="7"/>
      <c r="H11" s="7"/>
      <c r="I11" s="7"/>
      <c r="J11" s="7">
        <f>+J10-1819-388-113-65+16</f>
        <v>1062</v>
      </c>
      <c r="K11" s="7"/>
      <c r="L11" s="7">
        <f>+L10-26818-2583-6792+1509</f>
        <v>11694</v>
      </c>
      <c r="M11" s="7"/>
      <c r="N11" s="7">
        <f>+N10-26789.8-2898.7-66.1+479.4</f>
        <v>7258.9999999999973</v>
      </c>
      <c r="O11" s="7"/>
      <c r="P11" s="7">
        <f>+P10-41658-3089-702+105+328</f>
        <v>9071</v>
      </c>
      <c r="Q11" s="7"/>
      <c r="R11" s="7">
        <v>7568</v>
      </c>
      <c r="S11" s="7"/>
      <c r="T11" s="7">
        <v>1395.7550000000001</v>
      </c>
      <c r="U11" s="7"/>
      <c r="V11" s="7">
        <f>+V10-9422.708-803.146-103.922+158.383+31.664</f>
        <v>2453.4669999999996</v>
      </c>
      <c r="W11" s="7"/>
      <c r="X11" s="7">
        <v>2684</v>
      </c>
      <c r="Y11" s="7"/>
      <c r="Z11" s="7"/>
      <c r="AA11" s="7"/>
      <c r="AB11" s="7">
        <v>8563</v>
      </c>
      <c r="AC11" s="7"/>
      <c r="AD11" s="7">
        <f>+AD10-2707-137-1507-569+693</f>
        <v>4459</v>
      </c>
      <c r="AE11" s="7"/>
      <c r="AF11" s="7">
        <f>+AF10-431.921-414.784-59.706-42.934+6.153</f>
        <v>1200.1080000000004</v>
      </c>
      <c r="AG11" s="7"/>
      <c r="AI11" s="35"/>
      <c r="AJ11" s="35"/>
      <c r="AK11" s="7"/>
      <c r="AL11" s="7"/>
      <c r="AM11" s="7"/>
      <c r="AN11" s="7"/>
      <c r="AO11" s="7">
        <v>420.1</v>
      </c>
      <c r="AP11" s="7"/>
      <c r="AQ11" s="7">
        <v>1092</v>
      </c>
      <c r="AR11" s="7"/>
      <c r="AS11" s="7">
        <v>1041.8</v>
      </c>
      <c r="AT11" s="7"/>
      <c r="AU11" s="7"/>
      <c r="AV11" s="7"/>
      <c r="AW11" s="7"/>
      <c r="AX11" s="7"/>
      <c r="AY11" s="7">
        <v>1366.3</v>
      </c>
      <c r="AZ11" s="7"/>
      <c r="BA11" s="7"/>
      <c r="BB11" s="7"/>
      <c r="BC11" s="7"/>
      <c r="BD11" s="7"/>
      <c r="BE11" s="7">
        <v>638</v>
      </c>
      <c r="BF11" s="7"/>
      <c r="BG11" s="7"/>
      <c r="BH11" s="7"/>
      <c r="BI11" s="7"/>
      <c r="BJ11" s="7"/>
      <c r="BK11" s="7"/>
      <c r="BL11" s="7"/>
      <c r="BM11" s="7"/>
    </row>
    <row r="12" spans="2:65" x14ac:dyDescent="0.25">
      <c r="B12" s="1" t="s">
        <v>211</v>
      </c>
      <c r="C12" s="1"/>
      <c r="D12" s="23">
        <f>+D11/D10</f>
        <v>0.62025006128953175</v>
      </c>
      <c r="E12" s="23"/>
      <c r="F12" s="23">
        <f>+F11/F10</f>
        <v>0.2156961255027961</v>
      </c>
      <c r="G12" s="23"/>
      <c r="H12" s="23" t="e">
        <f>+H11/H10</f>
        <v>#DIV/0!</v>
      </c>
      <c r="I12" s="23"/>
      <c r="J12" s="23">
        <f>+J11/J10</f>
        <v>0.30953074905275429</v>
      </c>
      <c r="K12" s="23"/>
      <c r="L12" s="23">
        <f>+L11/L10</f>
        <v>0.25214541377377203</v>
      </c>
      <c r="M12" s="23"/>
      <c r="N12" s="23">
        <f>+N11/N10</f>
        <v>0.19869054201268943</v>
      </c>
      <c r="O12" s="23"/>
      <c r="P12" s="23">
        <f>+P11/P10</f>
        <v>0.16771127997485533</v>
      </c>
      <c r="Q12" s="23"/>
      <c r="R12" s="23">
        <f>+R11/R10</f>
        <v>0.53506787330316741</v>
      </c>
      <c r="S12" s="23"/>
      <c r="T12" s="23">
        <f>+T11/T10</f>
        <v>0.49379761286901142</v>
      </c>
      <c r="U12" s="23"/>
      <c r="V12" s="23">
        <f>+V11/V10</f>
        <v>0.19482480857123161</v>
      </c>
      <c r="W12" s="23"/>
      <c r="X12" s="23">
        <f>+X11/X10</f>
        <v>7.8813683746880053E-2</v>
      </c>
      <c r="Y12" s="23"/>
      <c r="Z12" s="23"/>
      <c r="AA12" s="23"/>
      <c r="AB12" s="23">
        <f>+AB11/AB10</f>
        <v>0.62599605234300748</v>
      </c>
      <c r="AC12" s="23"/>
      <c r="AD12" s="23">
        <f>+AD11/AD10</f>
        <v>0.5133548238544785</v>
      </c>
      <c r="AE12" s="23"/>
      <c r="AF12" s="23">
        <f>+AF11/AF10</f>
        <v>0.55993468016609915</v>
      </c>
      <c r="AG12" s="23"/>
      <c r="AH12" s="1"/>
      <c r="AI12" s="23" t="e">
        <f>+AI11/AI10</f>
        <v>#DIV/0!</v>
      </c>
      <c r="AJ12" s="23"/>
      <c r="AK12" s="23" t="e">
        <f>+AK11/AK10</f>
        <v>#DIV/0!</v>
      </c>
      <c r="AL12" s="23"/>
      <c r="AM12" s="23" t="e">
        <f>+AM11/AM10</f>
        <v>#DIV/0!</v>
      </c>
      <c r="AN12" s="23"/>
      <c r="AO12" s="23">
        <f>+AO11/AO10</f>
        <v>0.11496674967844341</v>
      </c>
      <c r="AP12" s="23"/>
      <c r="AQ12" s="23">
        <f>+AQ11/AQ10</f>
        <v>0.11117898594990837</v>
      </c>
      <c r="AR12" s="23"/>
      <c r="AS12" s="23">
        <f>+AS11/AS10</f>
        <v>0.13531627484088843</v>
      </c>
      <c r="AT12" s="23"/>
      <c r="AU12" s="23" t="e">
        <f>+AU11/AU10</f>
        <v>#DIV/0!</v>
      </c>
      <c r="AV12" s="23"/>
      <c r="AW12" s="23"/>
      <c r="AX12" s="23"/>
      <c r="AY12" s="23">
        <f>+AY11/AY10</f>
        <v>0.13032239603204884</v>
      </c>
      <c r="AZ12" s="23"/>
      <c r="BA12" s="23" t="e">
        <f>+BA11/BA10</f>
        <v>#DIV/0!</v>
      </c>
      <c r="BB12" s="23"/>
      <c r="BC12" s="23" t="e">
        <f>+BC11/BC10</f>
        <v>#DIV/0!</v>
      </c>
      <c r="BD12" s="23"/>
      <c r="BE12" s="23">
        <f>+BE11/BE10</f>
        <v>3.7542662116040959E-2</v>
      </c>
      <c r="BF12" s="23"/>
      <c r="BG12" s="23"/>
      <c r="BH12" s="23"/>
      <c r="BI12" s="23" t="e">
        <f>+BI11/BI10</f>
        <v>#DIV/0!</v>
      </c>
      <c r="BJ12" s="23"/>
      <c r="BK12" s="23" t="e">
        <f>+BK11/BK10</f>
        <v>#DIV/0!</v>
      </c>
      <c r="BL12" s="23"/>
      <c r="BM12" s="23" t="e">
        <f>+BM11/BM10</f>
        <v>#DIV/0!</v>
      </c>
    </row>
    <row r="14" spans="2:65" x14ac:dyDescent="0.25">
      <c r="B14" t="s">
        <v>6</v>
      </c>
      <c r="D14" s="7">
        <v>3727.5</v>
      </c>
      <c r="E14" s="7"/>
      <c r="F14" s="7">
        <v>4714.442</v>
      </c>
      <c r="G14" s="7"/>
      <c r="H14" s="7"/>
      <c r="I14" s="7"/>
      <c r="J14" s="7">
        <v>4298</v>
      </c>
      <c r="K14" s="7"/>
      <c r="L14" s="7">
        <v>64610</v>
      </c>
      <c r="M14" s="7"/>
      <c r="N14" s="7">
        <v>26420.6</v>
      </c>
      <c r="O14" s="7"/>
      <c r="P14" s="7">
        <v>46028</v>
      </c>
      <c r="Q14" s="7"/>
      <c r="R14" s="7">
        <v>36593</v>
      </c>
      <c r="S14" s="7"/>
      <c r="T14" s="7">
        <v>4550</v>
      </c>
      <c r="U14" s="7"/>
      <c r="V14" s="7">
        <v>9451.3539999999994</v>
      </c>
      <c r="W14" s="7"/>
      <c r="X14" s="7">
        <v>9209</v>
      </c>
      <c r="Y14" s="7"/>
      <c r="Z14" s="7"/>
      <c r="AA14" s="7"/>
      <c r="AB14" s="7">
        <v>42287</v>
      </c>
      <c r="AC14" s="7"/>
      <c r="AD14" s="7">
        <v>22414</v>
      </c>
      <c r="AE14" s="7"/>
      <c r="AF14" s="7">
        <v>4840</v>
      </c>
      <c r="AG14" s="7"/>
      <c r="AI14" s="7"/>
      <c r="AJ14" s="7"/>
      <c r="AK14" s="7"/>
      <c r="AL14" s="7"/>
      <c r="AM14" s="7"/>
      <c r="AN14" s="7"/>
      <c r="AO14" s="7">
        <v>1753.3</v>
      </c>
      <c r="AP14" s="7"/>
      <c r="AQ14" s="7">
        <v>5307</v>
      </c>
      <c r="AR14" s="7"/>
      <c r="AS14" s="7">
        <v>4461.3999999999996</v>
      </c>
      <c r="AT14" s="7"/>
      <c r="AU14" s="7"/>
      <c r="AV14" s="7"/>
      <c r="AW14" s="7"/>
      <c r="AX14" s="7"/>
      <c r="AY14" s="7">
        <v>6692.9</v>
      </c>
      <c r="AZ14" s="7"/>
      <c r="BA14" s="7"/>
      <c r="BB14" s="7"/>
      <c r="BC14" s="7"/>
      <c r="BD14" s="7"/>
      <c r="BE14" s="7">
        <v>3014</v>
      </c>
      <c r="BF14" s="7"/>
      <c r="BG14" s="7"/>
      <c r="BH14" s="7"/>
      <c r="BI14" s="7"/>
      <c r="BJ14" s="7"/>
      <c r="BK14" s="7"/>
      <c r="BL14" s="7"/>
      <c r="BM14" s="7"/>
    </row>
    <row r="15" spans="2:65" x14ac:dyDescent="0.25">
      <c r="B15" t="s">
        <v>7</v>
      </c>
      <c r="D15" s="6">
        <f>+D14/D11</f>
        <v>4.9110671936758896</v>
      </c>
      <c r="E15" s="6"/>
      <c r="F15" s="6">
        <f>+F14/F11</f>
        <v>5.3202059722007524</v>
      </c>
      <c r="G15" s="6"/>
      <c r="H15" s="6" t="e">
        <f>+H14/H11</f>
        <v>#DIV/0!</v>
      </c>
      <c r="I15" s="6"/>
      <c r="J15" s="6">
        <f>+J14/J11</f>
        <v>4.0470809792843694</v>
      </c>
      <c r="K15" s="6"/>
      <c r="L15" s="6">
        <f>+L14/L11</f>
        <v>5.525055584060202</v>
      </c>
      <c r="M15" s="6"/>
      <c r="N15" s="6">
        <f>+N14/N11</f>
        <v>3.6397024383523915</v>
      </c>
      <c r="O15" s="6"/>
      <c r="P15" s="6">
        <f>+P14/P11</f>
        <v>5.0741924815345607</v>
      </c>
      <c r="Q15" s="6"/>
      <c r="R15" s="6">
        <f>+R14/R11</f>
        <v>4.8352272727272725</v>
      </c>
      <c r="S15" s="6"/>
      <c r="T15" s="6">
        <f>+T14/T11</f>
        <v>3.2598844353056227</v>
      </c>
      <c r="U15" s="6"/>
      <c r="V15" s="6">
        <f>+V14/V11</f>
        <v>3.8522441915868444</v>
      </c>
      <c r="W15" s="6"/>
      <c r="X15" s="6">
        <f>+X14/X11</f>
        <v>3.4310730253353205</v>
      </c>
      <c r="Y15" s="6"/>
      <c r="Z15" s="6"/>
      <c r="AA15" s="6"/>
      <c r="AB15" s="6">
        <f>+AB14/AB11</f>
        <v>4.9383393670442599</v>
      </c>
      <c r="AC15" s="6"/>
      <c r="AD15" s="6">
        <f>+AD14/AD11</f>
        <v>5.0266875981161698</v>
      </c>
      <c r="AE15" s="6"/>
      <c r="AF15" s="6">
        <f>+AF14/AF11</f>
        <v>4.0329703660003924</v>
      </c>
      <c r="AG15" s="6"/>
      <c r="AI15" s="6" t="e">
        <f>+AI14/AI11</f>
        <v>#DIV/0!</v>
      </c>
      <c r="AJ15" s="6"/>
      <c r="AK15" s="6" t="e">
        <f>+AK14/AK11</f>
        <v>#DIV/0!</v>
      </c>
      <c r="AL15" s="6"/>
      <c r="AM15" s="6" t="e">
        <f>+AM14/AM11</f>
        <v>#DIV/0!</v>
      </c>
      <c r="AN15" s="6"/>
      <c r="AO15" s="6">
        <f>+AO14/AO11</f>
        <v>4.1735301118781241</v>
      </c>
      <c r="AP15" s="6"/>
      <c r="AQ15" s="6">
        <f>+AQ14/AQ11</f>
        <v>4.8598901098901095</v>
      </c>
      <c r="AR15" s="6"/>
      <c r="AS15" s="6">
        <f>+AS14/AS11</f>
        <v>4.2823958533307733</v>
      </c>
      <c r="AT15" s="6"/>
      <c r="AU15" s="6" t="e">
        <f>+AU14/AU11</f>
        <v>#DIV/0!</v>
      </c>
      <c r="AV15" s="6"/>
      <c r="AW15" s="6"/>
      <c r="AX15" s="6"/>
      <c r="AY15" s="6">
        <f>+AY14/AY11</f>
        <v>4.898558149747493</v>
      </c>
      <c r="AZ15" s="6"/>
      <c r="BA15" s="6" t="e">
        <f>+BA14/BA11</f>
        <v>#DIV/0!</v>
      </c>
      <c r="BB15" s="6"/>
      <c r="BC15" s="6" t="e">
        <f>+BC14/BC11</f>
        <v>#DIV/0!</v>
      </c>
      <c r="BD15" s="6"/>
      <c r="BE15" s="6">
        <f>+BE14/BE11</f>
        <v>4.7241379310344831</v>
      </c>
      <c r="BF15" s="6"/>
      <c r="BG15" s="6"/>
      <c r="BH15" s="6"/>
      <c r="BI15" s="6" t="e">
        <f>+BI14/BI11</f>
        <v>#DIV/0!</v>
      </c>
      <c r="BJ15" s="6"/>
      <c r="BK15" s="6" t="e">
        <f>+BK14/BK11</f>
        <v>#DIV/0!</v>
      </c>
      <c r="BL15" s="6"/>
      <c r="BM15" s="6" t="e">
        <f>+BM14/BM11</f>
        <v>#DIV/0!</v>
      </c>
    </row>
    <row r="16" spans="2:65" x14ac:dyDescent="0.25">
      <c r="B16" t="s">
        <v>8</v>
      </c>
      <c r="D16" s="6">
        <f>+D11/D27</f>
        <v>4.3198634035287427</v>
      </c>
      <c r="E16" s="6"/>
      <c r="F16" s="6">
        <f>+F11/F27</f>
        <v>4.6596712449782283</v>
      </c>
      <c r="G16" s="6"/>
      <c r="H16" s="6" t="e">
        <f>+H11/H27</f>
        <v>#DIV/0!</v>
      </c>
      <c r="I16" s="6"/>
      <c r="J16" s="6">
        <f>+J11/J27</f>
        <v>6.9868421052631575</v>
      </c>
      <c r="K16" s="6"/>
      <c r="L16" s="6">
        <f>+L11/L27</f>
        <v>4.3263041065482799</v>
      </c>
      <c r="M16" s="6"/>
      <c r="N16" s="6">
        <f>+N11/N27</f>
        <v>6.6189477523479505</v>
      </c>
      <c r="O16" s="6"/>
      <c r="P16" s="6">
        <f>+P11/P27</f>
        <v>5.3077823288472787</v>
      </c>
      <c r="Q16" s="6"/>
      <c r="R16" s="6">
        <f>+R11/R27</f>
        <v>3.9478351591027647</v>
      </c>
      <c r="S16" s="6"/>
      <c r="T16" s="6">
        <f>+T11/T27</f>
        <v>6.3162336692626901</v>
      </c>
      <c r="U16" s="6"/>
      <c r="V16" s="6">
        <f>+V11/V27</f>
        <v>5.2243665090924569</v>
      </c>
      <c r="W16" s="6"/>
      <c r="X16" s="6">
        <f>+X11/X27</f>
        <v>8.976588628762542</v>
      </c>
      <c r="Y16" s="6"/>
      <c r="Z16" s="6"/>
      <c r="AA16" s="6"/>
      <c r="AB16" s="6">
        <f>+AB11/AB27</f>
        <v>3.7805739514348784</v>
      </c>
      <c r="AC16" s="6"/>
      <c r="AD16" s="6">
        <f>+AD11/AD27</f>
        <v>3.8439655172413794</v>
      </c>
      <c r="AE16" s="6"/>
      <c r="AF16" s="6">
        <f>+AF11/AF27</f>
        <v>6.5220425198904417</v>
      </c>
      <c r="AG16" s="6"/>
      <c r="AI16" s="6" t="e">
        <f>+AI11/AI27</f>
        <v>#DIV/0!</v>
      </c>
      <c r="AJ16" s="6"/>
      <c r="AK16" s="6" t="e">
        <f>+AK11/AK27</f>
        <v>#DIV/0!</v>
      </c>
      <c r="AL16" s="6"/>
      <c r="AM16" s="6" t="e">
        <f>+AM11/AM27</f>
        <v>#DIV/0!</v>
      </c>
      <c r="AN16" s="6"/>
      <c r="AO16" s="6">
        <f>+AO11/AO27</f>
        <v>4.2348790322580649</v>
      </c>
      <c r="AP16" s="6"/>
      <c r="AQ16" s="6">
        <f>+AQ11/AQ27</f>
        <v>4.0594795539033459</v>
      </c>
      <c r="AR16" s="6"/>
      <c r="AS16" s="6">
        <f>+AS11/AS27</f>
        <v>5.8528089887640444</v>
      </c>
      <c r="AT16" s="6"/>
      <c r="AU16" s="6" t="e">
        <f>+AU11/AU27</f>
        <v>#DIV/0!</v>
      </c>
      <c r="AV16" s="6"/>
      <c r="AW16" s="6"/>
      <c r="AX16" s="6"/>
      <c r="AY16" s="6">
        <f>+AY11/AY27</f>
        <v>7.8074285714285709</v>
      </c>
      <c r="AZ16" s="6"/>
      <c r="BA16" s="6" t="e">
        <f>+BA11/BA27</f>
        <v>#DIV/0!</v>
      </c>
      <c r="BB16" s="6"/>
      <c r="BC16" s="6" t="e">
        <f>+BC11/BC27</f>
        <v>#DIV/0!</v>
      </c>
      <c r="BD16" s="6"/>
      <c r="BE16" s="6">
        <f>+BE11/BE27</f>
        <v>4.4305555555555554</v>
      </c>
      <c r="BF16" s="6"/>
      <c r="BG16" s="6"/>
      <c r="BH16" s="6"/>
      <c r="BI16" s="6" t="e">
        <f>+BI11/BI27</f>
        <v>#DIV/0!</v>
      </c>
      <c r="BJ16" s="6"/>
      <c r="BK16" s="6" t="e">
        <f>+BK11/BK27</f>
        <v>#DIV/0!</v>
      </c>
      <c r="BL16" s="6"/>
      <c r="BM16" s="6" t="e">
        <f>+BM11/BM27</f>
        <v>#DIV/0!</v>
      </c>
    </row>
    <row r="17" spans="2:65" x14ac:dyDescent="0.25">
      <c r="B17" t="s">
        <v>9</v>
      </c>
      <c r="D17" s="7">
        <f>920+3.6</f>
        <v>923.6</v>
      </c>
      <c r="E17" s="7"/>
      <c r="F17" s="7">
        <f>1400-522.3+1.83</f>
        <v>879.53000000000009</v>
      </c>
      <c r="G17" s="7"/>
      <c r="H17" s="7"/>
      <c r="I17" s="7"/>
      <c r="J17" s="7">
        <f>8+1750-250-3-649</f>
        <v>856</v>
      </c>
      <c r="K17" s="7"/>
      <c r="L17" s="7">
        <f>8891+L21</f>
        <v>9397</v>
      </c>
      <c r="M17" s="7"/>
      <c r="N17" s="7">
        <f>4000+344.8</f>
        <v>4344.8</v>
      </c>
      <c r="O17" s="7"/>
      <c r="P17" s="7">
        <f>1240+1000+P21</f>
        <v>2658</v>
      </c>
      <c r="Q17" s="7"/>
      <c r="R17" s="7">
        <f>+R21+4000-433</f>
        <v>6898</v>
      </c>
      <c r="S17" s="7"/>
      <c r="T17" s="7">
        <f>+T21+1000-6.8</f>
        <v>1154.04</v>
      </c>
      <c r="U17" s="7"/>
      <c r="V17" s="7">
        <f>2500-1.4+V21</f>
        <v>2510.6</v>
      </c>
      <c r="W17" s="7"/>
      <c r="X17" s="7">
        <f>3000+X21</f>
        <v>3066</v>
      </c>
      <c r="Y17" s="7"/>
      <c r="Z17" s="7"/>
      <c r="AA17" s="7"/>
      <c r="AB17" s="7">
        <f>12900+AB21</f>
        <v>13346</v>
      </c>
      <c r="AC17" s="7"/>
      <c r="AD17" s="7">
        <f>+AD21+4500-160-14</f>
        <v>4494</v>
      </c>
      <c r="AE17" s="7"/>
      <c r="AF17" s="7">
        <f>1300-220-4.6+AF21</f>
        <v>1165.8480000000002</v>
      </c>
      <c r="AG17" s="7"/>
      <c r="AI17" s="7"/>
      <c r="AJ17" s="7"/>
      <c r="AK17" s="7"/>
      <c r="AL17" s="7"/>
      <c r="AM17" s="7"/>
      <c r="AN17" s="7"/>
      <c r="AO17" s="7">
        <f>524+AO21</f>
        <v>524.9</v>
      </c>
      <c r="AP17" s="7"/>
      <c r="AQ17" s="7">
        <f>1036+AQ21</f>
        <v>1037</v>
      </c>
      <c r="AR17" s="7"/>
      <c r="AS17" s="7">
        <f>1750+AS21</f>
        <v>1850.4</v>
      </c>
      <c r="AT17" s="7"/>
      <c r="AU17" s="7"/>
      <c r="AV17" s="7"/>
      <c r="AW17" s="7"/>
      <c r="AX17" s="7"/>
      <c r="AY17" s="7">
        <v>2249.3000000000002</v>
      </c>
      <c r="AZ17" s="7"/>
      <c r="BA17" s="7"/>
      <c r="BB17" s="7"/>
      <c r="BC17" s="7"/>
      <c r="BD17" s="7"/>
      <c r="BE17" s="7">
        <v>1342</v>
      </c>
      <c r="BF17" s="7"/>
      <c r="BG17" s="7"/>
      <c r="BH17" s="7"/>
      <c r="BI17" s="7"/>
      <c r="BJ17" s="7"/>
      <c r="BK17" s="7"/>
      <c r="BL17" s="7"/>
      <c r="BM17" s="7"/>
    </row>
    <row r="18" spans="2:65" x14ac:dyDescent="0.25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</row>
    <row r="19" spans="2:65" x14ac:dyDescent="0.25">
      <c r="B19" t="s">
        <v>206</v>
      </c>
      <c r="D19" s="41" t="s">
        <v>209</v>
      </c>
      <c r="E19" s="7"/>
      <c r="F19" s="7">
        <v>5236</v>
      </c>
      <c r="G19" s="7"/>
      <c r="H19" s="7"/>
      <c r="I19" s="7"/>
      <c r="J19" s="7">
        <v>6513</v>
      </c>
      <c r="K19" s="7"/>
      <c r="L19" s="7">
        <v>94174.5</v>
      </c>
      <c r="M19" s="7"/>
      <c r="N19" s="7">
        <v>60564.7</v>
      </c>
      <c r="O19" s="7"/>
      <c r="P19" s="7">
        <f>40286.2+2504.9*(1-0.31)+1560.6*(1-0.4)+958+556+440+434</f>
        <v>45338.940999999999</v>
      </c>
      <c r="Q19" s="7"/>
      <c r="R19" s="7">
        <v>44684.6</v>
      </c>
      <c r="S19" s="7"/>
      <c r="T19" s="7">
        <v>14046.8</v>
      </c>
      <c r="U19" s="7"/>
      <c r="V19" s="7">
        <v>26771.200000000001</v>
      </c>
      <c r="W19" s="7"/>
      <c r="X19" s="7">
        <v>17161</v>
      </c>
      <c r="Y19" s="7"/>
      <c r="Z19" s="7"/>
      <c r="AA19" s="7"/>
      <c r="AB19" s="7">
        <v>41218.800000000003</v>
      </c>
      <c r="AC19" s="7"/>
      <c r="AD19" s="7">
        <v>33217.199999999997</v>
      </c>
      <c r="AE19" s="7"/>
      <c r="AF19" s="7"/>
      <c r="AG19" s="7"/>
      <c r="AI19" s="41"/>
      <c r="AJ19" s="7"/>
      <c r="AK19" s="7"/>
      <c r="AL19" s="7"/>
      <c r="AM19" s="7"/>
      <c r="AN19" s="7"/>
      <c r="AO19" s="7">
        <f>2564+612</f>
        <v>3176</v>
      </c>
      <c r="AP19" s="7"/>
      <c r="AQ19" s="7">
        <f>4846.3+771.3</f>
        <v>5617.6</v>
      </c>
      <c r="AR19" s="7"/>
      <c r="AS19" s="53">
        <f>6311.7+400</f>
        <v>6711.7</v>
      </c>
      <c r="AT19" s="7"/>
      <c r="AU19" s="7"/>
      <c r="AV19" s="7"/>
      <c r="AW19" s="7"/>
      <c r="AX19" s="7"/>
      <c r="AY19" s="7">
        <v>9882</v>
      </c>
      <c r="AZ19" s="7"/>
      <c r="BA19" s="7"/>
      <c r="BB19" s="7"/>
      <c r="BC19" s="7"/>
      <c r="BD19" s="7"/>
      <c r="BE19" s="7">
        <v>2585.1999999999998</v>
      </c>
      <c r="BF19" s="7"/>
      <c r="BG19" s="7"/>
      <c r="BH19" s="7"/>
      <c r="BI19" s="7"/>
      <c r="BJ19" s="7"/>
      <c r="BK19" s="7"/>
      <c r="BL19" s="7"/>
      <c r="BM19" s="7"/>
    </row>
    <row r="20" spans="2:65" x14ac:dyDescent="0.25">
      <c r="B20" t="s">
        <v>207</v>
      </c>
      <c r="D20" s="41" t="s">
        <v>209</v>
      </c>
      <c r="E20" s="7"/>
      <c r="F20" s="7">
        <f>+F19+F14-F21</f>
        <v>9948.6119999999992</v>
      </c>
      <c r="G20" s="7"/>
      <c r="H20" s="7"/>
      <c r="I20" s="7"/>
      <c r="J20" s="7">
        <f t="shared" ref="J20:AF20" si="0">+J19+J14-J21</f>
        <v>10803</v>
      </c>
      <c r="K20" s="7">
        <f t="shared" ref="K20:L20" si="1">+K19+K14-K21</f>
        <v>0</v>
      </c>
      <c r="L20" s="7">
        <f t="shared" si="1"/>
        <v>158278.5</v>
      </c>
      <c r="M20" s="7">
        <f t="shared" si="0"/>
        <v>0</v>
      </c>
      <c r="N20" s="7">
        <f t="shared" si="0"/>
        <v>86640.499999999985</v>
      </c>
      <c r="O20" s="7">
        <f t="shared" si="0"/>
        <v>0</v>
      </c>
      <c r="P20" s="7">
        <f t="shared" si="0"/>
        <v>90948.940999999992</v>
      </c>
      <c r="Q20" s="7">
        <f t="shared" si="0"/>
        <v>0</v>
      </c>
      <c r="R20" s="7">
        <f t="shared" si="0"/>
        <v>77946.600000000006</v>
      </c>
      <c r="S20" s="7"/>
      <c r="T20" s="7">
        <f t="shared" si="0"/>
        <v>18435.96</v>
      </c>
      <c r="U20" s="7"/>
      <c r="V20" s="7">
        <f t="shared" si="0"/>
        <v>36210.554000000004</v>
      </c>
      <c r="W20" s="7"/>
      <c r="X20" s="7">
        <f t="shared" si="0"/>
        <v>26304</v>
      </c>
      <c r="Y20" s="7"/>
      <c r="Z20" s="7"/>
      <c r="AA20" s="7"/>
      <c r="AB20" s="7">
        <f t="shared" si="0"/>
        <v>83059.8</v>
      </c>
      <c r="AC20" s="7"/>
      <c r="AD20" s="7">
        <f t="shared" si="0"/>
        <v>55463.199999999997</v>
      </c>
      <c r="AE20" s="7"/>
      <c r="AF20" s="7">
        <f t="shared" si="0"/>
        <v>4749.5519999999997</v>
      </c>
      <c r="AG20" s="7"/>
      <c r="AI20" s="41" t="s">
        <v>209</v>
      </c>
      <c r="AJ20" s="7"/>
      <c r="AK20" s="7">
        <f>+AK19+AK14-AK21</f>
        <v>0</v>
      </c>
      <c r="AL20" s="7"/>
      <c r="AM20" s="7"/>
      <c r="AN20" s="7"/>
      <c r="AO20" s="7">
        <f t="shared" ref="AO20:AY20" si="2">+AO19+AO14-AO21</f>
        <v>4928.4000000000005</v>
      </c>
      <c r="AP20" s="7">
        <f t="shared" si="2"/>
        <v>0</v>
      </c>
      <c r="AQ20" s="7">
        <f t="shared" si="2"/>
        <v>10923.6</v>
      </c>
      <c r="AR20" s="7">
        <f t="shared" si="2"/>
        <v>0</v>
      </c>
      <c r="AS20" s="7">
        <f t="shared" si="2"/>
        <v>11072.699999999999</v>
      </c>
      <c r="AT20" s="7">
        <f t="shared" si="2"/>
        <v>0</v>
      </c>
      <c r="AU20" s="7">
        <f t="shared" si="2"/>
        <v>0</v>
      </c>
      <c r="AV20" s="7"/>
      <c r="AW20" s="7"/>
      <c r="AX20" s="7">
        <f t="shared" si="2"/>
        <v>0</v>
      </c>
      <c r="AY20" s="7">
        <f t="shared" si="2"/>
        <v>16342.800000000001</v>
      </c>
      <c r="AZ20" s="7"/>
      <c r="BA20" s="7">
        <f t="shared" ref="BA20" si="3">+BA19+BA14-BA21</f>
        <v>0</v>
      </c>
      <c r="BB20" s="7"/>
      <c r="BC20" s="7">
        <f t="shared" ref="BC20" si="4">+BC19+BC14-BC21</f>
        <v>0</v>
      </c>
      <c r="BD20" s="7"/>
      <c r="BE20" s="7">
        <f t="shared" ref="BE20" si="5">+BE19+BE14-BE21</f>
        <v>5543.2</v>
      </c>
      <c r="BF20" s="7"/>
      <c r="BG20" s="7"/>
      <c r="BH20" s="7"/>
      <c r="BI20" s="7">
        <f t="shared" ref="BI20" si="6">+BI19+BI14-BI21</f>
        <v>0</v>
      </c>
      <c r="BJ20" s="7"/>
      <c r="BK20" s="7">
        <f t="shared" ref="BK20" si="7">+BK19+BK14-BK21</f>
        <v>0</v>
      </c>
      <c r="BL20" s="7"/>
      <c r="BM20" s="7">
        <f t="shared" ref="BM20" si="8">+BM19+BM14-BM21</f>
        <v>0</v>
      </c>
    </row>
    <row r="21" spans="2:65" x14ac:dyDescent="0.25">
      <c r="B21" t="s">
        <v>221</v>
      </c>
      <c r="D21" s="41">
        <v>3.6</v>
      </c>
      <c r="E21" s="7"/>
      <c r="F21" s="7">
        <v>1.83</v>
      </c>
      <c r="G21" s="7"/>
      <c r="H21" s="7"/>
      <c r="I21" s="7"/>
      <c r="J21" s="7">
        <v>8</v>
      </c>
      <c r="K21" s="7"/>
      <c r="L21" s="7">
        <v>506</v>
      </c>
      <c r="M21" s="7"/>
      <c r="N21" s="7">
        <v>344.8</v>
      </c>
      <c r="O21" s="7"/>
      <c r="P21" s="7">
        <v>418</v>
      </c>
      <c r="Q21" s="7"/>
      <c r="R21" s="7">
        <v>3331</v>
      </c>
      <c r="S21" s="7"/>
      <c r="T21" s="7">
        <v>160.84</v>
      </c>
      <c r="U21" s="7"/>
      <c r="V21" s="7">
        <v>12</v>
      </c>
      <c r="W21" s="7"/>
      <c r="X21" s="7">
        <v>66</v>
      </c>
      <c r="Y21" s="7"/>
      <c r="Z21" s="7"/>
      <c r="AA21" s="7"/>
      <c r="AB21" s="7">
        <v>446</v>
      </c>
      <c r="AC21" s="7"/>
      <c r="AD21" s="7">
        <v>168</v>
      </c>
      <c r="AE21" s="7"/>
      <c r="AF21" s="7">
        <v>90.447999999999993</v>
      </c>
      <c r="AG21" s="7"/>
      <c r="AI21" s="41"/>
      <c r="AJ21" s="7"/>
      <c r="AK21" s="7"/>
      <c r="AL21" s="7"/>
      <c r="AM21" s="7"/>
      <c r="AN21" s="7"/>
      <c r="AO21" s="7">
        <v>0.9</v>
      </c>
      <c r="AP21" s="7"/>
      <c r="AQ21" s="7">
        <v>1</v>
      </c>
      <c r="AR21" s="7"/>
      <c r="AS21" s="7">
        <v>100.4</v>
      </c>
      <c r="AT21" s="7"/>
      <c r="AU21" s="7"/>
      <c r="AV21" s="7"/>
      <c r="AW21" s="7"/>
      <c r="AX21" s="7"/>
      <c r="AY21" s="7">
        <v>232.1</v>
      </c>
      <c r="AZ21" s="7"/>
      <c r="BA21" s="7"/>
      <c r="BB21" s="7"/>
      <c r="BC21" s="7"/>
      <c r="BD21" s="7"/>
      <c r="BE21" s="7">
        <v>56</v>
      </c>
      <c r="BF21" s="7"/>
      <c r="BG21" s="7"/>
      <c r="BH21" s="7"/>
      <c r="BI21" s="7"/>
      <c r="BJ21" s="7"/>
      <c r="BK21" s="7"/>
      <c r="BL21" s="7"/>
      <c r="BM21" s="7"/>
    </row>
    <row r="22" spans="2:65" x14ac:dyDescent="0.25">
      <c r="B22" t="s">
        <v>208</v>
      </c>
      <c r="D22" s="41" t="s">
        <v>209</v>
      </c>
      <c r="E22" s="7"/>
      <c r="F22" s="6">
        <f>+F20/F11</f>
        <v>11.226920381565424</v>
      </c>
      <c r="G22" s="7"/>
      <c r="H22" s="6"/>
      <c r="I22" s="6"/>
      <c r="J22" s="6">
        <f>+J20/J11</f>
        <v>10.172316384180791</v>
      </c>
      <c r="K22" s="6"/>
      <c r="L22" s="6">
        <f>+L20/L11</f>
        <v>13.535017957927142</v>
      </c>
      <c r="M22" s="6"/>
      <c r="N22" s="6">
        <f>+N20/N11</f>
        <v>11.935597189695553</v>
      </c>
      <c r="O22" s="6"/>
      <c r="P22" s="6">
        <f>+P20/P11</f>
        <v>10.026341197221916</v>
      </c>
      <c r="Q22" s="6"/>
      <c r="R22" s="6">
        <f>+R20/R11</f>
        <v>10.299497885835097</v>
      </c>
      <c r="S22" s="6"/>
      <c r="T22" s="6">
        <f>+T20/T11</f>
        <v>13.208593198663088</v>
      </c>
      <c r="U22" s="6"/>
      <c r="V22" s="6">
        <f>+V20/V11</f>
        <v>14.758932563592667</v>
      </c>
      <c r="W22" s="6"/>
      <c r="X22" s="6">
        <f>+X20/X11</f>
        <v>9.8002980625931446</v>
      </c>
      <c r="Y22" s="6"/>
      <c r="Z22" s="6"/>
      <c r="AA22" s="6"/>
      <c r="AB22" s="6">
        <f>+AB20/AB11</f>
        <v>9.6998481840476476</v>
      </c>
      <c r="AC22" s="6"/>
      <c r="AD22" s="6">
        <f>+AD20/AD11</f>
        <v>12.438483965014576</v>
      </c>
      <c r="AE22" s="6"/>
      <c r="AF22" s="6">
        <f>+AF20/AF11</f>
        <v>3.9576038156565891</v>
      </c>
      <c r="AG22" s="6"/>
      <c r="AH22" s="6"/>
      <c r="AI22" s="41" t="s">
        <v>209</v>
      </c>
      <c r="AJ22" s="7"/>
      <c r="AK22" s="6" t="e">
        <f>+AK20/AK11</f>
        <v>#DIV/0!</v>
      </c>
      <c r="AL22" s="7"/>
      <c r="AM22" s="6"/>
      <c r="AN22" s="6"/>
      <c r="AO22" s="6">
        <f>+AO20/AO11</f>
        <v>11.73149250178529</v>
      </c>
      <c r="AP22" s="6"/>
      <c r="AQ22" s="6">
        <f>+AQ20/AQ11</f>
        <v>10.003296703296703</v>
      </c>
      <c r="AR22" s="6"/>
      <c r="AS22" s="6">
        <f>+AS20/AS11</f>
        <v>10.628431560760221</v>
      </c>
      <c r="AT22" s="6"/>
      <c r="AU22" s="6"/>
      <c r="AV22" s="6"/>
      <c r="AW22" s="6"/>
      <c r="AX22" s="6"/>
      <c r="AY22" s="6">
        <f>+AY20/AY11</f>
        <v>11.961355485618094</v>
      </c>
      <c r="AZ22" s="6"/>
      <c r="BA22" s="6" t="e">
        <f>+BA20/BA11</f>
        <v>#DIV/0!</v>
      </c>
      <c r="BB22" s="6"/>
      <c r="BC22" s="6" t="e">
        <f>+BC20/BC11</f>
        <v>#DIV/0!</v>
      </c>
      <c r="BD22" s="6"/>
      <c r="BE22" s="6">
        <f>+BE20/BE11</f>
        <v>8.6884012539184958</v>
      </c>
      <c r="BF22" s="6"/>
      <c r="BG22" s="6"/>
      <c r="BH22" s="6"/>
      <c r="BI22" s="6" t="e">
        <f>+BI20/BI11</f>
        <v>#DIV/0!</v>
      </c>
      <c r="BJ22" s="6"/>
      <c r="BK22" s="6" t="e">
        <f>+BK20/BK11</f>
        <v>#DIV/0!</v>
      </c>
      <c r="BL22" s="6"/>
      <c r="BM22" s="6" t="e">
        <f>+BM20/BM11</f>
        <v>#DIV/0!</v>
      </c>
    </row>
    <row r="24" spans="2:65" x14ac:dyDescent="0.25">
      <c r="B24" s="12" t="s">
        <v>10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2:65" x14ac:dyDescent="0.25">
      <c r="B25" t="s">
        <v>11</v>
      </c>
      <c r="D25" s="7">
        <f>+D11</f>
        <v>759</v>
      </c>
      <c r="E25" s="7"/>
      <c r="F25" s="7">
        <f>+F11</f>
        <v>886.13899999999956</v>
      </c>
      <c r="G25" s="7"/>
      <c r="H25" s="7">
        <f>+H11</f>
        <v>0</v>
      </c>
      <c r="I25" s="7"/>
      <c r="J25" s="7">
        <f>+J11</f>
        <v>1062</v>
      </c>
      <c r="K25" s="7"/>
      <c r="L25" s="7">
        <f>+L11</f>
        <v>11694</v>
      </c>
      <c r="M25" s="7"/>
      <c r="N25" s="7">
        <f>+N11</f>
        <v>7258.9999999999973</v>
      </c>
      <c r="O25" s="7"/>
      <c r="P25" s="7">
        <f>+P11</f>
        <v>9071</v>
      </c>
      <c r="Q25" s="7"/>
      <c r="R25" s="7">
        <f>+R11</f>
        <v>7568</v>
      </c>
      <c r="S25" s="7"/>
      <c r="T25" s="7">
        <f>+T11</f>
        <v>1395.7550000000001</v>
      </c>
      <c r="U25" s="7"/>
      <c r="V25" s="7">
        <f>+V11</f>
        <v>2453.4669999999996</v>
      </c>
      <c r="W25" s="7"/>
      <c r="X25" s="7">
        <f>+X11</f>
        <v>2684</v>
      </c>
      <c r="Y25" s="7"/>
      <c r="Z25" s="7">
        <f>+Z11</f>
        <v>0</v>
      </c>
      <c r="AA25" s="7"/>
      <c r="AB25" s="7">
        <f>+AB11</f>
        <v>8563</v>
      </c>
      <c r="AC25" s="7"/>
      <c r="AD25" s="7">
        <f>+AD11</f>
        <v>4459</v>
      </c>
      <c r="AE25" s="7"/>
      <c r="AF25" s="7">
        <f>+AF11</f>
        <v>1200.1080000000004</v>
      </c>
      <c r="AG25" s="7"/>
      <c r="AI25" s="7">
        <f>+AI11</f>
        <v>0</v>
      </c>
      <c r="AJ25" s="7"/>
      <c r="AK25" s="7">
        <f>+AK11</f>
        <v>0</v>
      </c>
      <c r="AL25" s="7"/>
      <c r="AM25" s="7">
        <f>+AM11</f>
        <v>0</v>
      </c>
      <c r="AN25" s="7"/>
      <c r="AO25" s="7">
        <f>+AO11</f>
        <v>420.1</v>
      </c>
      <c r="AP25" s="7"/>
      <c r="AQ25" s="7">
        <f>+AQ11</f>
        <v>1092</v>
      </c>
      <c r="AR25" s="7"/>
      <c r="AS25" s="7">
        <f>+AS11</f>
        <v>1041.8</v>
      </c>
      <c r="AT25" s="7"/>
      <c r="AU25" s="7">
        <f>+AU11</f>
        <v>0</v>
      </c>
      <c r="AV25" s="7"/>
      <c r="AW25" s="7"/>
      <c r="AX25" s="7"/>
      <c r="AY25" s="7">
        <f>+AY11</f>
        <v>1366.3</v>
      </c>
      <c r="AZ25" s="7"/>
      <c r="BA25" s="7">
        <f>+BA11</f>
        <v>0</v>
      </c>
      <c r="BB25" s="7"/>
      <c r="BC25" s="7">
        <f>+BC11</f>
        <v>0</v>
      </c>
      <c r="BD25" s="7"/>
      <c r="BE25" s="7">
        <f>+BE11</f>
        <v>638</v>
      </c>
      <c r="BF25" s="7"/>
      <c r="BG25" s="7">
        <f>+BG11</f>
        <v>0</v>
      </c>
      <c r="BH25" s="7"/>
      <c r="BI25" s="7">
        <f>+BI11</f>
        <v>0</v>
      </c>
      <c r="BJ25" s="7"/>
      <c r="BK25" s="7">
        <f>+BK11</f>
        <v>0</v>
      </c>
      <c r="BL25" s="7"/>
      <c r="BM25" s="7">
        <f>+BM11</f>
        <v>0</v>
      </c>
    </row>
    <row r="26" spans="2:65" x14ac:dyDescent="0.25">
      <c r="B26" t="s">
        <v>12</v>
      </c>
      <c r="D26" s="7">
        <v>486.7</v>
      </c>
      <c r="E26" s="7"/>
      <c r="F26" s="7">
        <v>467.61099999999999</v>
      </c>
      <c r="G26" s="7"/>
      <c r="H26" s="7"/>
      <c r="I26" s="7"/>
      <c r="J26" s="7">
        <v>728</v>
      </c>
      <c r="K26" s="7"/>
      <c r="L26" s="7">
        <f>6806+1312</f>
        <v>8118</v>
      </c>
      <c r="M26" s="7"/>
      <c r="N26" s="7">
        <v>4223.2</v>
      </c>
      <c r="O26" s="7"/>
      <c r="P26" s="7">
        <v>7407</v>
      </c>
      <c r="Q26" s="7"/>
      <c r="R26" s="7">
        <v>2904</v>
      </c>
      <c r="S26" s="7"/>
      <c r="T26" s="7">
        <v>552.25699999999995</v>
      </c>
      <c r="U26" s="7"/>
      <c r="V26" s="7">
        <v>2141.4749999999999</v>
      </c>
      <c r="W26" s="7"/>
      <c r="X26" s="7">
        <v>1634</v>
      </c>
      <c r="Y26" s="7"/>
      <c r="Z26" s="7"/>
      <c r="AA26" s="7"/>
      <c r="AB26" s="7">
        <v>9418</v>
      </c>
      <c r="AC26" s="7"/>
      <c r="AD26" s="7">
        <v>3256</v>
      </c>
      <c r="AE26" s="7"/>
      <c r="AF26" s="7">
        <v>1193.896</v>
      </c>
      <c r="AG26" s="7"/>
      <c r="AI26" s="7"/>
      <c r="AJ26" s="7"/>
      <c r="AK26" s="7"/>
      <c r="AL26" s="7"/>
      <c r="AM26" s="7"/>
      <c r="AN26" s="7"/>
      <c r="AO26" s="7">
        <f>305.5-64.4</f>
        <v>241.1</v>
      </c>
      <c r="AP26" s="7"/>
      <c r="AQ26" s="7">
        <f>595+354</f>
        <v>949</v>
      </c>
      <c r="AR26" s="7"/>
      <c r="AS26" s="7">
        <v>843.1</v>
      </c>
      <c r="AT26" s="7"/>
      <c r="AU26" s="7"/>
      <c r="AV26" s="7"/>
      <c r="AW26" s="7"/>
      <c r="AX26" s="7"/>
      <c r="AY26" s="7">
        <v>3114.8</v>
      </c>
      <c r="AZ26" s="7"/>
      <c r="BA26" s="7"/>
      <c r="BB26" s="7"/>
      <c r="BC26" s="7"/>
      <c r="BD26" s="7"/>
      <c r="BE26" s="7">
        <v>103</v>
      </c>
      <c r="BF26" s="7"/>
      <c r="BG26" s="7"/>
      <c r="BH26" s="7"/>
      <c r="BI26" s="7"/>
      <c r="BJ26" s="7"/>
      <c r="BK26" s="7"/>
      <c r="BL26" s="7"/>
      <c r="BM26" s="7"/>
    </row>
    <row r="27" spans="2:65" x14ac:dyDescent="0.25">
      <c r="B27" t="s">
        <v>13</v>
      </c>
      <c r="D27" s="7">
        <v>175.7</v>
      </c>
      <c r="E27" s="7"/>
      <c r="F27" s="7">
        <v>190.172</v>
      </c>
      <c r="G27" s="7"/>
      <c r="H27" s="7"/>
      <c r="I27" s="7"/>
      <c r="J27" s="7">
        <v>152</v>
      </c>
      <c r="K27" s="7"/>
      <c r="L27" s="7">
        <v>2703</v>
      </c>
      <c r="M27" s="7"/>
      <c r="N27" s="7">
        <v>1096.7</v>
      </c>
      <c r="O27" s="7"/>
      <c r="P27" s="7">
        <v>1709</v>
      </c>
      <c r="Q27" s="7"/>
      <c r="R27" s="7">
        <v>1917</v>
      </c>
      <c r="S27" s="7"/>
      <c r="T27" s="7">
        <v>220.97900000000001</v>
      </c>
      <c r="U27" s="7"/>
      <c r="V27" s="7">
        <f>469.62</f>
        <v>469.62</v>
      </c>
      <c r="W27" s="7"/>
      <c r="X27" s="7">
        <f>431-132</f>
        <v>299</v>
      </c>
      <c r="Y27" s="7"/>
      <c r="Z27" s="7"/>
      <c r="AA27" s="7"/>
      <c r="AB27" s="7">
        <v>2265</v>
      </c>
      <c r="AC27" s="7"/>
      <c r="AD27" s="7">
        <v>1160</v>
      </c>
      <c r="AE27" s="7"/>
      <c r="AF27" s="7">
        <v>184.00800000000001</v>
      </c>
      <c r="AG27" s="7"/>
      <c r="AI27" s="7"/>
      <c r="AJ27" s="7"/>
      <c r="AK27" s="7"/>
      <c r="AL27" s="7"/>
      <c r="AM27" s="7"/>
      <c r="AN27" s="7"/>
      <c r="AO27" s="7">
        <v>99.2</v>
      </c>
      <c r="AP27" s="7"/>
      <c r="AQ27" s="7">
        <v>269</v>
      </c>
      <c r="AR27" s="7"/>
      <c r="AS27" s="7">
        <f>182.3-4.3</f>
        <v>178</v>
      </c>
      <c r="AT27" s="7"/>
      <c r="AU27" s="7"/>
      <c r="AV27" s="7"/>
      <c r="AW27" s="7"/>
      <c r="AX27" s="7"/>
      <c r="AY27" s="7">
        <v>175</v>
      </c>
      <c r="AZ27" s="7"/>
      <c r="BA27" s="7"/>
      <c r="BB27" s="7"/>
      <c r="BC27" s="7"/>
      <c r="BD27" s="7"/>
      <c r="BE27" s="7">
        <v>144</v>
      </c>
      <c r="BF27" s="7"/>
      <c r="BG27" s="7"/>
      <c r="BH27" s="7"/>
      <c r="BI27" s="7"/>
      <c r="BJ27" s="7"/>
      <c r="BK27" s="7"/>
      <c r="BL27" s="7"/>
      <c r="BM27" s="7"/>
    </row>
    <row r="28" spans="2:65" x14ac:dyDescent="0.25">
      <c r="B28" s="17" t="s">
        <v>18</v>
      </c>
      <c r="C28" s="17"/>
      <c r="D28" s="21">
        <v>0.6</v>
      </c>
      <c r="E28" s="21"/>
      <c r="F28" s="21">
        <v>3.74</v>
      </c>
      <c r="G28" s="21"/>
      <c r="H28" s="21"/>
      <c r="I28" s="21"/>
      <c r="J28" s="21">
        <f>+-1+1</f>
        <v>0</v>
      </c>
      <c r="K28" s="21"/>
      <c r="L28" s="21">
        <f>237+148</f>
        <v>385</v>
      </c>
      <c r="M28" s="21"/>
      <c r="N28" s="21">
        <f>60.3-21.4</f>
        <v>38.9</v>
      </c>
      <c r="O28" s="21"/>
      <c r="P28" s="21">
        <f>5+8</f>
        <v>13</v>
      </c>
      <c r="Q28" s="21"/>
      <c r="R28" s="21">
        <f>587-405</f>
        <v>182</v>
      </c>
      <c r="S28" s="21"/>
      <c r="T28" s="21">
        <v>7.0999999999999994E-2</v>
      </c>
      <c r="U28" s="21"/>
      <c r="V28" s="21">
        <f>362.903-361.01</f>
        <v>1.8930000000000291</v>
      </c>
      <c r="W28" s="21"/>
      <c r="X28" s="21">
        <v>66</v>
      </c>
      <c r="Y28" s="21"/>
      <c r="Z28" s="21"/>
      <c r="AA28" s="21"/>
      <c r="AB28" s="21">
        <v>315</v>
      </c>
      <c r="AC28" s="21"/>
      <c r="AD28" s="21">
        <f>138-220</f>
        <v>-82</v>
      </c>
      <c r="AE28" s="21"/>
      <c r="AF28" s="21">
        <f>2.964-2.466</f>
        <v>0.49799999999999978</v>
      </c>
      <c r="AG28" s="21"/>
      <c r="AH28" s="17"/>
      <c r="AI28" s="21"/>
      <c r="AJ28" s="21"/>
      <c r="AK28" s="21"/>
      <c r="AL28" s="21"/>
      <c r="AM28" s="21"/>
      <c r="AN28" s="21"/>
      <c r="AO28" s="21">
        <v>0.1</v>
      </c>
      <c r="AP28" s="21"/>
      <c r="AQ28" s="21">
        <v>3</v>
      </c>
      <c r="AR28" s="21"/>
      <c r="AS28" s="21">
        <f>18.2-16.3</f>
        <v>1.8999999999999986</v>
      </c>
      <c r="AT28" s="21"/>
      <c r="AU28" s="21"/>
      <c r="AV28" s="21"/>
      <c r="AW28" s="21"/>
      <c r="AX28" s="21"/>
      <c r="AY28" s="21">
        <v>0</v>
      </c>
      <c r="AZ28" s="21"/>
      <c r="BA28" s="21"/>
      <c r="BB28" s="21"/>
      <c r="BC28" s="21"/>
      <c r="BD28" s="21"/>
      <c r="BE28" s="21">
        <f>34-6</f>
        <v>28</v>
      </c>
      <c r="BF28" s="21"/>
      <c r="BG28" s="21"/>
      <c r="BH28" s="21"/>
      <c r="BI28" s="21"/>
      <c r="BJ28" s="21"/>
      <c r="BK28" s="21"/>
      <c r="BL28" s="21"/>
      <c r="BM28" s="21"/>
    </row>
    <row r="29" spans="2:65" x14ac:dyDescent="0.25">
      <c r="B29" t="s">
        <v>75</v>
      </c>
      <c r="D29" s="19">
        <f>+D25-D26-D27-D28</f>
        <v>96.000000000000028</v>
      </c>
      <c r="E29" s="19"/>
      <c r="F29" s="19">
        <f>+F25-F26-F27-F28</f>
        <v>224.61599999999956</v>
      </c>
      <c r="G29" s="19"/>
      <c r="H29" s="19">
        <f>+H25-H26-H27-H28</f>
        <v>0</v>
      </c>
      <c r="I29" s="19"/>
      <c r="J29" s="19">
        <f>+J25-J26-J27-J28</f>
        <v>182</v>
      </c>
      <c r="K29" s="19"/>
      <c r="L29" s="19">
        <f>+L25-L26-L27-L28</f>
        <v>488</v>
      </c>
      <c r="M29" s="19"/>
      <c r="N29" s="19">
        <f>+N25-N26-N27-N28</f>
        <v>1900.1999999999973</v>
      </c>
      <c r="O29" s="19"/>
      <c r="P29" s="19">
        <f>+P25-P26-P27-P28</f>
        <v>-58</v>
      </c>
      <c r="Q29" s="19"/>
      <c r="R29" s="19">
        <f>+R25-R26-R27-R28</f>
        <v>2565</v>
      </c>
      <c r="S29" s="19"/>
      <c r="T29" s="19">
        <f>+T25-T26-T27-T28</f>
        <v>622.44800000000009</v>
      </c>
      <c r="U29" s="19"/>
      <c r="V29" s="19">
        <f>+V25-V26-V27-V28</f>
        <v>-159.5210000000003</v>
      </c>
      <c r="W29" s="19"/>
      <c r="X29" s="19">
        <f>+X25-X26-X27-X28</f>
        <v>685</v>
      </c>
      <c r="Y29" s="19"/>
      <c r="Z29" s="19">
        <f>+Z25-Z26-Z27-Z28</f>
        <v>0</v>
      </c>
      <c r="AA29" s="19"/>
      <c r="AB29" s="19">
        <f>+AB25-AB26-AB27-AB28</f>
        <v>-3435</v>
      </c>
      <c r="AC29" s="19"/>
      <c r="AD29" s="19">
        <f>+AD25-AD26-AD27-AD28</f>
        <v>125</v>
      </c>
      <c r="AE29" s="19"/>
      <c r="AF29" s="19">
        <f>+AF25-AF26-AF27-AF28</f>
        <v>-178.29399999999956</v>
      </c>
      <c r="AG29" s="19"/>
      <c r="AI29" s="19">
        <f>+AI25-AI26-AI27-AI28</f>
        <v>0</v>
      </c>
      <c r="AJ29" s="19"/>
      <c r="AK29" s="19">
        <f>+AK25-AK26-AK27-AK28</f>
        <v>0</v>
      </c>
      <c r="AL29" s="19"/>
      <c r="AM29" s="19">
        <f>+AM25-AM26-AM27-AM28</f>
        <v>0</v>
      </c>
      <c r="AN29" s="19"/>
      <c r="AO29" s="19">
        <f>+AO25-AO26-AO27-AO28</f>
        <v>79.700000000000031</v>
      </c>
      <c r="AP29" s="19"/>
      <c r="AQ29" s="19">
        <f>+AQ25-AQ26-AQ27-AQ28</f>
        <v>-129</v>
      </c>
      <c r="AR29" s="19"/>
      <c r="AS29" s="19">
        <f>+AS25-AS26-AS27-AS28</f>
        <v>18.799999999999933</v>
      </c>
      <c r="AT29" s="19"/>
      <c r="AU29" s="19">
        <f>+AU25-AU26-AU27-AU28</f>
        <v>0</v>
      </c>
      <c r="AV29" s="19"/>
      <c r="AW29" s="19"/>
      <c r="AX29" s="19"/>
      <c r="AY29" s="19">
        <f>+AY25-AY26-AY27-AY28</f>
        <v>-1923.5000000000002</v>
      </c>
      <c r="AZ29" s="19"/>
      <c r="BA29" s="19">
        <f>+BA25-BA26-BA27-BA28</f>
        <v>0</v>
      </c>
      <c r="BB29" s="19"/>
      <c r="BC29" s="19">
        <f>+BC25-BC26-BC27-BC28</f>
        <v>0</v>
      </c>
      <c r="BD29" s="19"/>
      <c r="BE29" s="19">
        <f>+BE25-BE26-BE27-BE28</f>
        <v>363</v>
      </c>
      <c r="BF29" s="19"/>
      <c r="BG29" s="19">
        <f>+BG25-BG26-BG27-BG28</f>
        <v>0</v>
      </c>
      <c r="BH29" s="19"/>
      <c r="BI29" s="19">
        <f>+BI25-BI26-BI27-BI28</f>
        <v>0</v>
      </c>
      <c r="BJ29" s="19"/>
      <c r="BK29" s="19">
        <f>+BK25-BK26-BK27-BK28</f>
        <v>0</v>
      </c>
      <c r="BL29" s="19"/>
      <c r="BM29" s="19">
        <f>+BM25-BM26-BM27-BM28</f>
        <v>0</v>
      </c>
    </row>
    <row r="30" spans="2:65" x14ac:dyDescent="0.25">
      <c r="B30" t="s">
        <v>73</v>
      </c>
      <c r="D30" s="19">
        <v>102.2</v>
      </c>
      <c r="E30" s="19"/>
      <c r="F30" s="19">
        <v>673.72299999999996</v>
      </c>
      <c r="G30" s="19"/>
      <c r="H30" s="19"/>
      <c r="I30" s="19"/>
      <c r="J30" s="43">
        <v>591</v>
      </c>
      <c r="K30" s="19"/>
      <c r="L30" s="19">
        <f>3480+364</f>
        <v>3844</v>
      </c>
      <c r="M30" s="19"/>
      <c r="N30" s="19">
        <v>3726.9</v>
      </c>
      <c r="O30" s="19"/>
      <c r="P30" s="19">
        <v>1684</v>
      </c>
      <c r="Q30" s="19"/>
      <c r="R30" s="19">
        <f>1618+156</f>
        <v>1774</v>
      </c>
      <c r="S30" s="19"/>
      <c r="T30" s="19">
        <v>865.43100000000004</v>
      </c>
      <c r="U30" s="19"/>
      <c r="V30" s="19">
        <v>1335.058</v>
      </c>
      <c r="W30" s="19"/>
      <c r="X30" s="19">
        <f>871+112+49</f>
        <v>1032</v>
      </c>
      <c r="Y30" s="19"/>
      <c r="Z30" s="19"/>
      <c r="AA30" s="19"/>
      <c r="AB30" s="19">
        <f>1571+158</f>
        <v>1729</v>
      </c>
      <c r="AC30" s="19"/>
      <c r="AD30" s="19">
        <f>1386+591</f>
        <v>1977</v>
      </c>
      <c r="AE30" s="19"/>
      <c r="AF30" s="19">
        <v>893.649</v>
      </c>
      <c r="AG30" s="19"/>
      <c r="AI30" s="19"/>
      <c r="AJ30" s="19"/>
      <c r="AK30" s="19"/>
      <c r="AL30" s="19"/>
      <c r="AM30" s="19"/>
      <c r="AN30" s="19"/>
      <c r="AO30" s="43">
        <f>60.1+9.9+170.8</f>
        <v>240.8</v>
      </c>
      <c r="AP30" s="19"/>
      <c r="AQ30" s="19">
        <f>46+658</f>
        <v>704</v>
      </c>
      <c r="AR30" s="19"/>
      <c r="AS30" s="19">
        <v>614.4</v>
      </c>
      <c r="AT30" s="19"/>
      <c r="AU30" s="19"/>
      <c r="AV30" s="19"/>
      <c r="AW30" s="19"/>
      <c r="AX30" s="19"/>
      <c r="AY30" s="19">
        <v>908.3</v>
      </c>
      <c r="AZ30" s="19"/>
      <c r="BA30" s="19"/>
      <c r="BB30" s="19"/>
      <c r="BC30" s="19"/>
      <c r="BD30" s="19"/>
      <c r="BE30" s="19">
        <v>383</v>
      </c>
      <c r="BF30" s="19"/>
      <c r="BG30" s="19"/>
      <c r="BH30" s="19"/>
      <c r="BI30" s="19"/>
      <c r="BJ30" s="19"/>
      <c r="BK30" s="19"/>
      <c r="BL30" s="19"/>
      <c r="BM30" s="19"/>
    </row>
    <row r="31" spans="2:65" ht="17.25" x14ac:dyDescent="0.4">
      <c r="B31" s="17" t="s">
        <v>74</v>
      </c>
      <c r="C31" s="17"/>
      <c r="D31" s="31">
        <v>0</v>
      </c>
      <c r="E31" s="19"/>
      <c r="F31" s="31">
        <v>0</v>
      </c>
      <c r="G31" s="19"/>
      <c r="H31" s="31"/>
      <c r="I31" s="31"/>
      <c r="J31" s="31">
        <v>0</v>
      </c>
      <c r="K31" s="31"/>
      <c r="L31" s="31">
        <v>210</v>
      </c>
      <c r="M31" s="31"/>
      <c r="N31" s="31">
        <v>0</v>
      </c>
      <c r="O31" s="31"/>
      <c r="P31" s="31">
        <v>0</v>
      </c>
      <c r="Q31" s="31"/>
      <c r="R31" s="31">
        <v>273</v>
      </c>
      <c r="S31" s="31"/>
      <c r="T31" s="31">
        <v>0</v>
      </c>
      <c r="U31" s="19"/>
      <c r="V31" s="31">
        <v>0</v>
      </c>
      <c r="W31" s="19"/>
      <c r="X31" s="31">
        <v>0</v>
      </c>
      <c r="Y31" s="19"/>
      <c r="Z31" s="31"/>
      <c r="AA31" s="31"/>
      <c r="AB31" s="31">
        <v>0</v>
      </c>
      <c r="AC31" s="31"/>
      <c r="AD31" s="31">
        <v>0</v>
      </c>
      <c r="AE31" s="19"/>
      <c r="AF31" s="31">
        <v>0</v>
      </c>
      <c r="AG31" s="31"/>
      <c r="AH31" s="17"/>
      <c r="AI31" s="31"/>
      <c r="AJ31" s="19"/>
      <c r="AK31" s="31"/>
      <c r="AL31" s="19"/>
      <c r="AM31" s="31"/>
      <c r="AN31" s="31"/>
      <c r="AO31" s="31">
        <v>0</v>
      </c>
      <c r="AP31" s="31"/>
      <c r="AQ31" s="31">
        <v>0</v>
      </c>
      <c r="AR31" s="31"/>
      <c r="AS31" s="31">
        <v>0</v>
      </c>
      <c r="AT31" s="31"/>
      <c r="AU31" s="31"/>
      <c r="AV31" s="31"/>
      <c r="AW31" s="31"/>
      <c r="AX31" s="31"/>
      <c r="AY31" s="31">
        <v>4</v>
      </c>
      <c r="AZ31" s="31"/>
      <c r="BA31" s="31"/>
      <c r="BB31" s="19"/>
      <c r="BC31" s="31"/>
      <c r="BD31" s="19"/>
      <c r="BE31" s="31">
        <v>540</v>
      </c>
      <c r="BF31" s="19"/>
      <c r="BG31" s="31"/>
      <c r="BH31" s="31"/>
      <c r="BI31" s="31"/>
      <c r="BJ31" s="31"/>
      <c r="BK31" s="31"/>
      <c r="BL31" s="19"/>
      <c r="BM31" s="31"/>
    </row>
    <row r="32" spans="2:65" x14ac:dyDescent="0.25">
      <c r="B32" t="s">
        <v>20</v>
      </c>
      <c r="D32" s="19">
        <f>+D29-D30-D31</f>
        <v>-6.1999999999999744</v>
      </c>
      <c r="E32" s="19"/>
      <c r="F32" s="19">
        <f>+F29-F30-F31</f>
        <v>-449.10700000000043</v>
      </c>
      <c r="G32" s="19"/>
      <c r="H32" s="19">
        <f>+H29-H30-H31</f>
        <v>0</v>
      </c>
      <c r="I32" s="19"/>
      <c r="J32" s="19">
        <f>+J29-J30-J31</f>
        <v>-409</v>
      </c>
      <c r="K32" s="19"/>
      <c r="L32" s="19">
        <f>+L29-L30-L31</f>
        <v>-3566</v>
      </c>
      <c r="M32" s="19"/>
      <c r="N32" s="19">
        <f>+N29-N30-N31</f>
        <v>-1826.7000000000028</v>
      </c>
      <c r="O32" s="19"/>
      <c r="P32" s="19">
        <f>+P29-P30-P31</f>
        <v>-1742</v>
      </c>
      <c r="Q32" s="19"/>
      <c r="R32" s="19">
        <f>+R29-R30-R31</f>
        <v>518</v>
      </c>
      <c r="S32" s="19"/>
      <c r="T32" s="19">
        <f>+T29-T30-T31</f>
        <v>-242.98299999999995</v>
      </c>
      <c r="U32" s="19"/>
      <c r="V32" s="19">
        <f>+V29-V30-V31</f>
        <v>-1494.5790000000002</v>
      </c>
      <c r="W32" s="19"/>
      <c r="X32" s="19">
        <f>+X29-X30-X31</f>
        <v>-347</v>
      </c>
      <c r="Y32" s="19"/>
      <c r="Z32" s="19">
        <f>+Z29-Z30-Z31</f>
        <v>0</v>
      </c>
      <c r="AA32" s="19"/>
      <c r="AB32" s="19">
        <f>+AB29-AB30-AB31</f>
        <v>-5164</v>
      </c>
      <c r="AC32" s="19"/>
      <c r="AD32" s="19">
        <f>+AD29-AD30-AD31</f>
        <v>-1852</v>
      </c>
      <c r="AE32" s="19"/>
      <c r="AF32" s="19">
        <f>+AF29-AF30-AF31</f>
        <v>-1071.9429999999995</v>
      </c>
      <c r="AG32" s="19"/>
      <c r="AI32" s="19">
        <f>+AI29-AI30-AI31</f>
        <v>0</v>
      </c>
      <c r="AJ32" s="19"/>
      <c r="AK32" s="19">
        <f>+AK29-AK30-AK31</f>
        <v>0</v>
      </c>
      <c r="AL32" s="19"/>
      <c r="AM32" s="19">
        <f>+AM29-AM30-AM31</f>
        <v>0</v>
      </c>
      <c r="AN32" s="19"/>
      <c r="AO32" s="19">
        <f>+AO29-AO30-AO31</f>
        <v>-161.09999999999997</v>
      </c>
      <c r="AP32" s="19"/>
      <c r="AQ32" s="19">
        <f>+AQ29-AQ30-AQ31</f>
        <v>-833</v>
      </c>
      <c r="AR32" s="19"/>
      <c r="AS32" s="19">
        <f>+AS29-AS30-AS31</f>
        <v>-595.6</v>
      </c>
      <c r="AT32" s="19"/>
      <c r="AU32" s="19"/>
      <c r="AV32" s="19"/>
      <c r="AW32" s="19"/>
      <c r="AX32" s="19"/>
      <c r="AY32" s="19">
        <f>+AY29-AY30-AY31</f>
        <v>-2835.8</v>
      </c>
      <c r="AZ32" s="19"/>
      <c r="BA32" s="19">
        <f>+BA29-BA30-BA31</f>
        <v>0</v>
      </c>
      <c r="BB32" s="19"/>
      <c r="BC32" s="19">
        <f>+BC29-BC30-BC31</f>
        <v>0</v>
      </c>
      <c r="BD32" s="19"/>
      <c r="BE32" s="19">
        <f>+BE29-BE30-BE31</f>
        <v>-560</v>
      </c>
      <c r="BF32" s="19"/>
      <c r="BG32" s="19">
        <f>+BG29-BG30-BG31</f>
        <v>0</v>
      </c>
      <c r="BH32" s="19"/>
      <c r="BI32" s="19">
        <f>+BI29-BI30-BI31</f>
        <v>0</v>
      </c>
      <c r="BJ32" s="19"/>
      <c r="BK32" s="19">
        <f>+BK29-BK30-BK31</f>
        <v>0</v>
      </c>
      <c r="BL32" s="19"/>
      <c r="BM32" s="19">
        <f>+BM29-BM30-BM31</f>
        <v>0</v>
      </c>
    </row>
    <row r="34" spans="2:30" x14ac:dyDescent="0.25">
      <c r="B34" t="s">
        <v>202</v>
      </c>
      <c r="C34" t="s">
        <v>203</v>
      </c>
    </row>
    <row r="37" spans="2:30" x14ac:dyDescent="0.25">
      <c r="B37" t="s">
        <v>200</v>
      </c>
      <c r="C37" t="s">
        <v>201</v>
      </c>
      <c r="D37" t="s">
        <v>243</v>
      </c>
      <c r="F37" t="s">
        <v>250</v>
      </c>
      <c r="J37" t="s">
        <v>251</v>
      </c>
      <c r="L37" t="s">
        <v>244</v>
      </c>
      <c r="N37" t="s">
        <v>245</v>
      </c>
      <c r="R37" t="s">
        <v>252</v>
      </c>
      <c r="T37" t="s">
        <v>247</v>
      </c>
      <c r="V37" t="s">
        <v>259</v>
      </c>
      <c r="X37" t="s">
        <v>248</v>
      </c>
      <c r="AB37" t="s">
        <v>253</v>
      </c>
      <c r="AD37" t="s">
        <v>249</v>
      </c>
    </row>
  </sheetData>
  <pageMargins left="0.7" right="0.7" top="0.75" bottom="0.75" header="0.3" footer="0.3"/>
  <pageSetup scale="49" orientation="landscape" r:id="rId1"/>
  <ignoredErrors>
    <ignoredError sqref="AA7:AD7 M7:T7 D7:F7 W7:X7 H7:J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41"/>
  <sheetViews>
    <sheetView showGridLines="0" workbookViewId="0">
      <selection activeCell="J51" sqref="J51"/>
    </sheetView>
  </sheetViews>
  <sheetFormatPr defaultRowHeight="15" x14ac:dyDescent="0.25"/>
  <cols>
    <col min="2" max="2" width="32.7109375" customWidth="1"/>
    <col min="3" max="3" width="1.140625" customWidth="1"/>
    <col min="4" max="9" width="0" hidden="1" customWidth="1"/>
    <col min="10" max="10" width="21.42578125" bestFit="1" customWidth="1"/>
    <col min="11" max="13" width="0" hidden="1" customWidth="1"/>
    <col min="14" max="14" width="21.42578125" bestFit="1" customWidth="1"/>
    <col min="15" max="15" width="0" hidden="1" customWidth="1"/>
    <col min="16" max="16" width="18.85546875" bestFit="1" customWidth="1"/>
    <col min="17" max="32" width="0" hidden="1" customWidth="1"/>
  </cols>
  <sheetData>
    <row r="1" spans="2:32" x14ac:dyDescent="0.25">
      <c r="B1" s="12"/>
      <c r="C1" s="12"/>
      <c r="D1" s="40" t="s">
        <v>304</v>
      </c>
      <c r="E1" s="40"/>
      <c r="F1" s="40" t="s">
        <v>305</v>
      </c>
      <c r="G1" s="40"/>
      <c r="H1" s="40" t="s">
        <v>306</v>
      </c>
      <c r="I1" s="40"/>
      <c r="J1" s="40" t="s">
        <v>307</v>
      </c>
      <c r="K1" s="12"/>
      <c r="L1" s="40" t="s">
        <v>308</v>
      </c>
      <c r="M1" s="12"/>
      <c r="N1" s="40" t="s">
        <v>309</v>
      </c>
      <c r="O1" s="40"/>
      <c r="P1" s="40" t="s">
        <v>310</v>
      </c>
      <c r="Q1" s="40"/>
      <c r="R1" s="40"/>
      <c r="S1" s="40"/>
      <c r="T1" s="40"/>
      <c r="U1" s="12"/>
      <c r="V1" s="40"/>
      <c r="W1" s="12"/>
      <c r="X1" s="40"/>
      <c r="Y1" s="12"/>
      <c r="Z1" s="40"/>
      <c r="AA1" s="12"/>
      <c r="AB1" s="40"/>
      <c r="AC1" s="12"/>
      <c r="AD1" s="40"/>
      <c r="AE1" s="12"/>
      <c r="AF1" s="40"/>
    </row>
    <row r="2" spans="2:32" x14ac:dyDescent="0.25">
      <c r="B2" t="s">
        <v>0</v>
      </c>
      <c r="D2" s="37"/>
      <c r="E2" s="37"/>
      <c r="F2" s="37"/>
      <c r="G2" s="37"/>
      <c r="H2" s="37"/>
      <c r="I2" s="37"/>
      <c r="J2" s="37" t="s">
        <v>187</v>
      </c>
      <c r="K2" s="37"/>
      <c r="L2" s="37"/>
      <c r="M2" s="37"/>
      <c r="N2" s="37" t="s">
        <v>313</v>
      </c>
      <c r="O2" s="37"/>
      <c r="P2" s="37" t="s">
        <v>187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</row>
    <row r="3" spans="2:32" x14ac:dyDescent="0.25">
      <c r="B3" t="s">
        <v>1</v>
      </c>
      <c r="D3" s="37"/>
      <c r="E3" s="37"/>
      <c r="F3" s="37"/>
      <c r="G3" s="37"/>
      <c r="H3" s="37"/>
      <c r="I3" s="37"/>
      <c r="J3" s="37" t="s">
        <v>316</v>
      </c>
      <c r="K3" s="37"/>
      <c r="L3" s="37"/>
      <c r="M3" s="37"/>
      <c r="N3" s="37" t="s">
        <v>314</v>
      </c>
      <c r="O3" s="37"/>
      <c r="P3" s="37" t="s">
        <v>311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</row>
    <row r="4" spans="2:32" hidden="1" x14ac:dyDescent="0.25">
      <c r="D4" s="37" t="s">
        <v>95</v>
      </c>
      <c r="E4" s="37"/>
      <c r="F4" s="37" t="s">
        <v>95</v>
      </c>
      <c r="G4" s="37"/>
      <c r="H4" s="37" t="s">
        <v>95</v>
      </c>
      <c r="I4" s="37"/>
      <c r="J4" s="37" t="s">
        <v>95</v>
      </c>
      <c r="K4" s="37"/>
      <c r="L4" s="37" t="s">
        <v>95</v>
      </c>
      <c r="M4" s="37"/>
      <c r="N4" s="37" t="s">
        <v>95</v>
      </c>
      <c r="O4" s="37"/>
      <c r="P4" s="37" t="s">
        <v>95</v>
      </c>
      <c r="Q4" s="37"/>
      <c r="R4" s="37" t="s">
        <v>95</v>
      </c>
      <c r="S4" s="37"/>
      <c r="T4" s="37" t="s">
        <v>95</v>
      </c>
      <c r="U4" s="37"/>
      <c r="V4" s="37" t="s">
        <v>95</v>
      </c>
      <c r="W4" s="37"/>
      <c r="X4" s="37" t="s">
        <v>95</v>
      </c>
      <c r="Y4" s="37"/>
      <c r="Z4" s="37"/>
      <c r="AA4" s="37"/>
      <c r="AB4" s="37" t="s">
        <v>95</v>
      </c>
      <c r="AC4" s="37"/>
      <c r="AD4" s="37" t="s">
        <v>95</v>
      </c>
      <c r="AE4" s="37"/>
      <c r="AF4" s="37" t="s">
        <v>95</v>
      </c>
    </row>
    <row r="5" spans="2:32" x14ac:dyDescent="0.25">
      <c r="B5" t="s">
        <v>89</v>
      </c>
      <c r="D5" s="41" t="str">
        <f>_xll.BDP(C5,D4)</f>
        <v>#N/A Invalid Security</v>
      </c>
      <c r="E5" s="41"/>
      <c r="F5" s="41" t="str">
        <f>_xll.BDP(E5,F4)</f>
        <v>#N/A Invalid Security</v>
      </c>
      <c r="G5" s="41"/>
      <c r="H5" s="41" t="str">
        <f>_xll.BDP(G5,H4)</f>
        <v>#N/A Invalid Security</v>
      </c>
      <c r="I5" s="41" t="s">
        <v>317</v>
      </c>
      <c r="J5" s="41">
        <f>_xll.BDP(I5,J4)</f>
        <v>99.075000000000003</v>
      </c>
      <c r="K5" s="39"/>
      <c r="L5" s="41" t="str">
        <f>_xll.BDP(K5,L4)</f>
        <v>#N/A Invalid Security</v>
      </c>
      <c r="M5" s="39" t="s">
        <v>315</v>
      </c>
      <c r="N5" s="41">
        <f>_xll.BDP(M5,N4)</f>
        <v>102.13200000000001</v>
      </c>
      <c r="O5" s="41" t="s">
        <v>312</v>
      </c>
      <c r="P5" s="41">
        <f>_xll.BDP(O5,P4)</f>
        <v>103.509</v>
      </c>
      <c r="Q5" s="41"/>
      <c r="R5" s="41" t="str">
        <f>_xll.BDP(Q5,R4)</f>
        <v>#N/A Invalid Security</v>
      </c>
      <c r="S5" s="41"/>
      <c r="T5" s="41" t="str">
        <f>_xll.BDP(S5,T4)</f>
        <v>#N/A Invalid Security</v>
      </c>
      <c r="U5" s="39"/>
      <c r="V5" s="41" t="str">
        <f>_xll.BDP(U5,V4)</f>
        <v>#N/A Invalid Security</v>
      </c>
      <c r="W5" s="39"/>
      <c r="X5" s="41" t="str">
        <f>_xll.BDP(W5,X4)</f>
        <v>#N/A Invalid Security</v>
      </c>
      <c r="Y5" s="39" t="s">
        <v>260</v>
      </c>
      <c r="Z5" s="41"/>
      <c r="AA5" s="39" t="s">
        <v>228</v>
      </c>
      <c r="AB5" s="41">
        <f>_xll.BDP(AA5,AB4)</f>
        <v>104.096</v>
      </c>
      <c r="AC5" s="39" t="s">
        <v>231</v>
      </c>
      <c r="AD5" s="41">
        <f>_xll.BDP(AC5,AD4)</f>
        <v>100.08</v>
      </c>
      <c r="AE5" s="39" t="s">
        <v>234</v>
      </c>
      <c r="AF5" s="41">
        <f>_xll.BDP(AE5,AF4)</f>
        <v>99.453000000000003</v>
      </c>
    </row>
    <row r="6" spans="2:32" hidden="1" x14ac:dyDescent="0.25">
      <c r="D6" s="41" t="s">
        <v>161</v>
      </c>
      <c r="E6" s="41"/>
      <c r="F6" s="41" t="s">
        <v>161</v>
      </c>
      <c r="G6" s="41"/>
      <c r="H6" s="41" t="s">
        <v>161</v>
      </c>
      <c r="I6" s="41"/>
      <c r="J6" s="41" t="s">
        <v>161</v>
      </c>
      <c r="K6" s="39"/>
      <c r="L6" s="41" t="s">
        <v>161</v>
      </c>
      <c r="M6" s="39"/>
      <c r="N6" s="41" t="s">
        <v>161</v>
      </c>
      <c r="O6" s="41"/>
      <c r="P6" s="41" t="s">
        <v>161</v>
      </c>
      <c r="Q6" s="41"/>
      <c r="R6" s="41" t="s">
        <v>161</v>
      </c>
      <c r="S6" s="41"/>
      <c r="T6" s="41" t="s">
        <v>161</v>
      </c>
      <c r="U6" s="39"/>
      <c r="V6" s="41" t="s">
        <v>161</v>
      </c>
      <c r="W6" s="39"/>
      <c r="X6" s="41" t="s">
        <v>161</v>
      </c>
      <c r="Y6" s="39"/>
      <c r="Z6" s="41"/>
      <c r="AA6" s="39"/>
      <c r="AB6" s="41" t="s">
        <v>161</v>
      </c>
      <c r="AC6" s="39"/>
      <c r="AD6" s="41" t="s">
        <v>161</v>
      </c>
      <c r="AE6" s="39"/>
      <c r="AF6" s="41" t="s">
        <v>161</v>
      </c>
    </row>
    <row r="7" spans="2:32" x14ac:dyDescent="0.25">
      <c r="B7" t="s">
        <v>220</v>
      </c>
      <c r="D7" s="41" t="str">
        <f>_xll.BDP(C7,D6)</f>
        <v>#N/A Invalid Security</v>
      </c>
      <c r="E7" s="41"/>
      <c r="F7" s="41" t="str">
        <f>_xll.BDP(E7,F6)</f>
        <v>#N/A Invalid Security</v>
      </c>
      <c r="G7" s="41"/>
      <c r="H7" s="41" t="str">
        <f>_xll.BDP(G7,H6)</f>
        <v>#N/A Invalid Security</v>
      </c>
      <c r="I7" s="41" t="str">
        <f>+I5</f>
        <v>au7909263 corp</v>
      </c>
      <c r="J7" s="41">
        <f>_xll.BDP(I7,J6)</f>
        <v>156.756046831003</v>
      </c>
      <c r="K7" s="39"/>
      <c r="L7" s="41" t="str">
        <f>_xll.BDP(K7,L6)</f>
        <v>#N/A Invalid Security</v>
      </c>
      <c r="M7" s="39" t="str">
        <f>+M5</f>
        <v>ar4953873 corp</v>
      </c>
      <c r="N7" s="41">
        <f>_xll.BDP(M7,N6)</f>
        <v>125.481573376912</v>
      </c>
      <c r="O7" s="41" t="str">
        <f>+O5</f>
        <v>as7113937 corp</v>
      </c>
      <c r="P7" s="41">
        <f>_xll.BDP(O7,P6)</f>
        <v>151.72295608399699</v>
      </c>
      <c r="Q7" s="41"/>
      <c r="R7" s="41" t="str">
        <f>_xll.BDP(Q7,R6)</f>
        <v>#N/A Invalid Security</v>
      </c>
      <c r="S7" s="41"/>
      <c r="T7" s="41" t="str">
        <f>_xll.BDP(S7,T6)</f>
        <v>#N/A Invalid Security</v>
      </c>
      <c r="U7" s="39"/>
      <c r="V7" s="41" t="str">
        <f>_xll.BDP(U7,V6)</f>
        <v>#N/A Invalid Security</v>
      </c>
      <c r="W7" s="39"/>
      <c r="X7" s="41" t="str">
        <f>_xll.BDP(W7,X6)</f>
        <v>#N/A Invalid Security</v>
      </c>
      <c r="Y7" s="39" t="str">
        <f>+Y5</f>
        <v>aq7078274 corp</v>
      </c>
      <c r="Z7" s="41"/>
      <c r="AA7" s="39" t="str">
        <f>+AA5</f>
        <v>as5051345 corp</v>
      </c>
      <c r="AB7" s="41">
        <f>_xll.BDP(AA7,AB6)</f>
        <v>134.03417971196299</v>
      </c>
      <c r="AC7" s="39" t="str">
        <f>+AC5</f>
        <v>an8093246 corp</v>
      </c>
      <c r="AD7" s="41">
        <f>_xll.BDP(AC7,AD6)</f>
        <v>140.80021916300299</v>
      </c>
      <c r="AE7" s="39" t="str">
        <f>+AE5</f>
        <v>at9556495 corp</v>
      </c>
      <c r="AF7" s="41">
        <f>_xll.BDP(AE7,AF6)</f>
        <v>245.80588052405599</v>
      </c>
    </row>
    <row r="8" spans="2:32" x14ac:dyDescent="0.25">
      <c r="B8" t="s">
        <v>246</v>
      </c>
      <c r="D8" s="8">
        <v>3</v>
      </c>
      <c r="E8" s="8"/>
      <c r="F8" s="8">
        <v>3</v>
      </c>
      <c r="G8" s="8"/>
      <c r="H8" s="8"/>
      <c r="I8" s="8"/>
      <c r="J8" s="8"/>
      <c r="K8" s="8"/>
      <c r="L8" s="8">
        <v>2</v>
      </c>
      <c r="M8" s="8"/>
      <c r="N8" s="8"/>
      <c r="O8" s="4"/>
      <c r="P8" s="4"/>
      <c r="Q8" s="4"/>
      <c r="R8" s="8">
        <v>1</v>
      </c>
      <c r="S8" s="4"/>
      <c r="T8" s="8">
        <v>3</v>
      </c>
      <c r="U8" s="4"/>
      <c r="V8" s="8">
        <v>3</v>
      </c>
      <c r="W8" s="4"/>
      <c r="X8" s="8">
        <v>2</v>
      </c>
      <c r="Y8" s="4"/>
      <c r="Z8" s="8"/>
      <c r="AA8" s="8"/>
      <c r="AB8" s="8">
        <v>3</v>
      </c>
      <c r="AC8" s="8"/>
      <c r="AD8" s="8">
        <v>2</v>
      </c>
      <c r="AE8" s="8"/>
      <c r="AF8" s="8">
        <v>2</v>
      </c>
    </row>
    <row r="9" spans="2:32" x14ac:dyDescent="0.25">
      <c r="B9" s="12" t="s">
        <v>2</v>
      </c>
      <c r="C9" s="12"/>
      <c r="D9" s="18">
        <v>43465</v>
      </c>
      <c r="E9" s="18"/>
      <c r="F9" s="18">
        <v>43465</v>
      </c>
      <c r="G9" s="18"/>
      <c r="H9" s="18">
        <v>43465</v>
      </c>
      <c r="I9" s="18"/>
      <c r="J9" s="18">
        <v>43465</v>
      </c>
      <c r="K9" s="18"/>
      <c r="L9" s="42" t="s">
        <v>238</v>
      </c>
      <c r="M9" s="18"/>
      <c r="N9" s="18">
        <v>43465</v>
      </c>
      <c r="O9" s="18"/>
      <c r="P9" s="18">
        <v>43465</v>
      </c>
      <c r="Q9" s="18"/>
      <c r="R9" s="18">
        <v>43465</v>
      </c>
      <c r="S9" s="18"/>
      <c r="T9" s="18">
        <v>43465</v>
      </c>
      <c r="U9" s="18"/>
      <c r="V9" s="18">
        <v>43465</v>
      </c>
      <c r="W9" s="18"/>
      <c r="X9" s="18">
        <v>43465</v>
      </c>
      <c r="Y9" s="18"/>
      <c r="Z9" s="18"/>
      <c r="AA9" s="18"/>
      <c r="AB9" s="18">
        <v>43465</v>
      </c>
      <c r="AC9" s="18"/>
      <c r="AD9" s="18">
        <v>43465</v>
      </c>
      <c r="AE9" s="18"/>
      <c r="AF9" s="18">
        <v>43465</v>
      </c>
    </row>
    <row r="10" spans="2:32" x14ac:dyDescent="0.25">
      <c r="B10" t="s">
        <v>3</v>
      </c>
      <c r="D10" s="7">
        <v>1223.7</v>
      </c>
      <c r="E10" s="7"/>
      <c r="F10" s="7">
        <v>4108.2749999999996</v>
      </c>
      <c r="G10" s="7"/>
      <c r="H10" s="7"/>
      <c r="I10" s="7"/>
      <c r="J10" s="7">
        <v>97102</v>
      </c>
      <c r="K10" s="7"/>
      <c r="L10" s="7"/>
      <c r="M10" s="7"/>
      <c r="N10" s="7">
        <v>114217</v>
      </c>
      <c r="O10" s="7"/>
      <c r="P10" s="7">
        <v>117033</v>
      </c>
      <c r="Q10" s="7"/>
      <c r="R10" s="7">
        <v>14144</v>
      </c>
      <c r="S10" s="7"/>
      <c r="T10" s="7">
        <v>2826.5729999999999</v>
      </c>
      <c r="U10" s="7"/>
      <c r="V10" s="7">
        <v>12593.196</v>
      </c>
      <c r="W10" s="7"/>
      <c r="X10" s="7">
        <v>34055</v>
      </c>
      <c r="Y10" s="7"/>
      <c r="Z10" s="7"/>
      <c r="AA10" s="7"/>
      <c r="AB10" s="7">
        <v>13679</v>
      </c>
      <c r="AC10" s="7"/>
      <c r="AD10" s="7">
        <v>8686</v>
      </c>
      <c r="AE10" s="7"/>
      <c r="AF10" s="7">
        <f>1990.276+153.024</f>
        <v>2143.3000000000002</v>
      </c>
    </row>
    <row r="11" spans="2:32" x14ac:dyDescent="0.25">
      <c r="B11" t="s">
        <v>210</v>
      </c>
      <c r="D11" s="35">
        <f>+D10-19-205.6-136.3-103.8</f>
        <v>759</v>
      </c>
      <c r="E11" s="35"/>
      <c r="F11" s="7">
        <f>+F10-2521.864-639.769-82.393+21.89</f>
        <v>886.13899999999956</v>
      </c>
      <c r="G11" s="7"/>
      <c r="H11" s="7"/>
      <c r="I11" s="7"/>
      <c r="J11" s="7">
        <f>+J10-85456-610-2418-557+519-373</f>
        <v>8207</v>
      </c>
      <c r="K11" s="7"/>
      <c r="L11" s="7"/>
      <c r="M11" s="7"/>
      <c r="N11" s="7">
        <f>+N10-97930-4880-1677-425</f>
        <v>9305</v>
      </c>
      <c r="O11" s="7"/>
      <c r="P11" s="7">
        <f>+P10-104732-4690-925+32-116</f>
        <v>6602</v>
      </c>
      <c r="Q11" s="7"/>
      <c r="R11" s="7">
        <v>7568</v>
      </c>
      <c r="S11" s="7"/>
      <c r="T11" s="7">
        <v>1395.7550000000001</v>
      </c>
      <c r="U11" s="7"/>
      <c r="V11" s="7">
        <f>+V10-9422.708-803.146-103.922+158.383+31.664</f>
        <v>2453.4669999999996</v>
      </c>
      <c r="W11" s="7"/>
      <c r="X11" s="7">
        <v>2684</v>
      </c>
      <c r="Y11" s="7"/>
      <c r="Z11" s="7"/>
      <c r="AA11" s="7"/>
      <c r="AB11" s="7">
        <v>8563</v>
      </c>
      <c r="AC11" s="7"/>
      <c r="AD11" s="7">
        <f>+AD10-2707-137-1507-569+693</f>
        <v>4459</v>
      </c>
      <c r="AE11" s="7"/>
      <c r="AF11" s="7">
        <f>+AF10-431.921-414.784-59.706-42.934+6.153</f>
        <v>1200.1080000000004</v>
      </c>
    </row>
    <row r="12" spans="2:32" x14ac:dyDescent="0.25">
      <c r="B12" s="1" t="s">
        <v>211</v>
      </c>
      <c r="C12" s="1"/>
      <c r="D12" s="23">
        <f>+D11/D10</f>
        <v>0.62025006128953175</v>
      </c>
      <c r="E12" s="23"/>
      <c r="F12" s="23">
        <f>+F11/F10</f>
        <v>0.2156961255027961</v>
      </c>
      <c r="G12" s="23"/>
      <c r="H12" s="23" t="e">
        <f>+H11/H10</f>
        <v>#DIV/0!</v>
      </c>
      <c r="I12" s="23"/>
      <c r="J12" s="23">
        <f>+J11/J10</f>
        <v>8.4519371382669767E-2</v>
      </c>
      <c r="K12" s="23"/>
      <c r="L12" s="23" t="e">
        <f>+L11/L10</f>
        <v>#DIV/0!</v>
      </c>
      <c r="M12" s="23"/>
      <c r="N12" s="23">
        <f>+N11/N10</f>
        <v>8.1467732474150081E-2</v>
      </c>
      <c r="O12" s="23"/>
      <c r="P12" s="23">
        <f>+P11/P10</f>
        <v>5.6411439508514689E-2</v>
      </c>
      <c r="Q12" s="23"/>
      <c r="R12" s="23">
        <f>+R11/R10</f>
        <v>0.53506787330316741</v>
      </c>
      <c r="S12" s="23"/>
      <c r="T12" s="23">
        <f>+T11/T10</f>
        <v>0.49379761286901142</v>
      </c>
      <c r="U12" s="23"/>
      <c r="V12" s="23">
        <f>+V11/V10</f>
        <v>0.19482480857123161</v>
      </c>
      <c r="W12" s="23"/>
      <c r="X12" s="23">
        <f>+X11/X10</f>
        <v>7.8813683746880053E-2</v>
      </c>
      <c r="Y12" s="23"/>
      <c r="Z12" s="23"/>
      <c r="AA12" s="23"/>
      <c r="AB12" s="23">
        <f>+AB11/AB10</f>
        <v>0.62599605234300748</v>
      </c>
      <c r="AC12" s="23"/>
      <c r="AD12" s="23">
        <f>+AD11/AD10</f>
        <v>0.5133548238544785</v>
      </c>
      <c r="AE12" s="23"/>
      <c r="AF12" s="23">
        <f>+AF11/AF10</f>
        <v>0.55993468016609915</v>
      </c>
    </row>
    <row r="14" spans="2:32" x14ac:dyDescent="0.25">
      <c r="B14" t="s">
        <v>6</v>
      </c>
      <c r="D14" s="7">
        <v>3727.5</v>
      </c>
      <c r="E14" s="7"/>
      <c r="F14" s="7">
        <v>4714.442</v>
      </c>
      <c r="G14" s="7"/>
      <c r="H14" s="7"/>
      <c r="I14" s="7"/>
      <c r="J14" s="7">
        <f>27980</f>
        <v>27980</v>
      </c>
      <c r="K14" s="7"/>
      <c r="L14" s="7"/>
      <c r="M14" s="7"/>
      <c r="N14" s="7">
        <f>11076+84</f>
        <v>11160</v>
      </c>
      <c r="O14" s="7"/>
      <c r="P14" s="7">
        <v>8503</v>
      </c>
      <c r="Q14" s="7"/>
      <c r="R14" s="7">
        <v>36593</v>
      </c>
      <c r="S14" s="7"/>
      <c r="T14" s="7">
        <v>4550</v>
      </c>
      <c r="U14" s="7"/>
      <c r="V14" s="7">
        <v>9451.3539999999994</v>
      </c>
      <c r="W14" s="7"/>
      <c r="X14" s="7">
        <v>9209</v>
      </c>
      <c r="Y14" s="7"/>
      <c r="Z14" s="7"/>
      <c r="AA14" s="7"/>
      <c r="AB14" s="7">
        <v>42287</v>
      </c>
      <c r="AC14" s="7"/>
      <c r="AD14" s="7">
        <v>22414</v>
      </c>
      <c r="AE14" s="7"/>
      <c r="AF14" s="7">
        <v>4840</v>
      </c>
    </row>
    <row r="15" spans="2:32" x14ac:dyDescent="0.25">
      <c r="B15" t="s">
        <v>7</v>
      </c>
      <c r="D15" s="6">
        <f>+D14/D11</f>
        <v>4.9110671936758896</v>
      </c>
      <c r="E15" s="6"/>
      <c r="F15" s="6">
        <f>+F14/F11</f>
        <v>5.3202059722007524</v>
      </c>
      <c r="G15" s="6"/>
      <c r="H15" s="6" t="e">
        <f>+H14/H11</f>
        <v>#DIV/0!</v>
      </c>
      <c r="I15" s="6"/>
      <c r="J15" s="6">
        <f>+J14/J11</f>
        <v>3.409284756914829</v>
      </c>
      <c r="K15" s="6"/>
      <c r="L15" s="6" t="e">
        <f>+L14/L11</f>
        <v>#DIV/0!</v>
      </c>
      <c r="M15" s="6"/>
      <c r="N15" s="6">
        <f>+N14/N11</f>
        <v>1.1993551853842019</v>
      </c>
      <c r="O15" s="6"/>
      <c r="P15" s="6">
        <f>+P14/P11</f>
        <v>1.2879430475613451</v>
      </c>
      <c r="Q15" s="6"/>
      <c r="R15" s="6">
        <f>+R14/R11</f>
        <v>4.8352272727272725</v>
      </c>
      <c r="S15" s="6"/>
      <c r="T15" s="6">
        <f>+T14/T11</f>
        <v>3.2598844353056227</v>
      </c>
      <c r="U15" s="6"/>
      <c r="V15" s="6">
        <f>+V14/V11</f>
        <v>3.8522441915868444</v>
      </c>
      <c r="W15" s="6"/>
      <c r="X15" s="6">
        <f>+X14/X11</f>
        <v>3.4310730253353205</v>
      </c>
      <c r="Y15" s="6"/>
      <c r="Z15" s="6"/>
      <c r="AA15" s="6"/>
      <c r="AB15" s="6">
        <f>+AB14/AB11</f>
        <v>4.9383393670442599</v>
      </c>
      <c r="AC15" s="6"/>
      <c r="AD15" s="6">
        <f>+AD14/AD11</f>
        <v>5.0266875981161698</v>
      </c>
      <c r="AE15" s="6"/>
      <c r="AF15" s="6">
        <f>+AF14/AF11</f>
        <v>4.0329703660003924</v>
      </c>
    </row>
    <row r="16" spans="2:32" x14ac:dyDescent="0.25">
      <c r="B16" t="s">
        <v>8</v>
      </c>
      <c r="D16" s="6" t="e">
        <f>+D11/D27</f>
        <v>#DIV/0!</v>
      </c>
      <c r="E16" s="6"/>
      <c r="F16" s="6" t="e">
        <f>+F11/F27</f>
        <v>#DIV/0!</v>
      </c>
      <c r="G16" s="6"/>
      <c r="H16" s="6" t="e">
        <f>+H11/H27</f>
        <v>#DIV/0!</v>
      </c>
      <c r="I16" s="6"/>
      <c r="J16" s="6">
        <f>+J11/J27</f>
        <v>8.7963558413719181</v>
      </c>
      <c r="K16" s="6"/>
      <c r="L16" s="6" t="e">
        <f>+L11/L27</f>
        <v>#DIV/0!</v>
      </c>
      <c r="M16" s="6"/>
      <c r="N16" s="6">
        <f>+N11/N27</f>
        <v>18.462301587301589</v>
      </c>
      <c r="O16" s="6"/>
      <c r="P16" s="6">
        <f>+P11/P27</f>
        <v>14.046808510638298</v>
      </c>
      <c r="Q16" s="6"/>
      <c r="R16" s="6">
        <f>+R11/R27</f>
        <v>3.9478351591027647</v>
      </c>
      <c r="S16" s="6"/>
      <c r="T16" s="6">
        <f>+T11/T27</f>
        <v>6.3162336692626901</v>
      </c>
      <c r="U16" s="6"/>
      <c r="V16" s="6">
        <f>+V11/V27</f>
        <v>5.2243665090924569</v>
      </c>
      <c r="W16" s="6"/>
      <c r="X16" s="6">
        <f>+X11/X27</f>
        <v>8.976588628762542</v>
      </c>
      <c r="Y16" s="6"/>
      <c r="Z16" s="6"/>
      <c r="AA16" s="6"/>
      <c r="AB16" s="6">
        <f>+AB11/AB27</f>
        <v>3.7805739514348784</v>
      </c>
      <c r="AC16" s="6"/>
      <c r="AD16" s="6">
        <f>+AD11/AD27</f>
        <v>3.8439655172413794</v>
      </c>
      <c r="AE16" s="6"/>
      <c r="AF16" s="6">
        <f>+AF11/AF27</f>
        <v>6.5220425198904417</v>
      </c>
    </row>
    <row r="17" spans="2:32" x14ac:dyDescent="0.25">
      <c r="B17" t="s">
        <v>9</v>
      </c>
      <c r="D17" s="7">
        <f>920+3.6</f>
        <v>923.6</v>
      </c>
      <c r="E17" s="7"/>
      <c r="F17" s="7">
        <f>1400-522.3+1.83</f>
        <v>879.53000000000009</v>
      </c>
      <c r="G17" s="7"/>
      <c r="H17" s="7"/>
      <c r="I17" s="7"/>
      <c r="J17" s="7">
        <v>8327</v>
      </c>
      <c r="K17" s="7"/>
      <c r="L17" s="7"/>
      <c r="M17" s="7"/>
      <c r="N17" s="7">
        <f>750-125+5000+3119</f>
        <v>8744</v>
      </c>
      <c r="O17" s="7"/>
      <c r="P17" s="7">
        <v>7097</v>
      </c>
      <c r="Q17" s="7"/>
      <c r="R17" s="7">
        <f>+R21+4000-433</f>
        <v>6898</v>
      </c>
      <c r="S17" s="7"/>
      <c r="T17" s="7">
        <f>+T21+1000-6.8</f>
        <v>1154.04</v>
      </c>
      <c r="U17" s="7"/>
      <c r="V17" s="7">
        <f>2500-1.4+V21</f>
        <v>2510.6</v>
      </c>
      <c r="W17" s="7"/>
      <c r="X17" s="7">
        <f>3000+X21</f>
        <v>3066</v>
      </c>
      <c r="Y17" s="7"/>
      <c r="Z17" s="7"/>
      <c r="AA17" s="7"/>
      <c r="AB17" s="7">
        <f>12900+AB21</f>
        <v>13346</v>
      </c>
      <c r="AC17" s="7"/>
      <c r="AD17" s="7">
        <f>+AD21+4500-160-14</f>
        <v>4494</v>
      </c>
      <c r="AE17" s="7"/>
      <c r="AF17" s="7">
        <f>1300-220-4.6+AF21</f>
        <v>1165.8480000000002</v>
      </c>
    </row>
    <row r="18" spans="2:32" x14ac:dyDescent="0.25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 x14ac:dyDescent="0.25">
      <c r="B19" t="s">
        <v>206</v>
      </c>
      <c r="D19" s="41" t="s">
        <v>209</v>
      </c>
      <c r="E19" s="7"/>
      <c r="F19" s="7">
        <v>5236</v>
      </c>
      <c r="G19" s="7"/>
      <c r="H19" s="7"/>
      <c r="I19" s="7"/>
      <c r="J19" s="7">
        <f>41667.5+26413*(1-0.6355)</f>
        <v>51295.038500000002</v>
      </c>
      <c r="K19" s="7"/>
      <c r="L19" s="7"/>
      <c r="M19" s="7"/>
      <c r="N19" s="7">
        <f>44590+6562*(1-0.5541)</f>
        <v>47515.995799999997</v>
      </c>
      <c r="O19" s="7"/>
      <c r="P19" s="7">
        <v>36223</v>
      </c>
      <c r="Q19" s="7"/>
      <c r="R19" s="7">
        <v>44684.6</v>
      </c>
      <c r="S19" s="7"/>
      <c r="T19" s="7">
        <v>14046.8</v>
      </c>
      <c r="U19" s="7"/>
      <c r="V19" s="7">
        <v>26771.200000000001</v>
      </c>
      <c r="W19" s="7"/>
      <c r="X19" s="7">
        <v>17161</v>
      </c>
      <c r="Y19" s="7"/>
      <c r="Z19" s="7"/>
      <c r="AA19" s="7"/>
      <c r="AB19" s="7">
        <v>41218.800000000003</v>
      </c>
      <c r="AC19" s="7"/>
      <c r="AD19" s="7">
        <v>33217.199999999997</v>
      </c>
      <c r="AE19" s="7"/>
      <c r="AF19" s="7">
        <v>7255.6</v>
      </c>
    </row>
    <row r="20" spans="2:32" x14ac:dyDescent="0.25">
      <c r="B20" t="s">
        <v>207</v>
      </c>
      <c r="D20" s="41" t="s">
        <v>209</v>
      </c>
      <c r="E20" s="7"/>
      <c r="F20" s="7">
        <f>+F19+F14-F21</f>
        <v>9948.6119999999992</v>
      </c>
      <c r="G20" s="7"/>
      <c r="H20" s="7"/>
      <c r="I20" s="7"/>
      <c r="J20" s="7">
        <f t="shared" ref="J20:AF20" si="0">+J19+J14-J21</f>
        <v>77666.038499999995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55556.995799999997</v>
      </c>
      <c r="O20" s="7">
        <f t="shared" si="0"/>
        <v>0</v>
      </c>
      <c r="P20" s="7">
        <f t="shared" si="0"/>
        <v>41979</v>
      </c>
      <c r="Q20" s="7">
        <f t="shared" si="0"/>
        <v>0</v>
      </c>
      <c r="R20" s="7">
        <f t="shared" si="0"/>
        <v>77946.600000000006</v>
      </c>
      <c r="S20" s="7"/>
      <c r="T20" s="7">
        <f t="shared" si="0"/>
        <v>18435.96</v>
      </c>
      <c r="U20" s="7"/>
      <c r="V20" s="7">
        <f t="shared" si="0"/>
        <v>36210.554000000004</v>
      </c>
      <c r="W20" s="7"/>
      <c r="X20" s="7">
        <f t="shared" si="0"/>
        <v>26304</v>
      </c>
      <c r="Y20" s="7"/>
      <c r="Z20" s="7"/>
      <c r="AA20" s="7"/>
      <c r="AB20" s="7">
        <f t="shared" si="0"/>
        <v>83059.8</v>
      </c>
      <c r="AC20" s="7"/>
      <c r="AD20" s="7">
        <f t="shared" si="0"/>
        <v>55463.199999999997</v>
      </c>
      <c r="AE20" s="7"/>
      <c r="AF20" s="7">
        <f t="shared" si="0"/>
        <v>12005.152</v>
      </c>
    </row>
    <row r="21" spans="2:32" x14ac:dyDescent="0.25">
      <c r="B21" t="s">
        <v>221</v>
      </c>
      <c r="D21" s="41">
        <v>3.6</v>
      </c>
      <c r="E21" s="7"/>
      <c r="F21" s="7">
        <v>1.83</v>
      </c>
      <c r="G21" s="7"/>
      <c r="H21" s="7"/>
      <c r="I21" s="7"/>
      <c r="J21" s="7">
        <v>1609</v>
      </c>
      <c r="K21" s="7"/>
      <c r="L21" s="7"/>
      <c r="M21" s="7"/>
      <c r="N21" s="7">
        <v>3119</v>
      </c>
      <c r="O21" s="7"/>
      <c r="P21" s="7">
        <v>2747</v>
      </c>
      <c r="Q21" s="7"/>
      <c r="R21" s="7">
        <v>3331</v>
      </c>
      <c r="S21" s="7"/>
      <c r="T21" s="7">
        <v>160.84</v>
      </c>
      <c r="U21" s="7"/>
      <c r="V21" s="7">
        <v>12</v>
      </c>
      <c r="W21" s="7"/>
      <c r="X21" s="7">
        <v>66</v>
      </c>
      <c r="Y21" s="7"/>
      <c r="Z21" s="7"/>
      <c r="AA21" s="7"/>
      <c r="AB21" s="7">
        <v>446</v>
      </c>
      <c r="AC21" s="7"/>
      <c r="AD21" s="7">
        <v>168</v>
      </c>
      <c r="AE21" s="7"/>
      <c r="AF21" s="7">
        <v>90.447999999999993</v>
      </c>
    </row>
    <row r="22" spans="2:32" x14ac:dyDescent="0.25">
      <c r="B22" t="s">
        <v>208</v>
      </c>
      <c r="D22" s="41" t="s">
        <v>209</v>
      </c>
      <c r="E22" s="7"/>
      <c r="F22" s="6">
        <f>+F20/F11</f>
        <v>11.226920381565424</v>
      </c>
      <c r="G22" s="7"/>
      <c r="H22" s="6"/>
      <c r="I22" s="6"/>
      <c r="J22" s="6">
        <f>+J20/J11</f>
        <v>9.4633896064335321</v>
      </c>
      <c r="K22" s="6"/>
      <c r="L22" s="6" t="e">
        <f>+L20/L11</f>
        <v>#DIV/0!</v>
      </c>
      <c r="M22" s="6"/>
      <c r="N22" s="6">
        <f>+N20/N11</f>
        <v>5.9706604836109616</v>
      </c>
      <c r="O22" s="6"/>
      <c r="P22" s="6">
        <f>+P20/P11</f>
        <v>6.3585277188730691</v>
      </c>
      <c r="Q22" s="6"/>
      <c r="R22" s="6">
        <f>+R20/R11</f>
        <v>10.299497885835097</v>
      </c>
      <c r="S22" s="6"/>
      <c r="T22" s="6">
        <f>+T20/T11</f>
        <v>13.208593198663088</v>
      </c>
      <c r="U22" s="6"/>
      <c r="V22" s="6">
        <f>+V20/V11</f>
        <v>14.758932563592667</v>
      </c>
      <c r="W22" s="6"/>
      <c r="X22" s="6">
        <f>+X20/X11</f>
        <v>9.8002980625931446</v>
      </c>
      <c r="Y22" s="6"/>
      <c r="Z22" s="6"/>
      <c r="AA22" s="6"/>
      <c r="AB22" s="6">
        <f>+AB20/AB11</f>
        <v>9.6998481840476476</v>
      </c>
      <c r="AC22" s="6"/>
      <c r="AD22" s="6">
        <f>+AD20/AD11</f>
        <v>12.438483965014576</v>
      </c>
      <c r="AE22" s="6"/>
      <c r="AF22" s="6">
        <f>+AF20/AF11</f>
        <v>10.003393027960813</v>
      </c>
    </row>
    <row r="24" spans="2:32" x14ac:dyDescent="0.25">
      <c r="B24" s="12" t="s">
        <v>10</v>
      </c>
      <c r="C24" s="12"/>
      <c r="D24" s="12"/>
      <c r="E24" s="12"/>
      <c r="F24" s="12"/>
      <c r="G24" s="12"/>
      <c r="H24" s="12"/>
      <c r="I24" s="12"/>
      <c r="J24" s="40" t="s">
        <v>318</v>
      </c>
      <c r="K24" s="40"/>
      <c r="L24" s="40"/>
      <c r="M24" s="40"/>
      <c r="N24" s="40" t="s">
        <v>318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2:32" x14ac:dyDescent="0.25">
      <c r="B25" t="s">
        <v>11</v>
      </c>
      <c r="D25" s="7">
        <f>+D11</f>
        <v>759</v>
      </c>
      <c r="E25" s="7"/>
      <c r="F25" s="7">
        <f>+F11</f>
        <v>886.13899999999956</v>
      </c>
      <c r="G25" s="7"/>
      <c r="H25" s="7">
        <f>+H11</f>
        <v>0</v>
      </c>
      <c r="I25" s="7"/>
      <c r="J25" s="7">
        <f>+J11</f>
        <v>8207</v>
      </c>
      <c r="K25" s="7"/>
      <c r="L25" s="7">
        <f>+L11</f>
        <v>0</v>
      </c>
      <c r="M25" s="7"/>
      <c r="N25" s="7">
        <f>+N11</f>
        <v>9305</v>
      </c>
      <c r="O25" s="7"/>
      <c r="P25" s="7">
        <f>+P11</f>
        <v>6602</v>
      </c>
      <c r="Q25" s="7"/>
      <c r="R25" s="7">
        <f>+R11</f>
        <v>7568</v>
      </c>
      <c r="S25" s="7"/>
      <c r="T25" s="7">
        <f>+T11</f>
        <v>1395.7550000000001</v>
      </c>
      <c r="U25" s="7"/>
      <c r="V25" s="7">
        <f>+V11</f>
        <v>2453.4669999999996</v>
      </c>
      <c r="W25" s="7"/>
      <c r="X25" s="7">
        <f>+X11</f>
        <v>2684</v>
      </c>
      <c r="Y25" s="7"/>
      <c r="Z25" s="7">
        <f>+Z11</f>
        <v>0</v>
      </c>
      <c r="AA25" s="7"/>
      <c r="AB25" s="7">
        <f>+AB11</f>
        <v>8563</v>
      </c>
      <c r="AC25" s="7"/>
      <c r="AD25" s="7">
        <f>+AD11</f>
        <v>4459</v>
      </c>
      <c r="AE25" s="7"/>
      <c r="AF25" s="7">
        <f>+AF11</f>
        <v>1200.1080000000004</v>
      </c>
    </row>
    <row r="26" spans="2:32" x14ac:dyDescent="0.25">
      <c r="B26" t="s">
        <v>12</v>
      </c>
      <c r="D26" s="7"/>
      <c r="E26" s="7"/>
      <c r="F26" s="7"/>
      <c r="G26" s="7"/>
      <c r="H26" s="7"/>
      <c r="I26" s="7"/>
      <c r="J26" s="7">
        <v>3578</v>
      </c>
      <c r="K26" s="7"/>
      <c r="L26" s="7"/>
      <c r="M26" s="7"/>
      <c r="N26" s="7">
        <v>2639</v>
      </c>
      <c r="O26" s="7"/>
      <c r="P26" s="7">
        <f>1628+915+124</f>
        <v>2667</v>
      </c>
      <c r="Q26" s="7"/>
      <c r="R26" s="7">
        <v>2904</v>
      </c>
      <c r="S26" s="7"/>
      <c r="T26" s="7">
        <v>552.25699999999995</v>
      </c>
      <c r="U26" s="7"/>
      <c r="V26" s="7">
        <v>2141.4749999999999</v>
      </c>
      <c r="W26" s="7"/>
      <c r="X26" s="7">
        <v>1634</v>
      </c>
      <c r="Y26" s="7"/>
      <c r="Z26" s="7"/>
      <c r="AA26" s="7"/>
      <c r="AB26" s="7">
        <v>9418</v>
      </c>
      <c r="AC26" s="7"/>
      <c r="AD26" s="7">
        <v>3256</v>
      </c>
      <c r="AE26" s="7"/>
      <c r="AF26" s="7">
        <v>1193.896</v>
      </c>
    </row>
    <row r="27" spans="2:32" x14ac:dyDescent="0.25">
      <c r="B27" t="s">
        <v>13</v>
      </c>
      <c r="D27" s="7"/>
      <c r="E27" s="7"/>
      <c r="F27" s="7"/>
      <c r="G27" s="7"/>
      <c r="H27" s="7"/>
      <c r="I27" s="7"/>
      <c r="J27" s="7">
        <f>1003-70</f>
        <v>933</v>
      </c>
      <c r="K27" s="7"/>
      <c r="L27" s="7"/>
      <c r="M27" s="7"/>
      <c r="N27" s="7">
        <v>504</v>
      </c>
      <c r="O27" s="7"/>
      <c r="P27" s="7">
        <v>470</v>
      </c>
      <c r="Q27" s="7"/>
      <c r="R27" s="7">
        <v>1917</v>
      </c>
      <c r="S27" s="7"/>
      <c r="T27" s="7">
        <v>220.97900000000001</v>
      </c>
      <c r="U27" s="7"/>
      <c r="V27" s="7">
        <f>469.62</f>
        <v>469.62</v>
      </c>
      <c r="W27" s="7"/>
      <c r="X27" s="7">
        <f>431-132</f>
        <v>299</v>
      </c>
      <c r="Y27" s="7"/>
      <c r="Z27" s="7"/>
      <c r="AA27" s="7"/>
      <c r="AB27" s="7">
        <v>2265</v>
      </c>
      <c r="AC27" s="7"/>
      <c r="AD27" s="7">
        <v>1160</v>
      </c>
      <c r="AE27" s="7"/>
      <c r="AF27" s="7">
        <v>184.00800000000001</v>
      </c>
    </row>
    <row r="28" spans="2:32" x14ac:dyDescent="0.25">
      <c r="B28" s="17" t="s">
        <v>18</v>
      </c>
      <c r="C28" s="17"/>
      <c r="D28" s="21"/>
      <c r="E28" s="21"/>
      <c r="F28" s="21"/>
      <c r="G28" s="21"/>
      <c r="H28" s="21"/>
      <c r="I28" s="21"/>
      <c r="J28" s="21">
        <v>962</v>
      </c>
      <c r="K28" s="21"/>
      <c r="L28" s="21"/>
      <c r="M28" s="21"/>
      <c r="N28" s="21">
        <f>1572-252</f>
        <v>1320</v>
      </c>
      <c r="O28" s="21"/>
      <c r="P28" s="21">
        <f>879-203</f>
        <v>676</v>
      </c>
      <c r="Q28" s="21"/>
      <c r="R28" s="21">
        <f>587-405</f>
        <v>182</v>
      </c>
      <c r="S28" s="21"/>
      <c r="T28" s="21">
        <v>7.0999999999999994E-2</v>
      </c>
      <c r="U28" s="21"/>
      <c r="V28" s="21">
        <f>362.903-361.01</f>
        <v>1.8930000000000291</v>
      </c>
      <c r="W28" s="21"/>
      <c r="X28" s="21">
        <v>66</v>
      </c>
      <c r="Y28" s="21"/>
      <c r="Z28" s="21"/>
      <c r="AA28" s="21"/>
      <c r="AB28" s="21">
        <v>315</v>
      </c>
      <c r="AC28" s="21"/>
      <c r="AD28" s="21">
        <f>138-220</f>
        <v>-82</v>
      </c>
      <c r="AE28" s="21"/>
      <c r="AF28" s="21">
        <f>2.964-2.466</f>
        <v>0.49799999999999978</v>
      </c>
    </row>
    <row r="29" spans="2:32" x14ac:dyDescent="0.25">
      <c r="B29" t="s">
        <v>75</v>
      </c>
      <c r="D29" s="19">
        <f>+D25-D26-D27-D28</f>
        <v>759</v>
      </c>
      <c r="E29" s="19"/>
      <c r="F29" s="19">
        <f>+F25-F26-F27-F28</f>
        <v>886.13899999999956</v>
      </c>
      <c r="G29" s="19"/>
      <c r="H29" s="19">
        <f>+H25-H26-H27-H28</f>
        <v>0</v>
      </c>
      <c r="I29" s="19"/>
      <c r="J29" s="19">
        <f>+J25-J26-J27-J28</f>
        <v>2734</v>
      </c>
      <c r="K29" s="19"/>
      <c r="L29" s="19">
        <f>+L25-L26-L27-L28</f>
        <v>0</v>
      </c>
      <c r="M29" s="19"/>
      <c r="N29" s="19">
        <f>+N25-N26-N27-N28</f>
        <v>4842</v>
      </c>
      <c r="O29" s="19"/>
      <c r="P29" s="19">
        <f>+P25-P26-P27-P28</f>
        <v>2789</v>
      </c>
      <c r="Q29" s="19"/>
      <c r="R29" s="19">
        <f>+R25-R26-R27-R28</f>
        <v>2565</v>
      </c>
      <c r="S29" s="19"/>
      <c r="T29" s="19">
        <f>+T25-T26-T27-T28</f>
        <v>622.44800000000009</v>
      </c>
      <c r="U29" s="19"/>
      <c r="V29" s="19">
        <f>+V25-V26-V27-V28</f>
        <v>-159.5210000000003</v>
      </c>
      <c r="W29" s="19"/>
      <c r="X29" s="19">
        <f>+X25-X26-X27-X28</f>
        <v>685</v>
      </c>
      <c r="Y29" s="19"/>
      <c r="Z29" s="19">
        <f>+Z25-Z26-Z27-Z28</f>
        <v>0</v>
      </c>
      <c r="AA29" s="19"/>
      <c r="AB29" s="19">
        <f>+AB25-AB26-AB27-AB28</f>
        <v>-3435</v>
      </c>
      <c r="AC29" s="19"/>
      <c r="AD29" s="19">
        <f>+AD25-AD26-AD27-AD28</f>
        <v>125</v>
      </c>
      <c r="AE29" s="19"/>
      <c r="AF29" s="19">
        <f>+AF25-AF26-AF27-AF28</f>
        <v>-178.29399999999956</v>
      </c>
    </row>
    <row r="30" spans="2:32" x14ac:dyDescent="0.25">
      <c r="B30" t="s">
        <v>73</v>
      </c>
      <c r="D30" s="19"/>
      <c r="E30" s="19"/>
      <c r="F30" s="19"/>
      <c r="G30" s="19"/>
      <c r="H30" s="19"/>
      <c r="I30" s="19"/>
      <c r="J30" s="19">
        <f>954+903</f>
        <v>1857</v>
      </c>
      <c r="K30" s="19"/>
      <c r="L30" s="19"/>
      <c r="M30" s="19"/>
      <c r="N30" s="19">
        <f>1395+2207</f>
        <v>3602</v>
      </c>
      <c r="O30" s="19"/>
      <c r="P30" s="19">
        <v>1369</v>
      </c>
      <c r="Q30" s="19"/>
      <c r="R30" s="19">
        <f>1618+156</f>
        <v>1774</v>
      </c>
      <c r="S30" s="19"/>
      <c r="T30" s="19">
        <v>865.43100000000004</v>
      </c>
      <c r="U30" s="19"/>
      <c r="V30" s="19">
        <v>1335.058</v>
      </c>
      <c r="W30" s="19"/>
      <c r="X30" s="19">
        <f>871+112+49</f>
        <v>1032</v>
      </c>
      <c r="Y30" s="19"/>
      <c r="Z30" s="19"/>
      <c r="AA30" s="19"/>
      <c r="AB30" s="19">
        <f>1571+158</f>
        <v>1729</v>
      </c>
      <c r="AC30" s="19"/>
      <c r="AD30" s="19">
        <f>1386+591</f>
        <v>1977</v>
      </c>
      <c r="AE30" s="19"/>
      <c r="AF30" s="19">
        <v>893.649</v>
      </c>
    </row>
    <row r="31" spans="2:32" ht="17.25" x14ac:dyDescent="0.4">
      <c r="B31" s="17" t="s">
        <v>74</v>
      </c>
      <c r="C31" s="17"/>
      <c r="D31" s="31"/>
      <c r="E31" s="19"/>
      <c r="F31" s="31"/>
      <c r="G31" s="19"/>
      <c r="H31" s="31"/>
      <c r="I31" s="31"/>
      <c r="J31" s="31">
        <v>3287</v>
      </c>
      <c r="K31" s="31"/>
      <c r="L31" s="31"/>
      <c r="M31" s="31"/>
      <c r="N31" s="31">
        <v>1590</v>
      </c>
      <c r="O31" s="31"/>
      <c r="P31" s="31">
        <v>1708</v>
      </c>
      <c r="Q31" s="31"/>
      <c r="R31" s="31">
        <v>273</v>
      </c>
      <c r="S31" s="31"/>
      <c r="T31" s="31">
        <v>0</v>
      </c>
      <c r="U31" s="19"/>
      <c r="V31" s="31">
        <v>0</v>
      </c>
      <c r="W31" s="19"/>
      <c r="X31" s="31">
        <v>0</v>
      </c>
      <c r="Y31" s="19"/>
      <c r="Z31" s="31"/>
      <c r="AA31" s="31"/>
      <c r="AB31" s="31">
        <v>0</v>
      </c>
      <c r="AC31" s="31"/>
      <c r="AD31" s="31">
        <v>0</v>
      </c>
      <c r="AE31" s="19"/>
      <c r="AF31" s="31">
        <v>0</v>
      </c>
    </row>
    <row r="32" spans="2:32" x14ac:dyDescent="0.25">
      <c r="B32" t="s">
        <v>20</v>
      </c>
      <c r="D32" s="19">
        <f>+D29-D30-D31</f>
        <v>759</v>
      </c>
      <c r="E32" s="19"/>
      <c r="F32" s="19">
        <f>+F29-F30-F31</f>
        <v>886.13899999999956</v>
      </c>
      <c r="G32" s="19"/>
      <c r="H32" s="19">
        <f>+H29-H30-H31</f>
        <v>0</v>
      </c>
      <c r="I32" s="19"/>
      <c r="J32" s="19">
        <f>+J29-J30-J31</f>
        <v>-2410</v>
      </c>
      <c r="K32" s="19"/>
      <c r="L32" s="19">
        <f>+L29-L30-L31</f>
        <v>0</v>
      </c>
      <c r="M32" s="19"/>
      <c r="N32" s="19">
        <f>+N29-N30-N31</f>
        <v>-350</v>
      </c>
      <c r="O32" s="19"/>
      <c r="P32" s="19">
        <f>+P29-P30-P31</f>
        <v>-288</v>
      </c>
      <c r="Q32" s="19"/>
      <c r="R32" s="19">
        <f>+R29-R30-R31</f>
        <v>518</v>
      </c>
      <c r="S32" s="19"/>
      <c r="T32" s="19">
        <f>+T29-T30-T31</f>
        <v>-242.98299999999995</v>
      </c>
      <c r="U32" s="19"/>
      <c r="V32" s="19">
        <f>+V29-V30-V31</f>
        <v>-1494.5790000000002</v>
      </c>
      <c r="W32" s="19"/>
      <c r="X32" s="19">
        <f>+X29-X30-X31</f>
        <v>-347</v>
      </c>
      <c r="Y32" s="19"/>
      <c r="Z32" s="19">
        <f>+Z29-Z30-Z31</f>
        <v>0</v>
      </c>
      <c r="AA32" s="19"/>
      <c r="AB32" s="19">
        <f>+AB29-AB30-AB31</f>
        <v>-5164</v>
      </c>
      <c r="AC32" s="19"/>
      <c r="AD32" s="19">
        <f>+AD29-AD30-AD31</f>
        <v>-1852</v>
      </c>
      <c r="AE32" s="19"/>
      <c r="AF32" s="19">
        <f>+AF29-AF30-AF31</f>
        <v>-1071.9429999999995</v>
      </c>
    </row>
    <row r="35" spans="2:14" x14ac:dyDescent="0.25">
      <c r="B35" t="s">
        <v>319</v>
      </c>
      <c r="J35" s="7">
        <f>+J11-3475</f>
        <v>4732</v>
      </c>
      <c r="N35" s="7">
        <f>+N11-1137</f>
        <v>8168</v>
      </c>
    </row>
    <row r="36" spans="2:14" x14ac:dyDescent="0.25">
      <c r="B36" t="s">
        <v>322</v>
      </c>
      <c r="J36" s="7">
        <f>+J35+1253</f>
        <v>5985</v>
      </c>
      <c r="N36" s="7">
        <f>+N35+214+236</f>
        <v>8618</v>
      </c>
    </row>
    <row r="37" spans="2:14" x14ac:dyDescent="0.25">
      <c r="B37" t="s">
        <v>320</v>
      </c>
      <c r="J37" s="7">
        <f>650+1000+337+614+241+750+719+496+1250+800+250+498+469+400+629+11</f>
        <v>9114</v>
      </c>
      <c r="N37" s="7">
        <f>2000+800+1000+1500+1700+300+200+500+1</f>
        <v>8001</v>
      </c>
    </row>
    <row r="38" spans="2:14" x14ac:dyDescent="0.25">
      <c r="B38" t="s">
        <v>321</v>
      </c>
      <c r="J38" s="7">
        <v>41677.5</v>
      </c>
      <c r="N38" s="7">
        <v>44590</v>
      </c>
    </row>
    <row r="39" spans="2:14" x14ac:dyDescent="0.25">
      <c r="B39" t="s">
        <v>7</v>
      </c>
      <c r="J39" s="6">
        <f>+J37/J35</f>
        <v>1.9260355029585798</v>
      </c>
      <c r="N39" s="6">
        <f>+N37/N35</f>
        <v>0.97955435847208616</v>
      </c>
    </row>
    <row r="40" spans="2:14" x14ac:dyDescent="0.25">
      <c r="B40" t="s">
        <v>359</v>
      </c>
      <c r="J40" s="6">
        <f>+J37/J36</f>
        <v>1.5228070175438597</v>
      </c>
      <c r="N40" s="6">
        <f>+N37/N36</f>
        <v>0.92840566256672086</v>
      </c>
    </row>
    <row r="41" spans="2:14" x14ac:dyDescent="0.25">
      <c r="B41" t="s">
        <v>208</v>
      </c>
      <c r="J41" s="6">
        <f>+J38/J36</f>
        <v>6.9636591478696745</v>
      </c>
      <c r="N41" s="6">
        <f>+N38/N36</f>
        <v>5.1740543049431427</v>
      </c>
    </row>
  </sheetData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E&amp;P Comps</vt:lpstr>
      <vt:lpstr>E&amp;P Sensitivity Rankings</vt:lpstr>
      <vt:lpstr>Midstream Comps</vt:lpstr>
      <vt:lpstr>Refining Comps</vt:lpstr>
      <vt:lpstr>'E&amp;P Comps'!Print_Area</vt:lpstr>
      <vt:lpstr>'Midstream Comps'!Print_Area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White</dc:creator>
  <cp:lastModifiedBy>Brian Fagan</cp:lastModifiedBy>
  <cp:lastPrinted>2019-04-17T12:50:40Z</cp:lastPrinted>
  <dcterms:created xsi:type="dcterms:W3CDTF">2019-02-21T20:41:23Z</dcterms:created>
  <dcterms:modified xsi:type="dcterms:W3CDTF">2019-05-22T21:24:57Z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